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5987EB4B-2E26-4D2E-B9C8-9CA5E527300F}" xr6:coauthVersionLast="47" xr6:coauthVersionMax="47" xr10:uidLastSave="{00000000-0000-0000-0000-000000000000}"/>
  <bookViews>
    <workbookView xWindow="8700" yWindow="1215" windowWidth="18975" windowHeight="13935" activeTab="1" xr2:uid="{00000000-000D-0000-FFFF-FFFF00000000}"/>
  </bookViews>
  <sheets>
    <sheet name="Master" sheetId="27" r:id="rId1"/>
    <sheet name="Main" sheetId="1" r:id="rId2"/>
    <sheet name="Model" sheetId="2" r:id="rId3"/>
    <sheet name="Zyprexa" sheetId="3" r:id="rId4"/>
    <sheet name="Cymbalta" sheetId="4" r:id="rId5"/>
    <sheet name="Strattera" sheetId="5" r:id="rId6"/>
    <sheet name="Forteo" sheetId="6" r:id="rId7"/>
    <sheet name="Evista" sheetId="7" r:id="rId8"/>
    <sheet name="Cialis" sheetId="9" r:id="rId9"/>
    <sheet name="Gemzar" sheetId="23" r:id="rId10"/>
    <sheet name="Alimta" sheetId="10" r:id="rId11"/>
    <sheet name="Exenatide" sheetId="11" r:id="rId12"/>
    <sheet name="Effient" sheetId="14" r:id="rId13"/>
    <sheet name="Enzastaurin" sheetId="15" r:id="rId14"/>
    <sheet name="Arzoxifene" sheetId="16" r:id="rId15"/>
    <sheet name="LY2062430" sheetId="26" r:id="rId16"/>
    <sheet name="LY2140023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18" i="2" l="1"/>
  <c r="BV54" i="2"/>
  <c r="BV16" i="2"/>
  <c r="BS18" i="2"/>
  <c r="BS132" i="2"/>
  <c r="BS129" i="2"/>
  <c r="BS123" i="2"/>
  <c r="BS121" i="2"/>
  <c r="BS120" i="2"/>
  <c r="BS117" i="2"/>
  <c r="BS108" i="2"/>
  <c r="BS103" i="2"/>
  <c r="BS95" i="2"/>
  <c r="BS88" i="2"/>
  <c r="BS82" i="2"/>
  <c r="BT103" i="2"/>
  <c r="BT95" i="2"/>
  <c r="BT88" i="2"/>
  <c r="BT93" i="2" s="1"/>
  <c r="BT82" i="2"/>
  <c r="BT106" i="2"/>
  <c r="BT80" i="2"/>
  <c r="BU103" i="2"/>
  <c r="BU106" i="2" s="1"/>
  <c r="BU95" i="2"/>
  <c r="BU88" i="2"/>
  <c r="BU93" i="2" s="1"/>
  <c r="BU82" i="2"/>
  <c r="BU80" i="2"/>
  <c r="BW18" i="2"/>
  <c r="BV28" i="2"/>
  <c r="BV25" i="2"/>
  <c r="BV106" i="2"/>
  <c r="BV103" i="2"/>
  <c r="BV95" i="2"/>
  <c r="BV80" i="2" s="1"/>
  <c r="BV93" i="2"/>
  <c r="BW93" i="2"/>
  <c r="BV88" i="2"/>
  <c r="BV82" i="2"/>
  <c r="BV23" i="2"/>
  <c r="BV21" i="2"/>
  <c r="BV17" i="2"/>
  <c r="BV13" i="2"/>
  <c r="DB3" i="2"/>
  <c r="CB12" i="2"/>
  <c r="CA12" i="2"/>
  <c r="BZ12" i="2"/>
  <c r="BY12" i="2"/>
  <c r="CD12" i="2" s="1"/>
  <c r="BX12" i="2"/>
  <c r="CC12" i="2" s="1"/>
  <c r="CA11" i="2"/>
  <c r="BZ11" i="2"/>
  <c r="BX11" i="2"/>
  <c r="CB11" i="2" s="1"/>
  <c r="BY11" i="2"/>
  <c r="CC11" i="2" s="1"/>
  <c r="CD11" i="2"/>
  <c r="CD8" i="2"/>
  <c r="CD72" i="2" s="1"/>
  <c r="CC8" i="2"/>
  <c r="CC72" i="2" s="1"/>
  <c r="CA8" i="2"/>
  <c r="BZ8" i="2"/>
  <c r="BY8" i="2"/>
  <c r="BX8" i="2"/>
  <c r="CB8" i="2" s="1"/>
  <c r="CB72" i="2" s="1"/>
  <c r="CD73" i="2"/>
  <c r="CC73" i="2"/>
  <c r="CB73" i="2"/>
  <c r="CA72" i="2"/>
  <c r="BZ72" i="2"/>
  <c r="BY72" i="2"/>
  <c r="BX72" i="2"/>
  <c r="CA71" i="2"/>
  <c r="BZ71" i="2"/>
  <c r="BY71" i="2"/>
  <c r="BY70" i="2"/>
  <c r="CA7" i="2"/>
  <c r="BZ7" i="2"/>
  <c r="CD7" i="2" s="1"/>
  <c r="CD71" i="2" s="1"/>
  <c r="BY7" i="2"/>
  <c r="CC7" i="2" s="1"/>
  <c r="CC71" i="2" s="1"/>
  <c r="BX7" i="2"/>
  <c r="BX71" i="2" s="1"/>
  <c r="BW72" i="2"/>
  <c r="BV72" i="2"/>
  <c r="BU72" i="2"/>
  <c r="BT72" i="2"/>
  <c r="BS72" i="2"/>
  <c r="BR72" i="2"/>
  <c r="BQ72" i="2"/>
  <c r="BP72" i="2"/>
  <c r="BO72" i="2"/>
  <c r="BW71" i="2"/>
  <c r="BV71" i="2"/>
  <c r="BU71" i="2"/>
  <c r="BT71" i="2"/>
  <c r="BS71" i="2"/>
  <c r="BR71" i="2"/>
  <c r="BQ71" i="2"/>
  <c r="BP71" i="2"/>
  <c r="BO71" i="2"/>
  <c r="BX9" i="2"/>
  <c r="BY9" i="2" s="1"/>
  <c r="BZ9" i="2" s="1"/>
  <c r="CA9" i="2" s="1"/>
  <c r="CB9" i="2" s="1"/>
  <c r="CC9" i="2" s="1"/>
  <c r="CD9" i="2" s="1"/>
  <c r="CA6" i="2"/>
  <c r="CA70" i="2" s="1"/>
  <c r="BZ6" i="2"/>
  <c r="CD6" i="2" s="1"/>
  <c r="CD70" i="2" s="1"/>
  <c r="BY6" i="2"/>
  <c r="CC6" i="2" s="1"/>
  <c r="CC70" i="2" s="1"/>
  <c r="BX6" i="2"/>
  <c r="CB6" i="2" s="1"/>
  <c r="CB70" i="2" s="1"/>
  <c r="BV70" i="2"/>
  <c r="BU70" i="2"/>
  <c r="BT70" i="2"/>
  <c r="BS70" i="2"/>
  <c r="BR70" i="2"/>
  <c r="BQ70" i="2"/>
  <c r="BP70" i="2"/>
  <c r="BO70" i="2"/>
  <c r="BW70" i="2"/>
  <c r="BS106" i="2" l="1"/>
  <c r="BS80" i="2"/>
  <c r="BS93" i="2"/>
  <c r="CB7" i="2"/>
  <c r="CB71" i="2" s="1"/>
  <c r="BX70" i="2"/>
  <c r="BZ70" i="2"/>
  <c r="BZ10" i="2" l="1"/>
  <c r="BZ54" i="2" s="1"/>
  <c r="BY10" i="2"/>
  <c r="CC10" i="2" s="1"/>
  <c r="BX10" i="2"/>
  <c r="CB10" i="2" s="1"/>
  <c r="BZ5" i="2"/>
  <c r="CD5" i="2" s="1"/>
  <c r="BY5" i="2"/>
  <c r="CC5" i="2" s="1"/>
  <c r="BX5" i="2"/>
  <c r="CB5" i="2" s="1"/>
  <c r="CA3" i="2"/>
  <c r="BZ3" i="2"/>
  <c r="BY3" i="2"/>
  <c r="BX3" i="2"/>
  <c r="DC3" i="2" s="1"/>
  <c r="BW126" i="2"/>
  <c r="BW129" i="2" s="1"/>
  <c r="BW120" i="2"/>
  <c r="BW123" i="2" s="1"/>
  <c r="BW117" i="2"/>
  <c r="BW103" i="2"/>
  <c r="BW95" i="2"/>
  <c r="BW88" i="2"/>
  <c r="BW82" i="2"/>
  <c r="BW80" i="2" s="1"/>
  <c r="BV69" i="2"/>
  <c r="BU69" i="2"/>
  <c r="BT69" i="2"/>
  <c r="BS69" i="2"/>
  <c r="BR69" i="2"/>
  <c r="BQ69" i="2"/>
  <c r="BP69" i="2"/>
  <c r="BO69" i="2"/>
  <c r="BW69" i="2"/>
  <c r="BK59" i="2"/>
  <c r="BO20" i="2"/>
  <c r="BL59" i="2"/>
  <c r="BP20" i="2"/>
  <c r="BM59" i="2"/>
  <c r="BQ20" i="2"/>
  <c r="BN59" i="2"/>
  <c r="BO59" i="2"/>
  <c r="BY54" i="2" l="1"/>
  <c r="CA69" i="2"/>
  <c r="CD10" i="2"/>
  <c r="CC3" i="2"/>
  <c r="BY69" i="2"/>
  <c r="BX54" i="2"/>
  <c r="BX69" i="2"/>
  <c r="CD3" i="2"/>
  <c r="BZ69" i="2"/>
  <c r="BW132" i="2"/>
  <c r="CB3" i="2"/>
  <c r="DD3" i="2" s="1"/>
  <c r="BW106" i="2"/>
  <c r="BP59" i="2"/>
  <c r="BT59" i="2"/>
  <c r="BU54" i="2"/>
  <c r="BU76" i="2" s="1"/>
  <c r="BT54" i="2"/>
  <c r="BT76" i="2" s="1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E53" i="2"/>
  <c r="AE54" i="2" s="1"/>
  <c r="Z53" i="2"/>
  <c r="Z54" i="2" s="1"/>
  <c r="AA53" i="2"/>
  <c r="AA54" i="2" s="1"/>
  <c r="V53" i="2"/>
  <c r="V54" i="2" s="1"/>
  <c r="BQ59" i="2"/>
  <c r="BU59" i="2"/>
  <c r="BR59" i="2"/>
  <c r="BV59" i="2"/>
  <c r="J6" i="1"/>
  <c r="J5" i="1"/>
  <c r="BS59" i="2"/>
  <c r="BW59" i="2"/>
  <c r="BV76" i="2"/>
  <c r="BS5" i="2"/>
  <c r="BW5" i="2"/>
  <c r="BS10" i="2"/>
  <c r="BW10" i="2"/>
  <c r="CA10" i="2" s="1"/>
  <c r="CD54" i="2" l="1"/>
  <c r="CD68" i="2" s="1"/>
  <c r="CD69" i="2"/>
  <c r="CB54" i="2"/>
  <c r="CB68" i="2" s="1"/>
  <c r="CB69" i="2"/>
  <c r="BZ68" i="2"/>
  <c r="BX68" i="2"/>
  <c r="BY68" i="2"/>
  <c r="CC54" i="2"/>
  <c r="CC68" i="2" s="1"/>
  <c r="CC69" i="2"/>
  <c r="BW54" i="2"/>
  <c r="CA5" i="2"/>
  <c r="CA54" i="2" s="1"/>
  <c r="BM77" i="2"/>
  <c r="BM76" i="2"/>
  <c r="BM56" i="2"/>
  <c r="BO68" i="2"/>
  <c r="BV77" i="2"/>
  <c r="BP56" i="2"/>
  <c r="BP75" i="2" s="1"/>
  <c r="BP68" i="2"/>
  <c r="BK77" i="2"/>
  <c r="BK56" i="2"/>
  <c r="BK76" i="2"/>
  <c r="BL77" i="2"/>
  <c r="BL76" i="2"/>
  <c r="BL56" i="2"/>
  <c r="BQ56" i="2"/>
  <c r="BQ60" i="2" s="1"/>
  <c r="BQ62" i="2" s="1"/>
  <c r="BQ64" i="2" s="1"/>
  <c r="BQ65" i="2" s="1"/>
  <c r="BQ68" i="2"/>
  <c r="BP77" i="2"/>
  <c r="BO76" i="2"/>
  <c r="BO56" i="2"/>
  <c r="BO77" i="2"/>
  <c r="BT68" i="2"/>
  <c r="BS54" i="2"/>
  <c r="BP76" i="2"/>
  <c r="BR68" i="2"/>
  <c r="BU68" i="2"/>
  <c r="BU77" i="2"/>
  <c r="BV68" i="2"/>
  <c r="BR56" i="2"/>
  <c r="BR75" i="2" s="1"/>
  <c r="BQ76" i="2"/>
  <c r="BN56" i="2"/>
  <c r="BN77" i="2"/>
  <c r="BN76" i="2"/>
  <c r="BQ77" i="2"/>
  <c r="BR77" i="2"/>
  <c r="BT77" i="2"/>
  <c r="BR76" i="2"/>
  <c r="BV56" i="2"/>
  <c r="BV75" i="2" s="1"/>
  <c r="BU56" i="2"/>
  <c r="BU75" i="2" s="1"/>
  <c r="BT56" i="2"/>
  <c r="BT75" i="2" s="1"/>
  <c r="CY2" i="2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CQ66" i="2"/>
  <c r="CQ63" i="2"/>
  <c r="CQ58" i="2"/>
  <c r="CQ57" i="2"/>
  <c r="CQ55" i="2"/>
  <c r="CR55" i="2"/>
  <c r="CR63" i="2"/>
  <c r="CP63" i="2"/>
  <c r="CO63" i="2"/>
  <c r="CR58" i="2"/>
  <c r="CR57" i="2"/>
  <c r="AO55" i="2"/>
  <c r="AN55" i="2"/>
  <c r="AM55" i="2"/>
  <c r="AO58" i="2"/>
  <c r="AN58" i="2"/>
  <c r="AM58" i="2"/>
  <c r="AO57" i="2"/>
  <c r="AN57" i="2"/>
  <c r="AM57" i="2"/>
  <c r="AL57" i="2"/>
  <c r="AP57" i="2" s="1"/>
  <c r="AL58" i="2"/>
  <c r="CS58" i="2" s="1"/>
  <c r="AH54" i="2"/>
  <c r="AH77" i="2" s="1"/>
  <c r="AL66" i="2"/>
  <c r="CS66" i="2" s="1"/>
  <c r="AL61" i="2"/>
  <c r="AP61" i="2" s="1"/>
  <c r="AL55" i="2"/>
  <c r="AP55" i="2" s="1"/>
  <c r="CR17" i="2"/>
  <c r="CQ17" i="2"/>
  <c r="AN20" i="2"/>
  <c r="AM20" i="2"/>
  <c r="AL20" i="2"/>
  <c r="AP20" i="2" s="1"/>
  <c r="CS32" i="2"/>
  <c r="CR31" i="2"/>
  <c r="CR32" i="2"/>
  <c r="CR30" i="2"/>
  <c r="CR29" i="2"/>
  <c r="CR19" i="2"/>
  <c r="CR45" i="2"/>
  <c r="CR9" i="2"/>
  <c r="CR10" i="2"/>
  <c r="CR46" i="2"/>
  <c r="CR13" i="2"/>
  <c r="CR5" i="2"/>
  <c r="CR21" i="2"/>
  <c r="CR23" i="2"/>
  <c r="AL30" i="2"/>
  <c r="AM30" i="2" s="1"/>
  <c r="AN30" i="2" s="1"/>
  <c r="AO30" i="2" s="1"/>
  <c r="AP30" i="2" s="1"/>
  <c r="AL31" i="2"/>
  <c r="AM31" i="2" s="1"/>
  <c r="AN31" i="2" s="1"/>
  <c r="AO31" i="2" s="1"/>
  <c r="AP31" i="2" s="1"/>
  <c r="AL17" i="2"/>
  <c r="AM17" i="2" s="1"/>
  <c r="AN17" i="2" s="1"/>
  <c r="AO17" i="2" s="1"/>
  <c r="AP17" i="2" s="1"/>
  <c r="AL29" i="2"/>
  <c r="AM29" i="2" s="1"/>
  <c r="AN29" i="2" s="1"/>
  <c r="AO29" i="2" s="1"/>
  <c r="AP29" i="2" s="1"/>
  <c r="AL19" i="2"/>
  <c r="AM19" i="2" s="1"/>
  <c r="AN19" i="2" s="1"/>
  <c r="AO19" i="2" s="1"/>
  <c r="AP19" i="2" s="1"/>
  <c r="AL45" i="2"/>
  <c r="AM45" i="2" s="1"/>
  <c r="AN45" i="2" s="1"/>
  <c r="AO45" i="2" s="1"/>
  <c r="AP45" i="2" s="1"/>
  <c r="AL9" i="2"/>
  <c r="AM9" i="2" s="1"/>
  <c r="AN9" i="2" s="1"/>
  <c r="AO9" i="2" s="1"/>
  <c r="AP9" i="2" s="1"/>
  <c r="AL10" i="2"/>
  <c r="AM10" i="2" s="1"/>
  <c r="AN10" i="2" s="1"/>
  <c r="AO10" i="2" s="1"/>
  <c r="AP10" i="2" s="1"/>
  <c r="AL46" i="2"/>
  <c r="AM46" i="2" s="1"/>
  <c r="AN46" i="2" s="1"/>
  <c r="AO46" i="2" s="1"/>
  <c r="AP46" i="2" s="1"/>
  <c r="AL13" i="2"/>
  <c r="CS13" i="2" s="1"/>
  <c r="AL5" i="2"/>
  <c r="AM5" i="2" s="1"/>
  <c r="AN5" i="2" s="1"/>
  <c r="AO5" i="2" s="1"/>
  <c r="AP5" i="2" s="1"/>
  <c r="AL21" i="2"/>
  <c r="AM21" i="2" s="1"/>
  <c r="AN21" i="2" s="1"/>
  <c r="AO21" i="2" s="1"/>
  <c r="AP21" i="2" s="1"/>
  <c r="AL23" i="2"/>
  <c r="AM23" i="2" s="1"/>
  <c r="AN23" i="2" s="1"/>
  <c r="AO23" i="2" s="1"/>
  <c r="AP23" i="2" s="1"/>
  <c r="AF117" i="2"/>
  <c r="AG117" i="2" s="1"/>
  <c r="AH117" i="2" s="1"/>
  <c r="AF95" i="2"/>
  <c r="AF106" i="2" s="1"/>
  <c r="AF82" i="2"/>
  <c r="AF59" i="2"/>
  <c r="AF54" i="2"/>
  <c r="AF56" i="2" s="1"/>
  <c r="AG95" i="2"/>
  <c r="AG106" i="2" s="1"/>
  <c r="AG82" i="2"/>
  <c r="AG93" i="2" s="1"/>
  <c r="AH95" i="2"/>
  <c r="AH106" i="2" s="1"/>
  <c r="AH82" i="2"/>
  <c r="AH93" i="2" s="1"/>
  <c r="AH59" i="2"/>
  <c r="AJ54" i="2"/>
  <c r="AJ56" i="2" s="1"/>
  <c r="AJ75" i="2" s="1"/>
  <c r="AI54" i="2"/>
  <c r="AI76" i="2" s="1"/>
  <c r="AI95" i="2"/>
  <c r="AI106" i="2" s="1"/>
  <c r="AI82" i="2"/>
  <c r="AI93" i="2" s="1"/>
  <c r="AJ117" i="2"/>
  <c r="AK117" i="2" s="1"/>
  <c r="AJ95" i="2"/>
  <c r="AJ106" i="2" s="1"/>
  <c r="AJ82" i="2"/>
  <c r="AJ93" i="2" s="1"/>
  <c r="AK95" i="2"/>
  <c r="AK106" i="2" s="1"/>
  <c r="AK82" i="2"/>
  <c r="AI61" i="2"/>
  <c r="AI59" i="2"/>
  <c r="AJ61" i="2"/>
  <c r="AN61" i="2" s="1"/>
  <c r="AJ59" i="2"/>
  <c r="AG61" i="2"/>
  <c r="CR61" i="2" s="1"/>
  <c r="AG59" i="2"/>
  <c r="P54" i="2"/>
  <c r="AD54" i="2"/>
  <c r="AK61" i="2"/>
  <c r="AO61" i="2" s="1"/>
  <c r="AK59" i="2"/>
  <c r="AK20" i="2"/>
  <c r="AK54" i="2" s="1"/>
  <c r="BU60" i="2" l="1"/>
  <c r="BU62" i="2" s="1"/>
  <c r="CA68" i="2"/>
  <c r="BT60" i="2"/>
  <c r="BT62" i="2" s="1"/>
  <c r="BT64" i="2" s="1"/>
  <c r="BT65" i="2" s="1"/>
  <c r="BX73" i="2" s="1"/>
  <c r="BP60" i="2"/>
  <c r="BP62" i="2" s="1"/>
  <c r="BP78" i="2" s="1"/>
  <c r="BQ78" i="2"/>
  <c r="BL75" i="2"/>
  <c r="BL60" i="2"/>
  <c r="BL62" i="2" s="1"/>
  <c r="BK75" i="2"/>
  <c r="BK60" i="2"/>
  <c r="BK62" i="2" s="1"/>
  <c r="BM75" i="2"/>
  <c r="BM60" i="2"/>
  <c r="BM62" i="2" s="1"/>
  <c r="BQ75" i="2"/>
  <c r="BV60" i="2"/>
  <c r="BV62" i="2" s="1"/>
  <c r="BV64" i="2" s="1"/>
  <c r="BV65" i="2" s="1"/>
  <c r="BZ73" i="2" s="1"/>
  <c r="BN75" i="2"/>
  <c r="BN60" i="2"/>
  <c r="BN62" i="2" s="1"/>
  <c r="BR60" i="2"/>
  <c r="BR62" i="2" s="1"/>
  <c r="BW77" i="2"/>
  <c r="BW76" i="2"/>
  <c r="BO75" i="2"/>
  <c r="BO60" i="2"/>
  <c r="BO62" i="2" s="1"/>
  <c r="BU64" i="2"/>
  <c r="BU65" i="2" s="1"/>
  <c r="BU78" i="2"/>
  <c r="BS56" i="2"/>
  <c r="BS68" i="2"/>
  <c r="BS76" i="2"/>
  <c r="BS77" i="2"/>
  <c r="BW56" i="2"/>
  <c r="BW68" i="2"/>
  <c r="CQ59" i="2"/>
  <c r="AN59" i="2"/>
  <c r="CR59" i="2"/>
  <c r="CS57" i="2"/>
  <c r="CS59" i="2" s="1"/>
  <c r="CS61" i="2"/>
  <c r="CS21" i="2"/>
  <c r="CT21" i="2" s="1"/>
  <c r="CS17" i="2"/>
  <c r="AJ80" i="2"/>
  <c r="AH56" i="2"/>
  <c r="AH60" i="2" s="1"/>
  <c r="AM13" i="2"/>
  <c r="AN13" i="2" s="1"/>
  <c r="AO13" i="2" s="1"/>
  <c r="AP13" i="2" s="1"/>
  <c r="AP54" i="2" s="1"/>
  <c r="CS46" i="2"/>
  <c r="CS29" i="2"/>
  <c r="AM61" i="2"/>
  <c r="AP58" i="2"/>
  <c r="AK80" i="2"/>
  <c r="CS23" i="2"/>
  <c r="CT23" i="2" s="1"/>
  <c r="CS9" i="2"/>
  <c r="CS30" i="2"/>
  <c r="AO20" i="2"/>
  <c r="AL59" i="2"/>
  <c r="AM66" i="2"/>
  <c r="AN66" i="2" s="1"/>
  <c r="AO66" i="2" s="1"/>
  <c r="AP66" i="2" s="1"/>
  <c r="AM59" i="2"/>
  <c r="CS45" i="2"/>
  <c r="CS20" i="2"/>
  <c r="CS10" i="2"/>
  <c r="CT10" i="2" s="1"/>
  <c r="CU10" i="2" s="1"/>
  <c r="CV10" i="2" s="1"/>
  <c r="CW10" i="2" s="1"/>
  <c r="CX10" i="2" s="1"/>
  <c r="CY10" i="2" s="1"/>
  <c r="CZ10" i="2" s="1"/>
  <c r="DA10" i="2" s="1"/>
  <c r="DB10" i="2" s="1"/>
  <c r="AF80" i="2"/>
  <c r="CS19" i="2"/>
  <c r="CS5" i="2"/>
  <c r="CT5" i="2" s="1"/>
  <c r="AL54" i="2"/>
  <c r="AL56" i="2" s="1"/>
  <c r="AL75" i="2" s="1"/>
  <c r="CS55" i="2"/>
  <c r="AO59" i="2"/>
  <c r="CS31" i="2"/>
  <c r="AH76" i="2"/>
  <c r="AH68" i="2"/>
  <c r="AF76" i="2"/>
  <c r="AJ76" i="2"/>
  <c r="AF75" i="2"/>
  <c r="AF60" i="2"/>
  <c r="AF62" i="2" s="1"/>
  <c r="AK76" i="2"/>
  <c r="AK77" i="2"/>
  <c r="AI77" i="2"/>
  <c r="AH80" i="2"/>
  <c r="AF77" i="2"/>
  <c r="AJ77" i="2"/>
  <c r="AK93" i="2"/>
  <c r="AF93" i="2"/>
  <c r="AG80" i="2"/>
  <c r="AI80" i="2"/>
  <c r="AI56" i="2"/>
  <c r="AI75" i="2" s="1"/>
  <c r="AJ60" i="2"/>
  <c r="AJ62" i="2" s="1"/>
  <c r="AJ78" i="2" s="1"/>
  <c r="AE95" i="2"/>
  <c r="AE106" i="2" s="1"/>
  <c r="AE82" i="2"/>
  <c r="AE93" i="2" s="1"/>
  <c r="AE59" i="2"/>
  <c r="BU73" i="2" l="1"/>
  <c r="BY73" i="2"/>
  <c r="BV78" i="2"/>
  <c r="BP64" i="2"/>
  <c r="BP65" i="2" s="1"/>
  <c r="BT73" i="2" s="1"/>
  <c r="BT78" i="2"/>
  <c r="BL64" i="2"/>
  <c r="BL65" i="2" s="1"/>
  <c r="BL78" i="2"/>
  <c r="BM78" i="2"/>
  <c r="BM64" i="2"/>
  <c r="BM65" i="2" s="1"/>
  <c r="BQ73" i="2" s="1"/>
  <c r="BK64" i="2"/>
  <c r="BK65" i="2" s="1"/>
  <c r="BK78" i="2"/>
  <c r="BS75" i="2"/>
  <c r="BS60" i="2"/>
  <c r="BS62" i="2" s="1"/>
  <c r="BO78" i="2"/>
  <c r="BO64" i="2"/>
  <c r="BO65" i="2" s="1"/>
  <c r="BO73" i="2" s="1"/>
  <c r="BR64" i="2"/>
  <c r="BR65" i="2" s="1"/>
  <c r="BV73" i="2" s="1"/>
  <c r="BR78" i="2"/>
  <c r="BN78" i="2"/>
  <c r="BN64" i="2"/>
  <c r="BN65" i="2" s="1"/>
  <c r="BR73" i="2" s="1"/>
  <c r="BW60" i="2"/>
  <c r="BW62" i="2" s="1"/>
  <c r="BW75" i="2"/>
  <c r="AM54" i="2"/>
  <c r="AM68" i="2" s="1"/>
  <c r="AO54" i="2"/>
  <c r="AO56" i="2" s="1"/>
  <c r="AO75" i="2" s="1"/>
  <c r="AH75" i="2"/>
  <c r="AP76" i="2"/>
  <c r="AP56" i="2"/>
  <c r="AP75" i="2" s="1"/>
  <c r="AN54" i="2"/>
  <c r="AN56" i="2" s="1"/>
  <c r="AP68" i="2"/>
  <c r="CU5" i="2"/>
  <c r="CV5" i="2" s="1"/>
  <c r="CW5" i="2" s="1"/>
  <c r="CX5" i="2" s="1"/>
  <c r="CY5" i="2" s="1"/>
  <c r="AL76" i="2"/>
  <c r="AL77" i="2"/>
  <c r="AL68" i="2"/>
  <c r="AL60" i="2"/>
  <c r="AL62" i="2" s="1"/>
  <c r="AP59" i="2"/>
  <c r="AP77" i="2"/>
  <c r="AF64" i="2"/>
  <c r="AF65" i="2" s="1"/>
  <c r="AF78" i="2"/>
  <c r="AI60" i="2"/>
  <c r="AI62" i="2" s="1"/>
  <c r="AI78" i="2" s="1"/>
  <c r="AJ64" i="2"/>
  <c r="AJ65" i="2" s="1"/>
  <c r="AE80" i="2"/>
  <c r="CQ30" i="2"/>
  <c r="CP30" i="2"/>
  <c r="BP73" i="2" l="1"/>
  <c r="BW64" i="2"/>
  <c r="BW78" i="2"/>
  <c r="BS64" i="2"/>
  <c r="BS65" i="2" s="1"/>
  <c r="BS73" i="2" s="1"/>
  <c r="BS78" i="2"/>
  <c r="AM77" i="2"/>
  <c r="AM76" i="2"/>
  <c r="AM56" i="2"/>
  <c r="AP60" i="2"/>
  <c r="AP62" i="2" s="1"/>
  <c r="AP63" i="2" s="1"/>
  <c r="AP78" i="2" s="1"/>
  <c r="AO76" i="2"/>
  <c r="AO77" i="2"/>
  <c r="AO68" i="2"/>
  <c r="AN68" i="2"/>
  <c r="AO60" i="2"/>
  <c r="AO62" i="2" s="1"/>
  <c r="AO63" i="2" s="1"/>
  <c r="AO78" i="2" s="1"/>
  <c r="AN76" i="2"/>
  <c r="AN77" i="2"/>
  <c r="AN75" i="2"/>
  <c r="AN60" i="2"/>
  <c r="AN62" i="2" s="1"/>
  <c r="AL63" i="2"/>
  <c r="AL64" i="2" s="1"/>
  <c r="CZ5" i="2"/>
  <c r="AM75" i="2"/>
  <c r="AM60" i="2"/>
  <c r="AM62" i="2" s="1"/>
  <c r="AI64" i="2"/>
  <c r="AI65" i="2" s="1"/>
  <c r="CH76" i="2"/>
  <c r="BW65" i="2" l="1"/>
  <c r="BW108" i="2"/>
  <c r="AP64" i="2"/>
  <c r="AP65" i="2" s="1"/>
  <c r="AO64" i="2"/>
  <c r="AO65" i="2" s="1"/>
  <c r="AM63" i="2"/>
  <c r="AM78" i="2" s="1"/>
  <c r="AL65" i="2"/>
  <c r="AL80" i="2"/>
  <c r="DA5" i="2"/>
  <c r="AN63" i="2"/>
  <c r="AN78" i="2" s="1"/>
  <c r="AL78" i="2"/>
  <c r="CS63" i="2"/>
  <c r="CO66" i="2"/>
  <c r="CO61" i="2"/>
  <c r="CO58" i="2"/>
  <c r="CO57" i="2"/>
  <c r="CP66" i="2"/>
  <c r="AD95" i="2"/>
  <c r="AD106" i="2" s="1"/>
  <c r="AD82" i="2"/>
  <c r="AD93" i="2" s="1"/>
  <c r="CQ23" i="2"/>
  <c r="AD56" i="2"/>
  <c r="AD59" i="2"/>
  <c r="CQ32" i="2"/>
  <c r="CT32" i="2" s="1"/>
  <c r="CU32" i="2" s="1"/>
  <c r="CV32" i="2" s="1"/>
  <c r="CW32" i="2" s="1"/>
  <c r="CX32" i="2" s="1"/>
  <c r="CT57" i="2"/>
  <c r="CT59" i="2" s="1"/>
  <c r="CT17" i="2"/>
  <c r="CU17" i="2" s="1"/>
  <c r="CV17" i="2" s="1"/>
  <c r="CW17" i="2" s="1"/>
  <c r="CX17" i="2" s="1"/>
  <c r="CY17" i="2" s="1"/>
  <c r="CZ17" i="2" s="1"/>
  <c r="DA17" i="2" s="1"/>
  <c r="DB17" i="2" s="1"/>
  <c r="CQ29" i="2"/>
  <c r="CT29" i="2" s="1"/>
  <c r="CU29" i="2" s="1"/>
  <c r="CV29" i="2" s="1"/>
  <c r="CW29" i="2" s="1"/>
  <c r="CX29" i="2" s="1"/>
  <c r="CY29" i="2" s="1"/>
  <c r="CZ29" i="2" s="1"/>
  <c r="DA29" i="2" s="1"/>
  <c r="DB29" i="2" s="1"/>
  <c r="CQ19" i="2"/>
  <c r="CT19" i="2" s="1"/>
  <c r="CU19" i="2" s="1"/>
  <c r="CV19" i="2" s="1"/>
  <c r="CW19" i="2" s="1"/>
  <c r="CQ45" i="2"/>
  <c r="CT45" i="2" s="1"/>
  <c r="CU45" i="2" s="1"/>
  <c r="CV45" i="2" s="1"/>
  <c r="CW45" i="2" s="1"/>
  <c r="CQ9" i="2"/>
  <c r="CT9" i="2" s="1"/>
  <c r="CU9" i="2" s="1"/>
  <c r="CV9" i="2" s="1"/>
  <c r="CW9" i="2" s="1"/>
  <c r="CQ10" i="2"/>
  <c r="CQ46" i="2"/>
  <c r="CT46" i="2" s="1"/>
  <c r="CU46" i="2" s="1"/>
  <c r="CV46" i="2" s="1"/>
  <c r="CW46" i="2" s="1"/>
  <c r="CX46" i="2" s="1"/>
  <c r="CY46" i="2" s="1"/>
  <c r="CQ13" i="2"/>
  <c r="CT13" i="2" s="1"/>
  <c r="CQ5" i="2"/>
  <c r="CQ31" i="2"/>
  <c r="CQ21" i="2"/>
  <c r="AC61" i="2"/>
  <c r="AC59" i="2"/>
  <c r="AB61" i="2"/>
  <c r="CT30" i="2"/>
  <c r="CU30" i="2" s="1"/>
  <c r="CV30" i="2" s="1"/>
  <c r="AB59" i="2"/>
  <c r="Z80" i="2"/>
  <c r="CN20" i="2"/>
  <c r="CM20" i="2"/>
  <c r="CL20" i="2"/>
  <c r="CL54" i="2" s="1"/>
  <c r="CK20" i="2"/>
  <c r="CJ20" i="2"/>
  <c r="CJ54" i="2" s="1"/>
  <c r="CI20" i="2"/>
  <c r="Z59" i="2"/>
  <c r="CM59" i="2"/>
  <c r="CL59" i="2"/>
  <c r="CK59" i="2"/>
  <c r="CJ59" i="2"/>
  <c r="CI59" i="2"/>
  <c r="CH59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P32" i="2"/>
  <c r="CO32" i="2"/>
  <c r="CP58" i="2"/>
  <c r="CP57" i="2"/>
  <c r="CP17" i="2"/>
  <c r="CP29" i="2"/>
  <c r="CP19" i="2"/>
  <c r="CP45" i="2"/>
  <c r="CP9" i="2"/>
  <c r="CP10" i="2"/>
  <c r="CP46" i="2"/>
  <c r="CP13" i="2"/>
  <c r="CP5" i="2"/>
  <c r="CP31" i="2"/>
  <c r="CP23" i="2"/>
  <c r="Y61" i="2"/>
  <c r="CP61" i="2" s="1"/>
  <c r="Y59" i="2"/>
  <c r="X59" i="2"/>
  <c r="CP21" i="2"/>
  <c r="CO9" i="2"/>
  <c r="CN9" i="2"/>
  <c r="CO29" i="2"/>
  <c r="CO19" i="2"/>
  <c r="CO43" i="2"/>
  <c r="CO45" i="2"/>
  <c r="CO10" i="2"/>
  <c r="CO46" i="2"/>
  <c r="CO13" i="2"/>
  <c r="CO5" i="2"/>
  <c r="CN43" i="2"/>
  <c r="CN45" i="2"/>
  <c r="CN10" i="2"/>
  <c r="CN46" i="2"/>
  <c r="CN13" i="2"/>
  <c r="CM46" i="2"/>
  <c r="CM5" i="2"/>
  <c r="CM31" i="2"/>
  <c r="CN5" i="2"/>
  <c r="CO31" i="2"/>
  <c r="CO23" i="2"/>
  <c r="CN31" i="2"/>
  <c r="CM21" i="2"/>
  <c r="CN21" i="2"/>
  <c r="CO21" i="2"/>
  <c r="V59" i="2"/>
  <c r="W59" i="2"/>
  <c r="CN23" i="2"/>
  <c r="CN19" i="2"/>
  <c r="CN29" i="2"/>
  <c r="CN33" i="2"/>
  <c r="CN34" i="2"/>
  <c r="CO34" i="2" s="1"/>
  <c r="CN39" i="2"/>
  <c r="CO39" i="2" s="1"/>
  <c r="CP39" i="2" s="1"/>
  <c r="CN32" i="2"/>
  <c r="CN41" i="2"/>
  <c r="CO41" i="2" s="1"/>
  <c r="CP41" i="2" s="1"/>
  <c r="CN57" i="2"/>
  <c r="CN58" i="2"/>
  <c r="CN36" i="2"/>
  <c r="CO36" i="2" s="1"/>
  <c r="CN38" i="2"/>
  <c r="CO38" i="2" s="1"/>
  <c r="CP38" i="2" s="1"/>
  <c r="CN44" i="2"/>
  <c r="CO44" i="2" s="1"/>
  <c r="CP44" i="2" s="1"/>
  <c r="O33" i="2"/>
  <c r="P56" i="2"/>
  <c r="P60" i="2" s="1"/>
  <c r="P62" i="2" s="1"/>
  <c r="P78" i="2" s="1"/>
  <c r="N43" i="2"/>
  <c r="N32" i="2"/>
  <c r="P77" i="2"/>
  <c r="P76" i="2"/>
  <c r="CM23" i="2"/>
  <c r="J4" i="1"/>
  <c r="J7" i="1" s="1"/>
  <c r="C23" i="3"/>
  <c r="C22" i="3"/>
  <c r="C26" i="5"/>
  <c r="P66" i="2"/>
  <c r="CN66" i="2" s="1"/>
  <c r="CH56" i="2"/>
  <c r="CH60" i="2" s="1"/>
  <c r="CH62" i="2" s="1"/>
  <c r="CH64" i="2" s="1"/>
  <c r="CH65" i="2" s="1"/>
  <c r="F44" i="2"/>
  <c r="G29" i="2"/>
  <c r="I5" i="2"/>
  <c r="I43" i="2"/>
  <c r="AA59" i="2"/>
  <c r="BW73" i="2" l="1"/>
  <c r="CA73" i="2"/>
  <c r="AM64" i="2"/>
  <c r="AM65" i="2" s="1"/>
  <c r="AM73" i="2" s="1"/>
  <c r="CN59" i="2"/>
  <c r="CQ61" i="2"/>
  <c r="AN64" i="2"/>
  <c r="AN65" i="2" s="1"/>
  <c r="AN73" i="2" s="1"/>
  <c r="CP54" i="2"/>
  <c r="CP76" i="2" s="1"/>
  <c r="CU13" i="2"/>
  <c r="CV13" i="2" s="1"/>
  <c r="CW13" i="2" s="1"/>
  <c r="CX13" i="2" s="1"/>
  <c r="CY13" i="2" s="1"/>
  <c r="CN54" i="2"/>
  <c r="CN76" i="2" s="1"/>
  <c r="AP73" i="2"/>
  <c r="CK54" i="2"/>
  <c r="CK76" i="2" s="1"/>
  <c r="CI54" i="2"/>
  <c r="CI76" i="2" s="1"/>
  <c r="CM54" i="2"/>
  <c r="CO54" i="2"/>
  <c r="CW30" i="2"/>
  <c r="CX30" i="2" s="1"/>
  <c r="CY30" i="2" s="1"/>
  <c r="CZ30" i="2" s="1"/>
  <c r="DA30" i="2" s="1"/>
  <c r="DB30" i="2" s="1"/>
  <c r="DB5" i="2"/>
  <c r="AG54" i="2"/>
  <c r="O54" i="2"/>
  <c r="O77" i="2" s="1"/>
  <c r="CP59" i="2"/>
  <c r="AD75" i="2"/>
  <c r="AD60" i="2"/>
  <c r="AD62" i="2" s="1"/>
  <c r="P75" i="2"/>
  <c r="CJ76" i="2"/>
  <c r="CJ56" i="2"/>
  <c r="CJ60" i="2" s="1"/>
  <c r="CJ62" i="2" s="1"/>
  <c r="CJ64" i="2" s="1"/>
  <c r="CJ65" i="2" s="1"/>
  <c r="P64" i="2"/>
  <c r="P65" i="2" s="1"/>
  <c r="CL76" i="2"/>
  <c r="CL56" i="2"/>
  <c r="AD77" i="2"/>
  <c r="AD76" i="2"/>
  <c r="CU57" i="2"/>
  <c r="CO59" i="2"/>
  <c r="CR66" i="2"/>
  <c r="CT31" i="2"/>
  <c r="CU31" i="2" s="1"/>
  <c r="AM80" i="2" l="1"/>
  <c r="AN80" i="2" s="1"/>
  <c r="AO80" i="2" s="1"/>
  <c r="AP80" i="2" s="1"/>
  <c r="CI56" i="2"/>
  <c r="CI60" i="2" s="1"/>
  <c r="CI62" i="2" s="1"/>
  <c r="CI64" i="2" s="1"/>
  <c r="CI65" i="2" s="1"/>
  <c r="CI73" i="2" s="1"/>
  <c r="CL68" i="2"/>
  <c r="CK56" i="2"/>
  <c r="CK60" i="2" s="1"/>
  <c r="CK62" i="2" s="1"/>
  <c r="CK64" i="2" s="1"/>
  <c r="CK65" i="2" s="1"/>
  <c r="CK73" i="2" s="1"/>
  <c r="CT66" i="2"/>
  <c r="CU66" i="2" s="1"/>
  <c r="CV66" i="2" s="1"/>
  <c r="CW66" i="2" s="1"/>
  <c r="CX66" i="2" s="1"/>
  <c r="CY66" i="2" s="1"/>
  <c r="CZ66" i="2" s="1"/>
  <c r="DA66" i="2" s="1"/>
  <c r="DB66" i="2" s="1"/>
  <c r="CT20" i="2"/>
  <c r="CT54" i="2" s="1"/>
  <c r="CT76" i="2" s="1"/>
  <c r="CS54" i="2"/>
  <c r="CS56" i="2" s="1"/>
  <c r="CP68" i="2"/>
  <c r="AG77" i="2"/>
  <c r="AG56" i="2"/>
  <c r="AG75" i="2" s="1"/>
  <c r="AG76" i="2"/>
  <c r="O56" i="2"/>
  <c r="O60" i="2" s="1"/>
  <c r="O62" i="2" s="1"/>
  <c r="AH62" i="2"/>
  <c r="AH78" i="2" s="1"/>
  <c r="O76" i="2"/>
  <c r="AJ68" i="2"/>
  <c r="CM76" i="2"/>
  <c r="CM68" i="2"/>
  <c r="CM56" i="2"/>
  <c r="AD78" i="2"/>
  <c r="AD64" i="2"/>
  <c r="AD65" i="2" s="1"/>
  <c r="CN68" i="2"/>
  <c r="CU23" i="2"/>
  <c r="CV57" i="2"/>
  <c r="CU59" i="2"/>
  <c r="CL75" i="2"/>
  <c r="CL60" i="2"/>
  <c r="CL62" i="2" s="1"/>
  <c r="CL64" i="2" s="1"/>
  <c r="CL65" i="2" s="1"/>
  <c r="CO76" i="2"/>
  <c r="CN56" i="2"/>
  <c r="CO68" i="2"/>
  <c r="CU21" i="2"/>
  <c r="CL73" i="2" l="1"/>
  <c r="CJ73" i="2"/>
  <c r="CS75" i="2"/>
  <c r="CS60" i="2"/>
  <c r="CS62" i="2" s="1"/>
  <c r="CU20" i="2"/>
  <c r="AG60" i="2"/>
  <c r="AG62" i="2" s="1"/>
  <c r="O75" i="2"/>
  <c r="O64" i="2"/>
  <c r="O65" i="2" s="1"/>
  <c r="O78" i="2"/>
  <c r="CV23" i="2"/>
  <c r="CW57" i="2"/>
  <c r="CV59" i="2"/>
  <c r="CM60" i="2"/>
  <c r="CM62" i="2" s="1"/>
  <c r="CM64" i="2" s="1"/>
  <c r="CM65" i="2" s="1"/>
  <c r="CM73" i="2" s="1"/>
  <c r="CM75" i="2"/>
  <c r="CS76" i="2"/>
  <c r="CN60" i="2"/>
  <c r="CN62" i="2" s="1"/>
  <c r="CN63" i="2" s="1"/>
  <c r="CN64" i="2" s="1"/>
  <c r="CN65" i="2" s="1"/>
  <c r="CN55" i="2"/>
  <c r="AH64" i="2"/>
  <c r="AH65" i="2" s="1"/>
  <c r="CT68" i="2"/>
  <c r="CV21" i="2"/>
  <c r="AH73" i="2" l="1"/>
  <c r="AL73" i="2"/>
  <c r="CV20" i="2"/>
  <c r="CU54" i="2"/>
  <c r="CU76" i="2" s="1"/>
  <c r="AG78" i="2"/>
  <c r="AG64" i="2"/>
  <c r="AG65" i="2" s="1"/>
  <c r="CS64" i="2"/>
  <c r="CX57" i="2"/>
  <c r="CW59" i="2"/>
  <c r="CW23" i="2"/>
  <c r="CN73" i="2"/>
  <c r="CW21" i="2"/>
  <c r="CX59" i="2" l="1"/>
  <c r="CY57" i="2"/>
  <c r="CU56" i="2"/>
  <c r="CU60" i="2" s="1"/>
  <c r="CU62" i="2" s="1"/>
  <c r="CU68" i="2"/>
  <c r="CW20" i="2"/>
  <c r="CV54" i="2"/>
  <c r="CV76" i="2" s="1"/>
  <c r="AJ73" i="2"/>
  <c r="CS65" i="2"/>
  <c r="CX23" i="2"/>
  <c r="CX21" i="2"/>
  <c r="CZ57" i="2" l="1"/>
  <c r="CY59" i="2"/>
  <c r="CU55" i="2"/>
  <c r="CV56" i="2"/>
  <c r="CV60" i="2" s="1"/>
  <c r="CV62" i="2" s="1"/>
  <c r="CX20" i="2"/>
  <c r="CW54" i="2"/>
  <c r="CW76" i="2" s="1"/>
  <c r="CV68" i="2"/>
  <c r="CV55" i="2"/>
  <c r="CX54" i="2" l="1"/>
  <c r="CX76" i="2" s="1"/>
  <c r="CY20" i="2"/>
  <c r="DA57" i="2"/>
  <c r="CZ59" i="2"/>
  <c r="CW56" i="2"/>
  <c r="CW60" i="2" s="1"/>
  <c r="CW62" i="2" s="1"/>
  <c r="CW68" i="2"/>
  <c r="CU63" i="2"/>
  <c r="CU64" i="2" s="1"/>
  <c r="CX56" i="2" l="1"/>
  <c r="CX55" i="2" s="1"/>
  <c r="CX68" i="2"/>
  <c r="DB57" i="2"/>
  <c r="DA59" i="2"/>
  <c r="CZ20" i="2"/>
  <c r="CY54" i="2"/>
  <c r="CW55" i="2"/>
  <c r="CU65" i="2"/>
  <c r="CX60" i="2" l="1"/>
  <c r="CX62" i="2" s="1"/>
  <c r="CX63" i="2" s="1"/>
  <c r="DA20" i="2"/>
  <c r="CZ54" i="2"/>
  <c r="CY56" i="2"/>
  <c r="CY60" i="2" s="1"/>
  <c r="CY62" i="2" s="1"/>
  <c r="CY68" i="2"/>
  <c r="CY76" i="2"/>
  <c r="DB59" i="2"/>
  <c r="CV63" i="2"/>
  <c r="CV64" i="2" s="1"/>
  <c r="CY63" i="2" l="1"/>
  <c r="CY64" i="2" s="1"/>
  <c r="CY65" i="2" s="1"/>
  <c r="CZ56" i="2"/>
  <c r="CZ60" i="2" s="1"/>
  <c r="CZ62" i="2" s="1"/>
  <c r="CZ63" i="2" s="1"/>
  <c r="CZ64" i="2" s="1"/>
  <c r="CZ65" i="2" s="1"/>
  <c r="CZ68" i="2"/>
  <c r="CZ76" i="2"/>
  <c r="CY55" i="2"/>
  <c r="DB20" i="2"/>
  <c r="DB54" i="2" s="1"/>
  <c r="DA54" i="2"/>
  <c r="CV65" i="2"/>
  <c r="CV73" i="2" s="1"/>
  <c r="CZ55" i="2" l="1"/>
  <c r="CZ73" i="2"/>
  <c r="DB68" i="2"/>
  <c r="DB56" i="2"/>
  <c r="DB60" i="2" s="1"/>
  <c r="DB62" i="2" s="1"/>
  <c r="DB63" i="2" s="1"/>
  <c r="DB64" i="2" s="1"/>
  <c r="DB65" i="2" s="1"/>
  <c r="DB76" i="2"/>
  <c r="DA56" i="2"/>
  <c r="DA60" i="2" s="1"/>
  <c r="DA62" i="2" s="1"/>
  <c r="DA63" i="2" s="1"/>
  <c r="DA64" i="2" s="1"/>
  <c r="DA65" i="2" s="1"/>
  <c r="DA73" i="2" s="1"/>
  <c r="DA68" i="2"/>
  <c r="DA76" i="2"/>
  <c r="CW63" i="2"/>
  <c r="CW64" i="2" s="1"/>
  <c r="DB55" i="2" l="1"/>
  <c r="DA55" i="2"/>
  <c r="DB73" i="2"/>
  <c r="CW65" i="2"/>
  <c r="CW73" i="2" s="1"/>
  <c r="CX64" i="2" l="1"/>
  <c r="CX65" i="2" l="1"/>
  <c r="DC64" i="2"/>
  <c r="DD64" i="2" l="1"/>
  <c r="DE64" i="2" s="1"/>
  <c r="DF64" i="2" s="1"/>
  <c r="DG64" i="2" s="1"/>
  <c r="DH64" i="2" s="1"/>
  <c r="DI64" i="2" s="1"/>
  <c r="DJ64" i="2" s="1"/>
  <c r="DK64" i="2" s="1"/>
  <c r="DL64" i="2" s="1"/>
  <c r="DM64" i="2" s="1"/>
  <c r="DN64" i="2" s="1"/>
  <c r="DO64" i="2" s="1"/>
  <c r="DP64" i="2" s="1"/>
  <c r="DQ64" i="2" s="1"/>
  <c r="DR64" i="2" s="1"/>
  <c r="DS64" i="2" s="1"/>
  <c r="DT64" i="2" s="1"/>
  <c r="DU64" i="2" s="1"/>
  <c r="DV64" i="2" s="1"/>
  <c r="DW64" i="2" s="1"/>
  <c r="DX64" i="2" s="1"/>
  <c r="DY64" i="2" s="1"/>
  <c r="DZ64" i="2" s="1"/>
  <c r="EA64" i="2" s="1"/>
  <c r="EB64" i="2" s="1"/>
  <c r="EC64" i="2" s="1"/>
  <c r="ED64" i="2" s="1"/>
  <c r="EE64" i="2" s="1"/>
  <c r="EF64" i="2" s="1"/>
  <c r="EG64" i="2" s="1"/>
  <c r="EH64" i="2" s="1"/>
  <c r="EI64" i="2" s="1"/>
  <c r="EJ64" i="2" s="1"/>
  <c r="EK64" i="2" s="1"/>
  <c r="EL64" i="2" s="1"/>
  <c r="EM64" i="2" s="1"/>
  <c r="EN64" i="2" s="1"/>
  <c r="EO64" i="2" s="1"/>
  <c r="EP64" i="2" s="1"/>
  <c r="EQ64" i="2" s="1"/>
  <c r="ER64" i="2" s="1"/>
  <c r="ES64" i="2" s="1"/>
  <c r="ET64" i="2" s="1"/>
  <c r="EU64" i="2" s="1"/>
  <c r="EV64" i="2" s="1"/>
  <c r="EW64" i="2" s="1"/>
  <c r="EX64" i="2" s="1"/>
  <c r="EY64" i="2" s="1"/>
  <c r="EZ64" i="2" s="1"/>
  <c r="FA64" i="2" s="1"/>
  <c r="FB64" i="2" s="1"/>
  <c r="FC64" i="2" s="1"/>
  <c r="FD64" i="2" s="1"/>
  <c r="FE64" i="2" s="1"/>
  <c r="FF64" i="2" s="1"/>
  <c r="FG64" i="2" s="1"/>
  <c r="FH64" i="2" s="1"/>
  <c r="FI64" i="2" s="1"/>
  <c r="FJ64" i="2" s="1"/>
  <c r="FK64" i="2" s="1"/>
  <c r="FL64" i="2" s="1"/>
  <c r="FM64" i="2" s="1"/>
  <c r="FN64" i="2" s="1"/>
  <c r="FO64" i="2" s="1"/>
  <c r="FP64" i="2" s="1"/>
  <c r="FQ64" i="2" s="1"/>
  <c r="FR64" i="2" s="1"/>
  <c r="FS64" i="2" s="1"/>
  <c r="FT64" i="2" s="1"/>
  <c r="FU64" i="2" s="1"/>
  <c r="FV64" i="2" s="1"/>
  <c r="FW64" i="2" s="1"/>
  <c r="FX64" i="2" s="1"/>
  <c r="FY64" i="2" s="1"/>
  <c r="FZ64" i="2" s="1"/>
  <c r="GA64" i="2" s="1"/>
  <c r="GB64" i="2" s="1"/>
  <c r="GC64" i="2" s="1"/>
  <c r="GD64" i="2" s="1"/>
  <c r="GE64" i="2" s="1"/>
  <c r="GF64" i="2" s="1"/>
  <c r="GG64" i="2" s="1"/>
  <c r="GH64" i="2" s="1"/>
  <c r="GI64" i="2" s="1"/>
  <c r="GJ64" i="2" s="1"/>
  <c r="GK64" i="2" s="1"/>
  <c r="CX73" i="2"/>
  <c r="CY73" i="2"/>
  <c r="L54" i="2" l="1"/>
  <c r="L77" i="2" s="1"/>
  <c r="L76" i="2" l="1"/>
  <c r="AK68" i="2"/>
  <c r="AK56" i="2"/>
  <c r="L56" i="2"/>
  <c r="AK75" i="2" l="1"/>
  <c r="AK60" i="2"/>
  <c r="AK62" i="2" s="1"/>
  <c r="AK78" i="2" s="1"/>
  <c r="L60" i="2"/>
  <c r="L62" i="2" s="1"/>
  <c r="L75" i="2"/>
  <c r="H54" i="2"/>
  <c r="H77" i="2" s="1"/>
  <c r="L64" i="2" l="1"/>
  <c r="L65" i="2" s="1"/>
  <c r="P73" i="2" s="1"/>
  <c r="L78" i="2"/>
  <c r="AK64" i="2"/>
  <c r="AK65" i="2" s="1"/>
  <c r="H76" i="2"/>
  <c r="H56" i="2"/>
  <c r="AK73" i="2" l="1"/>
  <c r="AO73" i="2"/>
  <c r="H60" i="2"/>
  <c r="H62" i="2" s="1"/>
  <c r="H75" i="2"/>
  <c r="H64" i="2" l="1"/>
  <c r="H65" i="2" s="1"/>
  <c r="L73" i="2" s="1"/>
  <c r="H78" i="2"/>
  <c r="I54" i="2"/>
  <c r="I76" i="2" s="1"/>
  <c r="I77" i="2" l="1"/>
  <c r="I56" i="2"/>
  <c r="I75" i="2" l="1"/>
  <c r="I60" i="2"/>
  <c r="I62" i="2" s="1"/>
  <c r="I78" i="2" l="1"/>
  <c r="I64" i="2"/>
  <c r="I65" i="2" s="1"/>
  <c r="G54" i="2"/>
  <c r="G77" i="2" s="1"/>
  <c r="G56" i="2" l="1"/>
  <c r="G76" i="2"/>
  <c r="G60" i="2" l="1"/>
  <c r="G62" i="2" s="1"/>
  <c r="G75" i="2"/>
  <c r="G78" i="2" l="1"/>
  <c r="G64" i="2"/>
  <c r="G65" i="2" s="1"/>
  <c r="K54" i="2"/>
  <c r="K77" i="2" s="1"/>
  <c r="K76" i="2" l="1"/>
  <c r="K56" i="2"/>
  <c r="K75" i="2" l="1"/>
  <c r="K60" i="2"/>
  <c r="K62" i="2" s="1"/>
  <c r="M54" i="2"/>
  <c r="M76" i="2" s="1"/>
  <c r="M56" i="2" l="1"/>
  <c r="M75" i="2" s="1"/>
  <c r="K64" i="2"/>
  <c r="K65" i="2" s="1"/>
  <c r="K78" i="2"/>
  <c r="M77" i="2"/>
  <c r="M60" i="2" l="1"/>
  <c r="M62" i="2" s="1"/>
  <c r="K73" i="2"/>
  <c r="O73" i="2"/>
  <c r="F54" i="2"/>
  <c r="F77" i="2" s="1"/>
  <c r="M78" i="2" l="1"/>
  <c r="M64" i="2"/>
  <c r="M65" i="2" s="1"/>
  <c r="F76" i="2"/>
  <c r="F56" i="2"/>
  <c r="M73" i="2" l="1"/>
  <c r="F60" i="2"/>
  <c r="F62" i="2" s="1"/>
  <c r="F75" i="2"/>
  <c r="F78" i="2" l="1"/>
  <c r="F64" i="2"/>
  <c r="F65" i="2" s="1"/>
  <c r="J54" i="2"/>
  <c r="J76" i="2" s="1"/>
  <c r="J77" i="2" l="1"/>
  <c r="J56" i="2"/>
  <c r="J75" i="2" l="1"/>
  <c r="J60" i="2"/>
  <c r="J62" i="2" s="1"/>
  <c r="J78" i="2" l="1"/>
  <c r="J64" i="2"/>
  <c r="J65" i="2" s="1"/>
  <c r="CT56" i="2"/>
  <c r="CT60" i="2" s="1"/>
  <c r="CT62" i="2" s="1"/>
  <c r="CT63" i="2" l="1"/>
  <c r="CT64" i="2" s="1"/>
  <c r="CT55" i="2"/>
  <c r="CT65" i="2" l="1"/>
  <c r="CU73" i="2" l="1"/>
  <c r="CT73" i="2"/>
  <c r="S20" i="2" l="1"/>
  <c r="S54" i="2" s="1"/>
  <c r="S56" i="2" s="1"/>
  <c r="U20" i="2"/>
  <c r="U54" i="2" s="1"/>
  <c r="T20" i="2"/>
  <c r="T54" i="2" s="1"/>
  <c r="T77" i="2" s="1"/>
  <c r="N20" i="2"/>
  <c r="N54" i="2" s="1"/>
  <c r="R20" i="2"/>
  <c r="R54" i="2" s="1"/>
  <c r="R77" i="2" s="1"/>
  <c r="Q20" i="2"/>
  <c r="Q54" i="2" s="1"/>
  <c r="Q56" i="2" s="1"/>
  <c r="Q77" i="2" l="1"/>
  <c r="Q76" i="2"/>
  <c r="R56" i="2"/>
  <c r="R75" i="2" s="1"/>
  <c r="N76" i="2"/>
  <c r="N77" i="2"/>
  <c r="N56" i="2"/>
  <c r="U56" i="2"/>
  <c r="U60" i="2" s="1"/>
  <c r="U62" i="2" s="1"/>
  <c r="U64" i="2" s="1"/>
  <c r="U65" i="2" s="1"/>
  <c r="U68" i="2"/>
  <c r="U76" i="2"/>
  <c r="U77" i="2"/>
  <c r="S60" i="2"/>
  <c r="S62" i="2" s="1"/>
  <c r="S64" i="2" s="1"/>
  <c r="S65" i="2" s="1"/>
  <c r="S73" i="2" s="1"/>
  <c r="Q60" i="2"/>
  <c r="Q62" i="2" s="1"/>
  <c r="Q75" i="2"/>
  <c r="T68" i="2"/>
  <c r="S76" i="2"/>
  <c r="R76" i="2"/>
  <c r="T76" i="2"/>
  <c r="S77" i="2"/>
  <c r="T56" i="2"/>
  <c r="T60" i="2" s="1"/>
  <c r="T62" i="2" s="1"/>
  <c r="T64" i="2" s="1"/>
  <c r="T65" i="2" s="1"/>
  <c r="T73" i="2" s="1"/>
  <c r="R60" i="2" l="1"/>
  <c r="R62" i="2" s="1"/>
  <c r="R78" i="2" s="1"/>
  <c r="Q64" i="2"/>
  <c r="Q65" i="2" s="1"/>
  <c r="Q73" i="2" s="1"/>
  <c r="Q78" i="2"/>
  <c r="U73" i="2"/>
  <c r="N75" i="2"/>
  <c r="N60" i="2"/>
  <c r="N62" i="2" s="1"/>
  <c r="R64" i="2" l="1"/>
  <c r="R65" i="2" s="1"/>
  <c r="N78" i="2"/>
  <c r="N64" i="2"/>
  <c r="N65" i="2" s="1"/>
  <c r="N73" i="2" s="1"/>
  <c r="R73" i="2" l="1"/>
  <c r="V68" i="2" l="1"/>
  <c r="V77" i="2"/>
  <c r="V76" i="2"/>
  <c r="V56" i="2"/>
  <c r="V60" i="2" s="1"/>
  <c r="V62" i="2" s="1"/>
  <c r="V64" i="2" s="1"/>
  <c r="V65" i="2" s="1"/>
  <c r="V73" i="2" s="1"/>
  <c r="CO56" i="2" l="1"/>
  <c r="CO75" i="2" s="1"/>
  <c r="CO55" i="2" l="1"/>
  <c r="CO60" i="2"/>
  <c r="CO62" i="2" s="1"/>
  <c r="CO64" i="2" s="1"/>
  <c r="CO65" i="2" s="1"/>
  <c r="CO73" i="2" s="1"/>
  <c r="AA77" i="2" l="1"/>
  <c r="AA76" i="2"/>
  <c r="AA56" i="2"/>
  <c r="AA75" i="2" l="1"/>
  <c r="AA60" i="2"/>
  <c r="AA62" i="2" s="1"/>
  <c r="AA64" i="2" l="1"/>
  <c r="AA78" i="2"/>
  <c r="AA80" i="2" l="1"/>
  <c r="AA65" i="2"/>
  <c r="Y53" i="2"/>
  <c r="Y54" i="2" s="1"/>
  <c r="Y77" i="2" s="1"/>
  <c r="Y56" i="2" l="1"/>
  <c r="Y76" i="2"/>
  <c r="Y68" i="2"/>
  <c r="Y60" i="2" l="1"/>
  <c r="Y62" i="2" s="1"/>
  <c r="Y75" i="2"/>
  <c r="Y64" i="2" l="1"/>
  <c r="Y65" i="2" s="1"/>
  <c r="Y73" i="2" s="1"/>
  <c r="Y78" i="2"/>
  <c r="Z56" i="2"/>
  <c r="Z60" i="2" s="1"/>
  <c r="Z62" i="2" s="1"/>
  <c r="Z68" i="2"/>
  <c r="AD68" i="2"/>
  <c r="Z76" i="2"/>
  <c r="Z77" i="2"/>
  <c r="Z64" i="2" l="1"/>
  <c r="Z65" i="2" s="1"/>
  <c r="Z78" i="2"/>
  <c r="Z75" i="2"/>
  <c r="Z73" i="2" l="1"/>
  <c r="AD73" i="2"/>
  <c r="CR20" i="2"/>
  <c r="CR54" i="2" s="1"/>
  <c r="CS68" i="2" l="1"/>
  <c r="CR56" i="2"/>
  <c r="CR76" i="2"/>
  <c r="AE77" i="2"/>
  <c r="AE76" i="2"/>
  <c r="AE68" i="2"/>
  <c r="AI68" i="2"/>
  <c r="AE56" i="2"/>
  <c r="AE75" i="2" l="1"/>
  <c r="AE60" i="2"/>
  <c r="AE62" i="2" s="1"/>
  <c r="CR75" i="2"/>
  <c r="CR60" i="2"/>
  <c r="CR62" i="2" s="1"/>
  <c r="CR64" i="2" s="1"/>
  <c r="DE76" i="2" l="1"/>
  <c r="DE77" i="2" s="1"/>
  <c r="CR65" i="2"/>
  <c r="AE78" i="2"/>
  <c r="AE64" i="2"/>
  <c r="AE65" i="2" s="1"/>
  <c r="CS73" i="2" l="1"/>
  <c r="AE73" i="2"/>
  <c r="AI73" i="2"/>
  <c r="W53" i="2"/>
  <c r="W54" i="2" s="1"/>
  <c r="W77" i="2" s="1"/>
  <c r="W56" i="2" l="1"/>
  <c r="W75" i="2" s="1"/>
  <c r="AA68" i="2"/>
  <c r="W76" i="2"/>
  <c r="W68" i="2"/>
  <c r="W60" i="2" l="1"/>
  <c r="W62" i="2" s="1"/>
  <c r="W78" i="2"/>
  <c r="W64" i="2"/>
  <c r="W65" i="2" s="1"/>
  <c r="W73" i="2" l="1"/>
  <c r="AA73" i="2"/>
  <c r="X53" i="2"/>
  <c r="X54" i="2" s="1"/>
  <c r="X77" i="2" s="1"/>
  <c r="X56" i="2" l="1"/>
  <c r="X75" i="2" s="1"/>
  <c r="CP56" i="2"/>
  <c r="CP75" i="2" s="1"/>
  <c r="X76" i="2"/>
  <c r="X68" i="2"/>
  <c r="X60" i="2" l="1"/>
  <c r="X62" i="2" s="1"/>
  <c r="CP55" i="2"/>
  <c r="CP60" i="2"/>
  <c r="CP62" i="2" s="1"/>
  <c r="CP64" i="2" s="1"/>
  <c r="CP65" i="2" s="1"/>
  <c r="CP73" i="2" s="1"/>
  <c r="AC53" i="2"/>
  <c r="AC54" i="2" s="1"/>
  <c r="AC68" i="2" s="1"/>
  <c r="X64" i="2" l="1"/>
  <c r="X65" i="2" s="1"/>
  <c r="X73" i="2" s="1"/>
  <c r="X78" i="2"/>
  <c r="AG68" i="2"/>
  <c r="AC56" i="2"/>
  <c r="AC76" i="2"/>
  <c r="AC77" i="2"/>
  <c r="AC60" i="2" l="1"/>
  <c r="AC62" i="2" s="1"/>
  <c r="AC75" i="2"/>
  <c r="AC64" i="2" l="1"/>
  <c r="AC65" i="2" s="1"/>
  <c r="AC78" i="2"/>
  <c r="AG73" i="2" l="1"/>
  <c r="AC73" i="2"/>
  <c r="CQ20" i="2"/>
  <c r="CQ54" i="2"/>
  <c r="CQ56" i="2" s="1"/>
  <c r="AB53" i="2"/>
  <c r="AB54" i="2" s="1"/>
  <c r="AB56" i="2" s="1"/>
  <c r="AB75" i="2" l="1"/>
  <c r="AB60" i="2"/>
  <c r="AB62" i="2" s="1"/>
  <c r="AB64" i="2" s="1"/>
  <c r="AB65" i="2" s="1"/>
  <c r="AB77" i="2"/>
  <c r="CQ60" i="2"/>
  <c r="CQ62" i="2" s="1"/>
  <c r="CQ64" i="2" s="1"/>
  <c r="CQ65" i="2" s="1"/>
  <c r="CQ75" i="2"/>
  <c r="AF73" i="2"/>
  <c r="AB73" i="2"/>
  <c r="CQ68" i="2"/>
  <c r="CQ76" i="2"/>
  <c r="CR68" i="2"/>
  <c r="AB78" i="2"/>
  <c r="AB68" i="2"/>
  <c r="AF68" i="2"/>
  <c r="AB76" i="2"/>
  <c r="CQ73" i="2" l="1"/>
  <c r="CR7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</author>
    <author>Martin Shkreli</author>
    <author>MSMB - Andre</author>
    <author>tc={63959650-84D7-46CF-829F-FD9E350BCC20}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Lane Nussbaum</author>
    <author>tc={00F4491F-C819-44C1-AC45-2ABA1B7BE593}</author>
    <author>tc={8874A794-CB8F-4280-B6A0-27B01371D863}</author>
    <author>Bloomberg</author>
  </authors>
  <commentList>
    <comment ref="Q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AE5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E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CW9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10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O13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E13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E19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N21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A21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E2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H2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N21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R21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S21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2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Q2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CT2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4" authorId="4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CO29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E31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Q31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E45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CW45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46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CS46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E54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O54" authorId="5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P54" authorId="6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Q54" authorId="7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R54" authorId="8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S54" authorId="9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T54" authorId="10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U54" authorId="11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V54" authorId="12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M54" authorId="2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N54" authorId="2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O54" authorId="13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P54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Q54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P60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Q60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N61" authorId="2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N61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N63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O63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P63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Q63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S64" authorId="14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BW64" authorId="15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M65" authorId="16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P65" authorId="2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R65" authorId="16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E65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M65" authorId="2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N65" authorId="2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O65" authorId="13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Q65" authorId="3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R65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CN75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sharedStrings.xml><?xml version="1.0" encoding="utf-8"?>
<sst xmlns="http://schemas.openxmlformats.org/spreadsheetml/2006/main" count="694" uniqueCount="509">
  <si>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</si>
  <si>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</si>
  <si>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</si>
  <si>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</si>
  <si>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</si>
  <si>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</si>
  <si>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</si>
  <si>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</si>
  <si>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</si>
  <si>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</si>
  <si>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</si>
  <si>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</si>
  <si>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</si>
  <si>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</si>
  <si>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</si>
  <si>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</si>
  <si>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</si>
  <si>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</si>
  <si>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</si>
  <si>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</si>
  <si>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</si>
  <si>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</si>
  <si>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</si>
  <si>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</si>
  <si>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</si>
  <si>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</si>
  <si>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</si>
  <si>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</si>
  <si>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</si>
  <si>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</si>
  <si>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</si>
  <si>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</si>
  <si>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</si>
  <si>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</si>
  <si>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</si>
  <si>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</si>
  <si>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</si>
  <si>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</si>
  <si>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</si>
  <si>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</si>
  <si>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</si>
  <si>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</si>
  <si>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</si>
  <si>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</si>
  <si>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</si>
  <si>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</si>
  <si>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</si>
  <si>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</si>
  <si>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</si>
  <si>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</si>
  <si>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</si>
  <si>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</si>
  <si>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</si>
  <si>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</si>
  <si>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</si>
  <si>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</si>
  <si>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</si>
  <si>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</si>
  <si>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</si>
  <si>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</si>
  <si>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</si>
  <si>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</si>
  <si>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</si>
  <si>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</si>
  <si>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</si>
  <si>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</si>
  <si>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</si>
  <si>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</si>
  <si>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</si>
  <si>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</si>
  <si>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</si>
  <si>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</si>
  <si>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</si>
  <si>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</si>
  <si>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</si>
  <si>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</si>
  <si>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</si>
  <si>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</si>
  <si>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</si>
  <si>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</si>
  <si>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</si>
  <si>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</si>
  <si>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</si>
  <si>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</si>
  <si>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</si>
  <si>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</si>
  <si>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</si>
  <si>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</si>
  <si>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</si>
  <si>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</si>
  <si>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</si>
  <si>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</si>
  <si>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</si>
  <si>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</si>
  <si>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</si>
  <si>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</si>
  <si>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</si>
  <si>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</si>
  <si>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</si>
  <si>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</si>
  <si>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</si>
  <si>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</si>
  <si>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</si>
  <si>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</si>
  <si>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</si>
  <si>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</si>
  <si>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</si>
  <si>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</si>
  <si>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</si>
  <si>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</si>
  <si>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</si>
  <si>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</si>
  <si>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</si>
  <si>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</si>
  <si>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</si>
  <si>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</si>
  <si>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</si>
  <si>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</si>
  <si>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</si>
  <si>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</si>
  <si>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</si>
  <si>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</si>
  <si>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</si>
  <si>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</si>
  <si>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</si>
  <si>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</si>
  <si>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</si>
  <si>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</si>
  <si>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</si>
  <si>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</si>
  <si>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</si>
  <si>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</si>
  <si>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</si>
  <si>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</si>
  <si>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</si>
  <si>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</si>
  <si>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</si>
  <si>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</si>
  <si>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</si>
  <si>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</si>
  <si>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</si>
  <si>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</si>
  <si>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</si>
  <si>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</si>
  <si>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</si>
  <si>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</si>
  <si>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</si>
  <si>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</si>
  <si>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</si>
  <si>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</si>
  <si>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</si>
  <si>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</si>
  <si>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</si>
  <si>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</si>
  <si>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</si>
  <si>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</si>
  <si>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</si>
  <si>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</si>
  <si>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</si>
  <si>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</si>
  <si>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5-HT2A ant.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</si>
  <si>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</si>
  <si>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</si>
  <si>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</si>
  <si>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</si>
  <si>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</si>
  <si>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</si>
  <si>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</si>
  <si>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</si>
  <si>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</si>
  <si>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</si>
  <si>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</si>
  <si>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</si>
  <si>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</si>
  <si>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</si>
  <si>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</si>
  <si>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</si>
  <si>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</si>
  <si>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</si>
  <si>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</si>
  <si>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</si>
  <si>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</si>
  <si>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</si>
  <si>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</si>
  <si>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</si>
  <si>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</si>
  <si>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</si>
  <si>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</si>
  <si>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</si>
  <si>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</si>
  <si>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</si>
  <si>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</si>
  <si>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</si>
  <si>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</si>
  <si>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</si>
  <si>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</si>
  <si>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</si>
  <si>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</si>
  <si>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</si>
  <si>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</si>
  <si>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</si>
  <si>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</si>
  <si>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</si>
  <si>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</si>
  <si>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</si>
  <si>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</si>
  <si>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</si>
  <si>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</si>
  <si>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</si>
  <si>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Filed</t>
  </si>
  <si>
    <t>Early Stage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</si>
  <si>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</si>
  <si>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</si>
  <si>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</si>
  <si>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</si>
  <si>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</si>
  <si>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</si>
  <si>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</si>
  <si>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</si>
  <si>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</si>
  <si>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</si>
  <si>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</si>
  <si>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</si>
  <si>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</si>
  <si>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</si>
  <si>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</si>
  <si>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</si>
  <si>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</si>
  <si>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</si>
  <si>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</si>
  <si>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</si>
  <si>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</si>
  <si>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</si>
  <si>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</si>
  <si>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</si>
  <si>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</si>
  <si>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</si>
  <si>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</si>
  <si>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</si>
  <si>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</si>
  <si>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</si>
  <si>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</si>
  <si>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</si>
  <si>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</si>
  <si>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</si>
  <si>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</si>
  <si>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</si>
  <si>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</si>
  <si>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</si>
  <si>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</si>
  <si>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</si>
  <si>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</si>
  <si>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</si>
  <si>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</si>
  <si>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</si>
  <si>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</si>
  <si>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</si>
  <si>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</si>
  <si>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</si>
  <si>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</si>
  <si>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</si>
  <si>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</si>
  <si>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</si>
  <si>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</si>
  <si>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</si>
  <si>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</si>
  <si>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</si>
  <si>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</si>
  <si>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</si>
  <si>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</si>
  <si>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</si>
  <si>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</si>
  <si>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</si>
  <si>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</si>
  <si>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</si>
  <si>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</si>
  <si>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</si>
  <si>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</si>
  <si>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</si>
  <si>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</si>
  <si>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</si>
  <si>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</si>
  <si>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</si>
  <si>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</si>
  <si>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</si>
  <si>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</si>
  <si>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</si>
  <si>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</si>
  <si>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</si>
  <si>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</si>
  <si>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</si>
  <si>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</si>
  <si>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</si>
  <si>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</si>
  <si>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</si>
  <si>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</si>
  <si>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</si>
  <si>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</si>
  <si>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</si>
  <si>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</si>
  <si>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</si>
  <si>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</si>
  <si>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</si>
  <si>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</si>
  <si>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</si>
  <si>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</si>
  <si>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</si>
  <si>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</si>
  <si>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</si>
  <si>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</si>
  <si>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</si>
  <si>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</si>
  <si>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</si>
  <si>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</si>
  <si>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</si>
  <si>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</si>
  <si>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</si>
  <si>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</si>
  <si>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</si>
  <si>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</si>
  <si>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</si>
  <si>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</si>
  <si>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</si>
  <si>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</si>
  <si>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</si>
  <si>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</si>
  <si>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</si>
  <si>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Tradjenta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</si>
  <si>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</si>
  <si>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</si>
  <si>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</si>
  <si>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</si>
  <si>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</si>
  <si>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</si>
  <si>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</si>
  <si>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</si>
  <si>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</si>
  <si>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</si>
  <si>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</si>
  <si>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</si>
  <si>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</si>
  <si>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</si>
  <si>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</si>
  <si>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</si>
  <si>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</si>
  <si>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</si>
  <si>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</si>
  <si>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</si>
  <si>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</si>
  <si>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</si>
  <si>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</si>
  <si>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</si>
  <si>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</si>
  <si>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</si>
  <si>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</si>
  <si>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</si>
  <si>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</si>
  <si>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</si>
  <si>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</si>
  <si>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</si>
  <si>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</si>
  <si>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</si>
  <si>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</si>
  <si>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</si>
  <si>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</si>
  <si>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</si>
  <si>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</si>
  <si>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</si>
  <si>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</si>
  <si>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</si>
  <si>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</si>
  <si>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</si>
  <si>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</si>
  <si>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</si>
  <si>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</si>
  <si>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</si>
  <si>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</si>
  <si>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</si>
  <si>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</si>
  <si>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</si>
  <si>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</si>
  <si>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</si>
  <si>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</si>
  <si>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</si>
  <si>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Basqimi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</si>
  <si>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</si>
  <si>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</si>
  <si>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</si>
  <si>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</si>
  <si>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</si>
  <si>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</si>
  <si>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</si>
  <si>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</si>
  <si>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</si>
  <si>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</si>
  <si>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</si>
  <si>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</si>
  <si>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</si>
  <si>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</si>
  <si>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</si>
  <si>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</si>
  <si>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</si>
  <si>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</si>
  <si>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</si>
  <si>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</si>
  <si>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</si>
  <si>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</si>
  <si>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</si>
  <si>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</si>
  <si>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</si>
  <si>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</si>
  <si>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</si>
  <si>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</si>
  <si>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</si>
  <si>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</si>
  <si>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</si>
  <si>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</si>
  <si>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</si>
  <si>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</si>
  <si>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</si>
  <si>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</si>
  <si>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</si>
  <si>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</si>
  <si>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</si>
  <si>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</si>
  <si>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</si>
  <si>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</si>
  <si>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</si>
  <si>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</si>
  <si>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</si>
  <si>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</si>
  <si>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</si>
  <si>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</si>
  <si>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</si>
  <si>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</si>
  <si>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</si>
  <si>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</si>
  <si>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</si>
  <si>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</si>
  <si>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</si>
  <si>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</si>
  <si>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</si>
  <si>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</si>
  <si>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</si>
  <si>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</si>
  <si>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</si>
  <si>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</si>
  <si>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</si>
  <si>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</si>
  <si>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</si>
  <si>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</si>
  <si>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</si>
  <si>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</si>
  <si>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</si>
  <si>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</si>
  <si>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</si>
  <si>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</si>
  <si>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</si>
  <si>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</si>
  <si>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</si>
  <si>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</si>
  <si>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</si>
  <si>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</si>
  <si>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</si>
  <si>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tirzepatide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</si>
  <si>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</si>
  <si>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</si>
  <si>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</si>
  <si>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</si>
  <si>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</si>
  <si>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</si>
  <si>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</si>
  <si>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</si>
  <si>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</si>
  <si>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</si>
  <si>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</si>
  <si>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lebrikizumab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</si>
  <si>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</si>
  <si>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</si>
  <si>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</si>
  <si>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</si>
  <si>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</si>
  <si>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</si>
  <si>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</si>
  <si>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</si>
  <si>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</si>
  <si>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</si>
  <si>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</si>
  <si>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</si>
  <si>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</si>
  <si>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mirikizumab</t>
  </si>
  <si>
    <t>Crohn's, UC</t>
  </si>
  <si>
    <t>donanemab</t>
  </si>
  <si>
    <t>solanezumab</t>
  </si>
  <si>
    <t>a-beta mab</t>
  </si>
  <si>
    <t>Retevmo (selpercatinib)</t>
  </si>
  <si>
    <t>Tyvyt (sintilimab)</t>
  </si>
  <si>
    <t>LOXO-305 (pirtobrutinib)</t>
  </si>
  <si>
    <t>MCL, CLL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</si>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</sst>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3" fillId="2" borderId="0" xfId="0" applyFont="1" applyFill="1" applyBorder="1"/>
    <xf numFmtId="0" fontId="0" fillId="2" borderId="11" xfId="0" applyFill="1" applyBorder="1"/>
    <xf numFmtId="0" fontId="1" fillId="2" borderId="0" xfId="1" applyFont="1" applyFill="1" applyAlignment="1" applyProtection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Border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right"/>
    </xf>
    <xf numFmtId="3" fontId="0" fillId="0" borderId="0" xfId="0" applyNumberFormat="1" applyFill="1"/>
    <xf numFmtId="3" fontId="4" fillId="0" borderId="0" xfId="0" applyNumberFormat="1" applyFont="1" applyFill="1"/>
    <xf numFmtId="3" fontId="0" fillId="0" borderId="0" xfId="0" applyNumberForma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3" fillId="0" borderId="0" xfId="0" applyFont="1" applyFill="1"/>
    <xf numFmtId="3" fontId="3" fillId="0" borderId="0" xfId="0" applyNumberFormat="1" applyFont="1" applyFill="1" applyAlignment="1">
      <alignment horizontal="right"/>
    </xf>
    <xf numFmtId="3" fontId="3" fillId="0" borderId="0" xfId="0" applyNumberFormat="1" applyFont="1" applyFill="1"/>
    <xf numFmtId="0" fontId="4" fillId="0" borderId="0" xfId="0" applyFont="1" applyFill="1" applyBorder="1"/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2" fontId="3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0" fontId="0" fillId="0" borderId="0" xfId="0" applyFont="1" applyFill="1"/>
    <xf numFmtId="3" fontId="4" fillId="3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4" fillId="4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57150</xdr:colOff>
      <xdr:row>0</xdr:row>
      <xdr:rowOff>0</xdr:rowOff>
    </xdr:from>
    <xdr:to>
      <xdr:col>75</xdr:col>
      <xdr:colOff>57150</xdr:colOff>
      <xdr:row>141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35718750" y="0"/>
          <a:ext cx="0" cy="15220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96</xdr:col>
      <xdr:colOff>47625</xdr:colOff>
      <xdr:row>0</xdr:row>
      <xdr:rowOff>0</xdr:rowOff>
    </xdr:from>
    <xdr:to>
      <xdr:col>96</xdr:col>
      <xdr:colOff>47625</xdr:colOff>
      <xdr:row>80</xdr:row>
      <xdr:rowOff>0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25441275" y="0"/>
          <a:ext cx="0" cy="10201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V24" dT="2022-08-01T18:27:07.85" personId="{13399233-BA81-4949-9BE8-57EDDD85014C}" id="{63959650-84D7-46CF-829F-FD9E350BCC20}">
    <text>372.5m</text>
  </threadedComment>
  <threadedComment ref="BO54" dT="2022-08-01T19:29:14.28" personId="{13399233-BA81-4949-9BE8-57EDDD85014C}" id="{E60352B4-4A0D-4646-997E-29633AD2D222}">
    <text>5859.8m reported revenue</text>
  </threadedComment>
  <threadedComment ref="BP54" dT="2022-08-01T19:13:29.91" personId="{13399233-BA81-4949-9BE8-57EDDD85014C}" id="{D23219C3-585B-4401-96E4-A54AA852CF63}">
    <text>5499.4m reported revenue</text>
  </threadedComment>
  <threadedComment ref="BQ54" dT="2022-08-01T19:08:14.14" personId="{13399233-BA81-4949-9BE8-57EDDD85014C}" id="{A2E464E0-CBDF-4ECE-9C4E-FC1B4BA053F8}">
    <text>5740.6 reported revenue</text>
  </threadedComment>
  <threadedComment ref="BR54" dT="2022-08-01T18:51:30.86" personId="{13399233-BA81-4949-9BE8-57EDDD85014C}" id="{F1B0E7D4-F86C-4460-9BB2-30549C72BA4D}">
    <text>7440.0 actual reported</text>
  </threadedComment>
  <threadedComment ref="BS54" dT="2022-08-01T19:28:46.54" personId="{13399233-BA81-4949-9BE8-57EDDD85014C}" id="{27F9AA8E-4F00-4838-B3AE-5C359EA80361}">
    <text>6805.6 reported</text>
  </threadedComment>
  <threadedComment ref="BT54" dT="2022-08-01T19:13:16.67" personId="{13399233-BA81-4949-9BE8-57EDDD85014C}" id="{AFC9B85C-9AC1-4E0B-A0FD-4EC0747D6C85}">
    <text>6740 reported revenue</text>
  </threadedComment>
  <threadedComment ref="BU54" dT="2022-08-01T19:08:01.93" personId="{13399233-BA81-4949-9BE8-57EDDD85014C}" id="{3630D8DA-CEAE-49F9-B57E-A7443096F4CE}">
    <text>6772.8 reported revenue</text>
  </threadedComment>
  <threadedComment ref="BV54" dT="2022-08-01T18:31:56.86" personId="{13399233-BA81-4949-9BE8-57EDDD85014C}" id="{D7A857CD-B43A-4E52-BA69-3F839DE07274}">
    <text>Actual reported 7999.9</text>
  </threadedComment>
  <threadedComment ref="BS64" dT="2022-08-01T18:07:16.89" personId="{13399233-BA81-4949-9BE8-57EDDD85014C}" id="{00F4491F-C819-44C1-AC45-2ABA1B7BE593}">
    <text>actual adjusted 1465.5</text>
  </threadedComment>
  <threadedComment ref="BW64" dT="2022-08-01T18:06:59.44" personId="{13399233-BA81-4949-9BE8-57EDDD85014C}" id="{8874A794-CB8F-4280-B6A0-27B01371D863}">
    <text>actual adjusted 2372.8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54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defaultRowHeight="12.75"/>
  <cols>
    <col min="1" max="1" width="5" bestFit="1" customWidth="1"/>
    <col min="2" max="2" width="13.5703125" customWidth="1"/>
  </cols>
  <sheetData>
    <row r="1" spans="1:7">
      <c r="A1" s="15" t="s">
        <v>6</v>
      </c>
    </row>
    <row r="2" spans="1:7">
      <c r="B2" s="43" t="s">
        <v>409</v>
      </c>
      <c r="C2" s="43" t="s">
        <v>410</v>
      </c>
      <c r="D2" s="43" t="s">
        <v>1</v>
      </c>
      <c r="E2" s="43" t="s">
        <v>412</v>
      </c>
      <c r="F2" s="43" t="s">
        <v>2</v>
      </c>
      <c r="G2" s="43" t="s">
        <v>386</v>
      </c>
    </row>
    <row r="3" spans="1:7">
      <c r="B3" s="43" t="s">
        <v>19</v>
      </c>
      <c r="C3" s="43" t="s">
        <v>231</v>
      </c>
      <c r="D3" s="43"/>
      <c r="E3" s="43"/>
      <c r="F3" s="43"/>
      <c r="G3" s="43"/>
    </row>
    <row r="4" spans="1:7">
      <c r="B4" s="43" t="s">
        <v>282</v>
      </c>
      <c r="C4" s="43"/>
      <c r="D4" s="43"/>
      <c r="E4" s="43"/>
    </row>
    <row r="5" spans="1:7">
      <c r="B5" s="43" t="s">
        <v>461</v>
      </c>
      <c r="C5" s="43" t="s">
        <v>480</v>
      </c>
      <c r="D5" s="43"/>
      <c r="E5" s="43"/>
    </row>
    <row r="6" spans="1:7">
      <c r="B6" s="43" t="s">
        <v>488</v>
      </c>
      <c r="C6" s="43" t="s">
        <v>489</v>
      </c>
      <c r="D6" s="43"/>
      <c r="E6" s="43"/>
      <c r="F6" t="s">
        <v>279</v>
      </c>
    </row>
    <row r="7" spans="1:7">
      <c r="B7" s="43" t="s">
        <v>14</v>
      </c>
      <c r="C7" s="43" t="s">
        <v>411</v>
      </c>
      <c r="D7" s="43" t="s">
        <v>413</v>
      </c>
      <c r="E7" s="43" t="s">
        <v>107</v>
      </c>
    </row>
    <row r="8" spans="1:7">
      <c r="B8" s="43" t="s">
        <v>376</v>
      </c>
      <c r="C8" s="43"/>
      <c r="D8" s="43"/>
      <c r="E8" s="43"/>
    </row>
    <row r="9" spans="1:7">
      <c r="B9" s="43" t="s">
        <v>265</v>
      </c>
      <c r="C9" s="43" t="s">
        <v>442</v>
      </c>
      <c r="D9" s="43" t="s">
        <v>93</v>
      </c>
      <c r="E9" s="43" t="s">
        <v>90</v>
      </c>
      <c r="F9" s="43" t="s">
        <v>443</v>
      </c>
    </row>
    <row r="10" spans="1:7">
      <c r="B10" s="43" t="s">
        <v>381</v>
      </c>
      <c r="C10" s="43"/>
      <c r="D10" s="43"/>
      <c r="E10" s="43"/>
      <c r="F10" s="43"/>
    </row>
    <row r="11" spans="1:7">
      <c r="B11" s="43" t="s">
        <v>17</v>
      </c>
      <c r="C11" s="43"/>
      <c r="D11" s="43" t="s">
        <v>111</v>
      </c>
      <c r="E11" s="43" t="s">
        <v>110</v>
      </c>
    </row>
    <row r="12" spans="1:7">
      <c r="B12" s="43" t="s">
        <v>55</v>
      </c>
      <c r="C12" s="43" t="s">
        <v>444</v>
      </c>
      <c r="D12" s="43"/>
      <c r="E12" s="43"/>
    </row>
    <row r="13" spans="1:7">
      <c r="B13" s="43" t="s">
        <v>374</v>
      </c>
      <c r="C13" s="43"/>
      <c r="D13" s="43"/>
      <c r="E13" s="43"/>
    </row>
    <row r="14" spans="1:7">
      <c r="B14" s="43" t="s">
        <v>414</v>
      </c>
      <c r="C14" s="43" t="s">
        <v>415</v>
      </c>
      <c r="D14" s="43" t="s">
        <v>416</v>
      </c>
      <c r="E14" s="43" t="s">
        <v>269</v>
      </c>
      <c r="F14" s="43" t="s">
        <v>270</v>
      </c>
    </row>
    <row r="15" spans="1:7">
      <c r="B15" s="43" t="s">
        <v>447</v>
      </c>
      <c r="C15" s="43" t="s">
        <v>448</v>
      </c>
      <c r="D15" s="43" t="s">
        <v>242</v>
      </c>
      <c r="E15" s="43" t="s">
        <v>271</v>
      </c>
      <c r="F15" s="43" t="s">
        <v>272</v>
      </c>
    </row>
    <row r="16" spans="1:7">
      <c r="B16" s="43" t="s">
        <v>425</v>
      </c>
      <c r="C16" s="43"/>
      <c r="D16" s="43"/>
      <c r="E16" s="43"/>
      <c r="F16" s="43"/>
      <c r="G16" s="24" t="s">
        <v>426</v>
      </c>
    </row>
    <row r="17" spans="2:10">
      <c r="B17" s="43" t="s">
        <v>383</v>
      </c>
      <c r="C17" s="43"/>
      <c r="D17" s="43"/>
      <c r="E17" s="43"/>
      <c r="F17" s="43"/>
      <c r="G17" s="24"/>
    </row>
    <row r="18" spans="2:10">
      <c r="B18" s="43" t="s">
        <v>462</v>
      </c>
      <c r="C18" s="43"/>
      <c r="D18" s="43"/>
      <c r="E18" s="43"/>
      <c r="F18" s="43"/>
      <c r="G18" s="24"/>
    </row>
    <row r="19" spans="2:10">
      <c r="B19" s="43" t="s">
        <v>15</v>
      </c>
      <c r="C19" s="43" t="s">
        <v>417</v>
      </c>
      <c r="D19" s="43" t="s">
        <v>38</v>
      </c>
      <c r="J19" s="18"/>
    </row>
    <row r="20" spans="2:10">
      <c r="B20" s="43" t="s">
        <v>41</v>
      </c>
      <c r="C20" s="43"/>
      <c r="D20" s="43" t="s">
        <v>421</v>
      </c>
    </row>
    <row r="21" spans="2:10">
      <c r="B21" s="43" t="s">
        <v>450</v>
      </c>
      <c r="C21" s="43" t="s">
        <v>451</v>
      </c>
      <c r="D21" s="43" t="s">
        <v>242</v>
      </c>
      <c r="E21" s="43" t="s">
        <v>449</v>
      </c>
      <c r="F21" s="89">
        <v>1</v>
      </c>
    </row>
    <row r="22" spans="2:10">
      <c r="B22" s="43" t="s">
        <v>472</v>
      </c>
      <c r="C22" s="43" t="s">
        <v>471</v>
      </c>
      <c r="D22" s="43" t="s">
        <v>36</v>
      </c>
      <c r="E22" s="43" t="s">
        <v>118</v>
      </c>
      <c r="F22" s="89"/>
    </row>
    <row r="23" spans="2:10">
      <c r="B23" s="43" t="s">
        <v>375</v>
      </c>
      <c r="C23" s="43"/>
      <c r="D23" s="43"/>
      <c r="E23" s="43"/>
      <c r="F23" s="89"/>
    </row>
    <row r="24" spans="2:10">
      <c r="B24" s="43" t="s">
        <v>423</v>
      </c>
      <c r="C24" s="43"/>
      <c r="D24" s="43"/>
      <c r="G24" s="24" t="s">
        <v>424</v>
      </c>
    </row>
    <row r="25" spans="2:10">
      <c r="B25" s="43" t="s">
        <v>7</v>
      </c>
      <c r="C25" s="43" t="s">
        <v>85</v>
      </c>
      <c r="D25" s="43" t="s">
        <v>418</v>
      </c>
      <c r="E25" s="43" t="s">
        <v>419</v>
      </c>
      <c r="G25" s="24" t="s">
        <v>422</v>
      </c>
    </row>
    <row r="27" spans="2:10">
      <c r="J27" s="24"/>
    </row>
    <row r="34" spans="2:8">
      <c r="B34" s="43" t="s">
        <v>409</v>
      </c>
      <c r="C34" s="43" t="s">
        <v>410</v>
      </c>
      <c r="D34" s="43" t="s">
        <v>1</v>
      </c>
      <c r="E34" s="43" t="s">
        <v>412</v>
      </c>
      <c r="F34" s="43" t="s">
        <v>2</v>
      </c>
      <c r="G34" s="43" t="s">
        <v>5</v>
      </c>
      <c r="H34" s="43" t="s">
        <v>484</v>
      </c>
    </row>
    <row r="35" spans="2:8">
      <c r="B35" s="43"/>
      <c r="C35" s="43" t="s">
        <v>492</v>
      </c>
      <c r="D35" s="43" t="s">
        <v>120</v>
      </c>
      <c r="E35" s="43" t="s">
        <v>494</v>
      </c>
      <c r="F35" s="43"/>
      <c r="G35" s="43"/>
      <c r="H35" s="43"/>
    </row>
    <row r="36" spans="2:8">
      <c r="B36" s="67"/>
      <c r="C36" s="65" t="s">
        <v>411</v>
      </c>
      <c r="D36" s="65" t="s">
        <v>39</v>
      </c>
      <c r="E36" s="67"/>
      <c r="F36" s="67"/>
      <c r="G36" s="67"/>
    </row>
    <row r="37" spans="2:8">
      <c r="B37" s="67"/>
      <c r="C37" s="65" t="s">
        <v>49</v>
      </c>
      <c r="D37" s="65" t="s">
        <v>121</v>
      </c>
      <c r="E37" s="65" t="s">
        <v>463</v>
      </c>
      <c r="F37" s="67"/>
      <c r="G37" s="67"/>
    </row>
    <row r="38" spans="2:8">
      <c r="B38" s="67" t="s">
        <v>25</v>
      </c>
      <c r="C38" s="67"/>
      <c r="D38" s="80" t="s">
        <v>116</v>
      </c>
      <c r="E38" s="80" t="s">
        <v>192</v>
      </c>
      <c r="F38" s="81" t="s">
        <v>193</v>
      </c>
      <c r="G38" s="80" t="s">
        <v>105</v>
      </c>
    </row>
    <row r="39" spans="2:8">
      <c r="C39" s="43" t="s">
        <v>328</v>
      </c>
      <c r="D39" s="43" t="s">
        <v>37</v>
      </c>
      <c r="E39" s="43" t="s">
        <v>194</v>
      </c>
    </row>
    <row r="40" spans="2:8">
      <c r="B40" s="65"/>
      <c r="C40" s="65" t="s">
        <v>329</v>
      </c>
      <c r="D40" s="82" t="s">
        <v>331</v>
      </c>
      <c r="E40" s="82" t="s">
        <v>330</v>
      </c>
      <c r="F40" s="81">
        <v>1</v>
      </c>
      <c r="G40" s="82" t="s">
        <v>47</v>
      </c>
    </row>
    <row r="41" spans="2:8">
      <c r="B41" s="65" t="s">
        <v>430</v>
      </c>
      <c r="C41" s="67"/>
      <c r="D41" s="67"/>
      <c r="E41" s="67"/>
      <c r="F41" s="67"/>
      <c r="G41" s="67"/>
    </row>
    <row r="42" spans="2:8">
      <c r="B42" s="65" t="s">
        <v>439</v>
      </c>
      <c r="C42" s="67"/>
      <c r="D42" s="83" t="s">
        <v>120</v>
      </c>
      <c r="E42" s="65" t="s">
        <v>438</v>
      </c>
      <c r="F42" s="67"/>
      <c r="G42" s="67"/>
    </row>
    <row r="43" spans="2:8">
      <c r="B43" s="65" t="s">
        <v>431</v>
      </c>
      <c r="C43" s="67"/>
      <c r="D43" s="67"/>
      <c r="E43" s="67"/>
      <c r="F43" s="67"/>
      <c r="G43" s="67"/>
    </row>
    <row r="44" spans="2:8">
      <c r="B44" s="65" t="s">
        <v>432</v>
      </c>
      <c r="C44" s="67"/>
      <c r="D44" s="67"/>
      <c r="E44" s="67"/>
      <c r="F44" s="67"/>
      <c r="G44" s="67"/>
    </row>
    <row r="45" spans="2:8">
      <c r="C45" s="65" t="s">
        <v>483</v>
      </c>
      <c r="D45" s="67"/>
      <c r="E45" s="67"/>
      <c r="F45" s="67"/>
      <c r="G45" s="67"/>
      <c r="H45" t="s">
        <v>485</v>
      </c>
    </row>
    <row r="46" spans="2:8">
      <c r="B46" s="43" t="s">
        <v>433</v>
      </c>
    </row>
    <row r="47" spans="2:8">
      <c r="B47" s="43" t="s">
        <v>434</v>
      </c>
    </row>
    <row r="48" spans="2:8">
      <c r="B48" s="43"/>
      <c r="C48" t="s">
        <v>486</v>
      </c>
      <c r="G48" t="s">
        <v>487</v>
      </c>
    </row>
    <row r="49" spans="2:7">
      <c r="B49" s="43" t="s">
        <v>435</v>
      </c>
    </row>
    <row r="50" spans="2:7">
      <c r="B50" s="43"/>
      <c r="C50" s="43" t="s">
        <v>437</v>
      </c>
    </row>
    <row r="51" spans="2:7">
      <c r="B51" s="65"/>
      <c r="C51" s="67" t="s">
        <v>429</v>
      </c>
      <c r="D51" s="67"/>
      <c r="E51" s="67"/>
      <c r="F51" s="67"/>
      <c r="G51" s="67"/>
    </row>
    <row r="52" spans="2:7">
      <c r="B52" s="65"/>
      <c r="C52" s="67" t="s">
        <v>493</v>
      </c>
      <c r="D52" s="67" t="s">
        <v>120</v>
      </c>
      <c r="E52" s="67" t="s">
        <v>494</v>
      </c>
      <c r="F52" s="67"/>
      <c r="G52" s="67"/>
    </row>
    <row r="53" spans="2:7">
      <c r="B53" s="65" t="s">
        <v>241</v>
      </c>
      <c r="C53" s="67" t="s">
        <v>473</v>
      </c>
      <c r="D53" s="67" t="s">
        <v>474</v>
      </c>
      <c r="E53" s="67" t="s">
        <v>475</v>
      </c>
      <c r="F53" s="67"/>
      <c r="G53" s="67"/>
    </row>
    <row r="54" spans="2:7">
      <c r="C54" s="43" t="s">
        <v>436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G30"/>
  <sheetViews>
    <sheetView workbookViewId="0"/>
  </sheetViews>
  <sheetFormatPr defaultRowHeight="12.75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>
      <c r="A1" s="33" t="s">
        <v>6</v>
      </c>
    </row>
    <row r="2" spans="1:3">
      <c r="B2" s="1" t="s">
        <v>50</v>
      </c>
      <c r="C2" s="1" t="s">
        <v>55</v>
      </c>
    </row>
    <row r="3" spans="1:3">
      <c r="B3" s="1" t="s">
        <v>48</v>
      </c>
      <c r="C3" s="1" t="s">
        <v>135</v>
      </c>
    </row>
    <row r="4" spans="1:3">
      <c r="B4" s="1" t="s">
        <v>1</v>
      </c>
    </row>
    <row r="5" spans="1:3">
      <c r="B5" s="1" t="s">
        <v>51</v>
      </c>
    </row>
    <row r="6" spans="1:3">
      <c r="B6" s="1" t="s">
        <v>137</v>
      </c>
    </row>
    <row r="7" spans="1:3">
      <c r="B7" s="1" t="s">
        <v>4</v>
      </c>
      <c r="C7" s="1" t="s">
        <v>223</v>
      </c>
    </row>
    <row r="8" spans="1:3">
      <c r="B8" s="1" t="s">
        <v>2</v>
      </c>
    </row>
    <row r="9" spans="1:3">
      <c r="B9" s="1" t="s">
        <v>136</v>
      </c>
    </row>
    <row r="10" spans="1:3">
      <c r="C10" s="18" t="s">
        <v>219</v>
      </c>
    </row>
    <row r="11" spans="1:3">
      <c r="C11" s="1" t="s">
        <v>220</v>
      </c>
    </row>
    <row r="12" spans="1:3">
      <c r="C12" s="1" t="s">
        <v>221</v>
      </c>
    </row>
    <row r="16" spans="1:3">
      <c r="C16" s="18" t="s">
        <v>158</v>
      </c>
    </row>
    <row r="17" spans="2:7" ht="13.5" thickBot="1"/>
    <row r="18" spans="2:7">
      <c r="B18" s="2"/>
      <c r="C18" s="29"/>
      <c r="D18" s="27" t="s">
        <v>55</v>
      </c>
      <c r="E18" s="27" t="s">
        <v>138</v>
      </c>
      <c r="F18" s="27" t="s">
        <v>148</v>
      </c>
      <c r="G18" s="2"/>
    </row>
    <row r="19" spans="2:7">
      <c r="B19" s="2"/>
      <c r="C19" s="30" t="s">
        <v>157</v>
      </c>
      <c r="D19" s="25">
        <v>63</v>
      </c>
      <c r="E19" s="25">
        <v>63</v>
      </c>
      <c r="F19" s="25"/>
      <c r="G19" s="2"/>
    </row>
    <row r="20" spans="2:7">
      <c r="B20" s="2"/>
      <c r="C20" s="2" t="s">
        <v>139</v>
      </c>
      <c r="D20" s="26">
        <v>0.71399999999999997</v>
      </c>
      <c r="E20" s="26">
        <v>0.76200000000000001</v>
      </c>
      <c r="F20" s="8"/>
      <c r="G20" s="2"/>
    </row>
    <row r="21" spans="2:7">
      <c r="B21" s="2"/>
      <c r="C21" s="2" t="s">
        <v>141</v>
      </c>
      <c r="D21" s="26">
        <v>0.222</v>
      </c>
      <c r="E21" s="26">
        <v>4.8000000000000001E-2</v>
      </c>
      <c r="F21" s="8">
        <v>4.0000000000000001E-3</v>
      </c>
      <c r="G21" s="2"/>
    </row>
    <row r="22" spans="2:7">
      <c r="B22" s="2"/>
      <c r="C22" s="2"/>
      <c r="D22" s="8"/>
      <c r="E22" s="8"/>
      <c r="F22" s="8"/>
      <c r="G22" s="2"/>
    </row>
    <row r="23" spans="2:7">
      <c r="B23" s="2"/>
      <c r="C23" s="31" t="s">
        <v>140</v>
      </c>
      <c r="D23" s="8" t="s">
        <v>149</v>
      </c>
      <c r="E23" s="8" t="s">
        <v>151</v>
      </c>
      <c r="F23" s="8">
        <v>8.9999999999999998E-4</v>
      </c>
      <c r="G23" s="2"/>
    </row>
    <row r="24" spans="2:7">
      <c r="B24" s="2"/>
      <c r="C24" s="2" t="s">
        <v>142</v>
      </c>
      <c r="D24" s="13">
        <v>0.46</v>
      </c>
      <c r="E24" s="13">
        <v>0.28999999999999998</v>
      </c>
      <c r="F24" s="8"/>
      <c r="G24" s="2"/>
    </row>
    <row r="25" spans="2:7">
      <c r="B25" s="2"/>
      <c r="C25" s="2" t="s">
        <v>143</v>
      </c>
      <c r="D25" s="13">
        <v>0.24</v>
      </c>
      <c r="E25" s="13">
        <v>0.05</v>
      </c>
      <c r="F25" s="8"/>
      <c r="G25" s="2"/>
    </row>
    <row r="26" spans="2:7">
      <c r="B26" s="2"/>
      <c r="C26" s="2" t="s">
        <v>144</v>
      </c>
      <c r="D26" s="13">
        <v>0.18</v>
      </c>
      <c r="E26" s="13">
        <v>0.02</v>
      </c>
      <c r="F26" s="8"/>
      <c r="G26" s="2"/>
    </row>
    <row r="27" spans="2:7">
      <c r="B27" s="2"/>
      <c r="C27" s="2" t="s">
        <v>145</v>
      </c>
      <c r="D27" s="8" t="s">
        <v>150</v>
      </c>
      <c r="E27" s="8" t="s">
        <v>152</v>
      </c>
      <c r="F27" s="8"/>
      <c r="G27" s="2"/>
    </row>
    <row r="28" spans="2:7">
      <c r="B28" s="2"/>
      <c r="C28" s="2"/>
      <c r="D28" s="8"/>
      <c r="E28" s="8"/>
      <c r="F28" s="8"/>
      <c r="G28" s="2"/>
    </row>
    <row r="29" spans="2:7">
      <c r="B29" s="2"/>
      <c r="C29" s="31" t="s">
        <v>146</v>
      </c>
      <c r="D29" s="8" t="s">
        <v>153</v>
      </c>
      <c r="E29" s="8" t="s">
        <v>154</v>
      </c>
      <c r="F29" s="8">
        <v>1.2999999999999999E-3</v>
      </c>
      <c r="G29" s="2"/>
    </row>
    <row r="30" spans="2:7" ht="13.5" thickBot="1">
      <c r="B30" s="2"/>
      <c r="C30" s="32" t="s">
        <v>147</v>
      </c>
      <c r="D30" s="28" t="s">
        <v>155</v>
      </c>
      <c r="E30" s="28" t="s">
        <v>156</v>
      </c>
      <c r="F30" s="28"/>
      <c r="G30" s="2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RowHeight="12.75"/>
  <cols>
    <col min="1" max="1" width="5" bestFit="1" customWidth="1"/>
    <col min="2" max="2" width="13.7109375" customWidth="1"/>
  </cols>
  <sheetData>
    <row r="1" spans="1:3">
      <c r="A1" s="15" t="s">
        <v>6</v>
      </c>
      <c r="B1" s="15"/>
    </row>
    <row r="2" spans="1:3">
      <c r="A2" s="15"/>
      <c r="B2" t="s">
        <v>50</v>
      </c>
      <c r="C2" t="s">
        <v>19</v>
      </c>
    </row>
    <row r="3" spans="1:3">
      <c r="A3" s="15"/>
      <c r="B3" t="s">
        <v>48</v>
      </c>
      <c r="C3" t="s">
        <v>231</v>
      </c>
    </row>
    <row r="4" spans="1:3">
      <c r="A4" s="15"/>
      <c r="B4" t="s">
        <v>4</v>
      </c>
      <c r="C4" s="43" t="s">
        <v>258</v>
      </c>
    </row>
    <row r="5" spans="1:3">
      <c r="B5" t="s">
        <v>92</v>
      </c>
    </row>
    <row r="6" spans="1:3">
      <c r="C6" t="s">
        <v>12</v>
      </c>
    </row>
    <row r="7" spans="1:3">
      <c r="C7" t="s">
        <v>33</v>
      </c>
    </row>
    <row r="8" spans="1:3">
      <c r="C8" t="s">
        <v>34</v>
      </c>
    </row>
    <row r="12" spans="1:3">
      <c r="C12" s="23" t="s">
        <v>255</v>
      </c>
    </row>
    <row r="13" spans="1:3">
      <c r="C13" s="43" t="s">
        <v>256</v>
      </c>
    </row>
    <row r="14" spans="1:3">
      <c r="C14" s="15" t="s">
        <v>257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7" t="s">
        <v>6</v>
      </c>
    </row>
    <row r="2" spans="1:3">
      <c r="B2" s="1" t="s">
        <v>50</v>
      </c>
      <c r="C2" s="1" t="s">
        <v>70</v>
      </c>
    </row>
    <row r="3" spans="1:3">
      <c r="B3" s="1" t="s">
        <v>48</v>
      </c>
      <c r="C3" s="1" t="s">
        <v>224</v>
      </c>
    </row>
    <row r="4" spans="1:3">
      <c r="B4" s="1" t="s">
        <v>2</v>
      </c>
      <c r="C4" s="1" t="s">
        <v>225</v>
      </c>
    </row>
    <row r="5" spans="1:3">
      <c r="B5" s="1" t="s">
        <v>3</v>
      </c>
      <c r="C5" s="1" t="s">
        <v>228</v>
      </c>
    </row>
    <row r="6" spans="1:3">
      <c r="B6" s="1" t="s">
        <v>229</v>
      </c>
      <c r="C6" s="1" t="s">
        <v>35</v>
      </c>
    </row>
    <row r="7" spans="1:3">
      <c r="B7" s="1" t="s">
        <v>137</v>
      </c>
      <c r="C7" s="1" t="s">
        <v>22</v>
      </c>
    </row>
    <row r="8" spans="1:3">
      <c r="B8" s="1" t="s">
        <v>92</v>
      </c>
    </row>
    <row r="9" spans="1:3">
      <c r="C9" s="1" t="s">
        <v>20</v>
      </c>
    </row>
    <row r="10" spans="1:3">
      <c r="C10" s="1" t="s">
        <v>21</v>
      </c>
    </row>
    <row r="14" spans="1:3">
      <c r="C14" s="18" t="s">
        <v>226</v>
      </c>
    </row>
    <row r="15" spans="1:3">
      <c r="C15" s="1" t="s">
        <v>227</v>
      </c>
    </row>
    <row r="16" spans="1:3">
      <c r="C16" s="24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RowHeight="12.75"/>
  <cols>
    <col min="1" max="1" width="5" style="1" bestFit="1" customWidth="1"/>
    <col min="2" max="2" width="12.85546875" style="1" bestFit="1" customWidth="1"/>
    <col min="3" max="3" width="10.5703125" style="1" bestFit="1" customWidth="1"/>
    <col min="4" max="16384" width="9.140625" style="1"/>
  </cols>
  <sheetData>
    <row r="1" spans="1:7">
      <c r="A1" s="17" t="s">
        <v>6</v>
      </c>
    </row>
    <row r="2" spans="1:7">
      <c r="B2" s="1" t="s">
        <v>50</v>
      </c>
      <c r="C2" s="1" t="s">
        <v>197</v>
      </c>
    </row>
    <row r="3" spans="1:7">
      <c r="B3" s="1" t="s">
        <v>48</v>
      </c>
      <c r="C3" s="1" t="s">
        <v>75</v>
      </c>
    </row>
    <row r="4" spans="1:7">
      <c r="B4" s="1" t="s">
        <v>91</v>
      </c>
      <c r="C4" s="24" t="s">
        <v>251</v>
      </c>
    </row>
    <row r="5" spans="1:7">
      <c r="B5" s="1" t="s">
        <v>51</v>
      </c>
      <c r="C5" s="1" t="s">
        <v>169</v>
      </c>
    </row>
    <row r="6" spans="1:7">
      <c r="C6" s="1" t="s">
        <v>168</v>
      </c>
    </row>
    <row r="7" spans="1:7">
      <c r="C7" s="1" t="s">
        <v>170</v>
      </c>
    </row>
    <row r="8" spans="1:7">
      <c r="C8" s="1" t="s">
        <v>172</v>
      </c>
    </row>
    <row r="9" spans="1:7">
      <c r="C9" s="1" t="s">
        <v>181</v>
      </c>
    </row>
    <row r="10" spans="1:7">
      <c r="B10" s="1" t="s">
        <v>2</v>
      </c>
      <c r="C10" s="1" t="s">
        <v>129</v>
      </c>
    </row>
    <row r="11" spans="1:7">
      <c r="B11" s="1" t="s">
        <v>131</v>
      </c>
      <c r="C11" s="1" t="s">
        <v>132</v>
      </c>
    </row>
    <row r="12" spans="1:7">
      <c r="B12" s="24" t="s">
        <v>165</v>
      </c>
      <c r="C12" s="24"/>
      <c r="D12" s="44" t="s">
        <v>265</v>
      </c>
      <c r="E12" s="44" t="s">
        <v>101</v>
      </c>
      <c r="F12" s="44" t="s">
        <v>267</v>
      </c>
      <c r="G12" s="44" t="s">
        <v>268</v>
      </c>
    </row>
    <row r="13" spans="1:7">
      <c r="B13" s="24"/>
      <c r="C13" s="47">
        <v>40165</v>
      </c>
      <c r="D13" s="37">
        <v>2962</v>
      </c>
      <c r="E13" s="37">
        <v>686130</v>
      </c>
      <c r="F13" s="37">
        <f t="shared" ref="F13:F19" si="0">E13+D13</f>
        <v>689092</v>
      </c>
      <c r="G13" s="46">
        <f>D13/F13</f>
        <v>4.2984100816726937E-3</v>
      </c>
    </row>
    <row r="14" spans="1:7">
      <c r="B14" s="24"/>
      <c r="C14" s="47">
        <f t="shared" ref="C14:C20" si="1">C13-7</f>
        <v>40158</v>
      </c>
      <c r="D14" s="37">
        <v>2684</v>
      </c>
      <c r="E14" s="37">
        <v>691185</v>
      </c>
      <c r="F14" s="37">
        <f t="shared" si="0"/>
        <v>693869</v>
      </c>
      <c r="G14" s="46">
        <f t="shared" ref="G14:G20" si="2">D14/F14</f>
        <v>3.8681653165078709E-3</v>
      </c>
    </row>
    <row r="15" spans="1:7">
      <c r="B15" s="24"/>
      <c r="C15" s="47">
        <f t="shared" si="1"/>
        <v>40151</v>
      </c>
      <c r="D15" s="37">
        <v>2430</v>
      </c>
      <c r="E15" s="37">
        <v>775061</v>
      </c>
      <c r="F15" s="37">
        <f t="shared" si="0"/>
        <v>777491</v>
      </c>
      <c r="G15" s="46">
        <f t="shared" si="2"/>
        <v>3.1254381079652369E-3</v>
      </c>
    </row>
    <row r="16" spans="1:7">
      <c r="B16" s="24"/>
      <c r="C16" s="47">
        <f t="shared" si="1"/>
        <v>40144</v>
      </c>
      <c r="D16" s="37">
        <v>2089</v>
      </c>
      <c r="E16" s="37">
        <v>601931</v>
      </c>
      <c r="F16" s="37">
        <f t="shared" si="0"/>
        <v>604020</v>
      </c>
      <c r="G16" s="46">
        <f t="shared" si="2"/>
        <v>3.4584947518294098E-3</v>
      </c>
    </row>
    <row r="17" spans="2:7">
      <c r="B17" s="24"/>
      <c r="C17" s="47">
        <f t="shared" si="1"/>
        <v>40137</v>
      </c>
      <c r="D17" s="37">
        <v>2166</v>
      </c>
      <c r="E17" s="37">
        <v>672605</v>
      </c>
      <c r="F17" s="37">
        <f t="shared" si="0"/>
        <v>674771</v>
      </c>
      <c r="G17" s="46">
        <f t="shared" si="2"/>
        <v>3.2099779036147079E-3</v>
      </c>
    </row>
    <row r="18" spans="2:7">
      <c r="B18" s="24"/>
      <c r="C18" s="47">
        <f t="shared" si="1"/>
        <v>40130</v>
      </c>
      <c r="D18" s="37">
        <v>1800</v>
      </c>
      <c r="E18" s="37">
        <v>680955</v>
      </c>
      <c r="F18" s="37">
        <f t="shared" si="0"/>
        <v>682755</v>
      </c>
      <c r="G18" s="46">
        <f t="shared" si="2"/>
        <v>2.6363776171540302E-3</v>
      </c>
    </row>
    <row r="19" spans="2:7">
      <c r="B19" s="24"/>
      <c r="C19" s="47">
        <f t="shared" si="1"/>
        <v>40123</v>
      </c>
      <c r="D19" s="37">
        <v>1808</v>
      </c>
      <c r="E19" s="37">
        <v>726294</v>
      </c>
      <c r="F19" s="37">
        <f t="shared" si="0"/>
        <v>728102</v>
      </c>
      <c r="G19" s="46">
        <f t="shared" si="2"/>
        <v>2.4831685670414312E-3</v>
      </c>
    </row>
    <row r="20" spans="2:7">
      <c r="B20" s="24"/>
      <c r="C20" s="47">
        <f t="shared" si="1"/>
        <v>40116</v>
      </c>
      <c r="D20" s="37">
        <v>1550</v>
      </c>
      <c r="E20" s="37">
        <v>687653</v>
      </c>
      <c r="F20" s="37">
        <f>E20+D20</f>
        <v>689203</v>
      </c>
      <c r="G20" s="46">
        <f t="shared" si="2"/>
        <v>2.2489745401572539E-3</v>
      </c>
    </row>
    <row r="21" spans="2:7">
      <c r="B21" s="24"/>
      <c r="C21" s="24"/>
    </row>
    <row r="22" spans="2:7">
      <c r="B22" s="24" t="s">
        <v>173</v>
      </c>
      <c r="C22" s="24" t="s">
        <v>266</v>
      </c>
    </row>
    <row r="23" spans="2:7">
      <c r="B23" s="1" t="s">
        <v>92</v>
      </c>
    </row>
    <row r="24" spans="2:7">
      <c r="C24" s="1" t="s">
        <v>24</v>
      </c>
    </row>
    <row r="25" spans="2:7">
      <c r="C25" s="1" t="s">
        <v>222</v>
      </c>
    </row>
    <row r="27" spans="2:7">
      <c r="C27" s="18" t="s">
        <v>185</v>
      </c>
    </row>
    <row r="28" spans="2:7">
      <c r="C28" s="1" t="s">
        <v>183</v>
      </c>
    </row>
    <row r="29" spans="2:7">
      <c r="C29" s="1" t="s">
        <v>109</v>
      </c>
    </row>
    <row r="30" spans="2:7">
      <c r="C30" s="22" t="s">
        <v>233</v>
      </c>
    </row>
    <row r="31" spans="2:7">
      <c r="C31" s="1" t="s">
        <v>130</v>
      </c>
    </row>
    <row r="32" spans="2:7">
      <c r="C32" s="1" t="s">
        <v>232</v>
      </c>
    </row>
    <row r="33" spans="3:3">
      <c r="C33" s="1" t="s">
        <v>162</v>
      </c>
    </row>
    <row r="34" spans="3:3">
      <c r="C34" s="1" t="s">
        <v>171</v>
      </c>
    </row>
    <row r="35" spans="3:3">
      <c r="C35" s="1" t="s">
        <v>182</v>
      </c>
    </row>
    <row r="36" spans="3:3">
      <c r="C36" s="1" t="s">
        <v>243</v>
      </c>
    </row>
    <row r="38" spans="3:3">
      <c r="C38" s="18" t="s">
        <v>94</v>
      </c>
    </row>
    <row r="39" spans="3:3">
      <c r="C39" s="1" t="s">
        <v>95</v>
      </c>
    </row>
    <row r="40" spans="3:3">
      <c r="C40" s="1" t="s">
        <v>102</v>
      </c>
    </row>
    <row r="41" spans="3:3">
      <c r="C41" s="22" t="s">
        <v>103</v>
      </c>
    </row>
    <row r="42" spans="3:3">
      <c r="C42" s="1" t="s">
        <v>104</v>
      </c>
    </row>
    <row r="43" spans="3:3">
      <c r="C43" s="1" t="s">
        <v>163</v>
      </c>
    </row>
    <row r="44" spans="3:3">
      <c r="C44" s="1" t="s">
        <v>178</v>
      </c>
    </row>
    <row r="46" spans="3:3">
      <c r="C46" s="18" t="s">
        <v>334</v>
      </c>
    </row>
    <row r="47" spans="3:3">
      <c r="C47" s="24" t="s">
        <v>332</v>
      </c>
    </row>
    <row r="48" spans="3:3">
      <c r="C48" s="24" t="s">
        <v>333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RowHeight="12.75"/>
  <cols>
    <col min="1" max="1" width="5" style="1" bestFit="1" customWidth="1"/>
    <col min="2" max="2" width="13.28515625" style="1" customWidth="1"/>
    <col min="3" max="16384" width="9.140625" style="1"/>
  </cols>
  <sheetData>
    <row r="1" spans="1:3">
      <c r="A1" s="17" t="s">
        <v>6</v>
      </c>
    </row>
    <row r="2" spans="1:3">
      <c r="A2" s="17"/>
      <c r="B2" s="1" t="s">
        <v>50</v>
      </c>
    </row>
    <row r="3" spans="1:3">
      <c r="A3" s="17"/>
      <c r="B3" s="1" t="s">
        <v>48</v>
      </c>
      <c r="C3" s="1" t="s">
        <v>49</v>
      </c>
    </row>
    <row r="4" spans="1:3">
      <c r="A4" s="17"/>
      <c r="B4" s="1" t="s">
        <v>1</v>
      </c>
      <c r="C4" s="1" t="s">
        <v>121</v>
      </c>
    </row>
    <row r="5" spans="1:3">
      <c r="A5" s="17"/>
      <c r="B5" s="1" t="s">
        <v>51</v>
      </c>
      <c r="C5" s="1" t="s">
        <v>52</v>
      </c>
    </row>
    <row r="6" spans="1:3">
      <c r="A6" s="17"/>
      <c r="B6" s="1" t="s">
        <v>92</v>
      </c>
    </row>
    <row r="7" spans="1:3">
      <c r="C7" s="18" t="s">
        <v>308</v>
      </c>
    </row>
    <row r="8" spans="1:3">
      <c r="C8" s="1" t="s">
        <v>46</v>
      </c>
    </row>
    <row r="10" spans="1:3">
      <c r="C10" s="18" t="s">
        <v>53</v>
      </c>
    </row>
    <row r="11" spans="1:3">
      <c r="C11" s="24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5" t="s">
        <v>6</v>
      </c>
    </row>
    <row r="2" spans="1:3">
      <c r="B2" t="s">
        <v>50</v>
      </c>
    </row>
    <row r="3" spans="1:3">
      <c r="B3" t="s">
        <v>48</v>
      </c>
      <c r="C3" t="s">
        <v>112</v>
      </c>
    </row>
    <row r="4" spans="1:3">
      <c r="B4" t="s">
        <v>1</v>
      </c>
      <c r="C4" t="s">
        <v>115</v>
      </c>
    </row>
    <row r="5" spans="1:3">
      <c r="B5" t="s">
        <v>91</v>
      </c>
      <c r="C5" t="s">
        <v>26</v>
      </c>
    </row>
    <row r="6" spans="1:3">
      <c r="B6" t="s">
        <v>3</v>
      </c>
      <c r="C6" t="s">
        <v>28</v>
      </c>
    </row>
    <row r="7" spans="1:3">
      <c r="B7" t="s">
        <v>92</v>
      </c>
      <c r="C7" t="s">
        <v>27</v>
      </c>
    </row>
    <row r="9" spans="1:3">
      <c r="C9" s="23" t="s">
        <v>113</v>
      </c>
    </row>
    <row r="10" spans="1:3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RowHeight="12.75"/>
  <cols>
    <col min="1" max="1" width="5" style="1" bestFit="1" customWidth="1"/>
    <col min="2" max="2" width="12" style="1" bestFit="1" customWidth="1"/>
    <col min="3" max="16384" width="9.140625" style="1"/>
  </cols>
  <sheetData>
    <row r="1" spans="1:3">
      <c r="A1" s="17" t="s">
        <v>6</v>
      </c>
    </row>
    <row r="2" spans="1:3">
      <c r="B2" s="1" t="s">
        <v>50</v>
      </c>
      <c r="C2" s="1" t="s">
        <v>179</v>
      </c>
    </row>
    <row r="3" spans="1:3">
      <c r="B3" s="1" t="s">
        <v>2</v>
      </c>
      <c r="C3" s="1" t="s">
        <v>237</v>
      </c>
    </row>
    <row r="4" spans="1:3">
      <c r="B4" s="1" t="s">
        <v>1</v>
      </c>
      <c r="C4" s="1" t="s">
        <v>240</v>
      </c>
    </row>
    <row r="5" spans="1:3">
      <c r="B5" s="1" t="s">
        <v>92</v>
      </c>
    </row>
    <row r="6" spans="1:3">
      <c r="C6" s="18" t="s">
        <v>239</v>
      </c>
    </row>
    <row r="9" spans="1:3">
      <c r="C9" s="18" t="s">
        <v>238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RowHeight="12.75"/>
  <cols>
    <col min="1" max="1" width="5" style="1" bestFit="1" customWidth="1"/>
    <col min="2" max="2" width="14.140625" style="1" customWidth="1"/>
    <col min="3" max="16384" width="9.140625" style="1"/>
  </cols>
  <sheetData>
    <row r="1" spans="1:4">
      <c r="A1" s="33" t="s">
        <v>6</v>
      </c>
    </row>
    <row r="2" spans="1:4">
      <c r="B2" s="1" t="s">
        <v>50</v>
      </c>
      <c r="C2" s="1" t="s">
        <v>184</v>
      </c>
    </row>
    <row r="3" spans="1:4">
      <c r="B3" s="24" t="s">
        <v>48</v>
      </c>
      <c r="C3" s="24" t="s">
        <v>326</v>
      </c>
    </row>
    <row r="4" spans="1:4">
      <c r="B4" s="1" t="s">
        <v>1</v>
      </c>
      <c r="C4" s="1" t="s">
        <v>211</v>
      </c>
    </row>
    <row r="5" spans="1:4">
      <c r="B5" s="1" t="s">
        <v>51</v>
      </c>
      <c r="C5" s="1" t="s">
        <v>212</v>
      </c>
    </row>
    <row r="6" spans="1:4">
      <c r="B6" s="1" t="s">
        <v>92</v>
      </c>
    </row>
    <row r="7" spans="1:4">
      <c r="C7" s="18" t="s">
        <v>214</v>
      </c>
    </row>
    <row r="8" spans="1:4">
      <c r="C8" s="1" t="s">
        <v>213</v>
      </c>
    </row>
    <row r="9" spans="1:4">
      <c r="C9" s="1" t="s">
        <v>215</v>
      </c>
    </row>
    <row r="11" spans="1:4">
      <c r="C11" s="1" t="s">
        <v>216</v>
      </c>
    </row>
    <row r="12" spans="1:4">
      <c r="C12" s="1" t="s">
        <v>217</v>
      </c>
    </row>
    <row r="13" spans="1:4">
      <c r="D13" s="1" t="s">
        <v>218</v>
      </c>
    </row>
    <row r="15" spans="1:4">
      <c r="C15" s="1" t="s">
        <v>230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"/>
  <sheetViews>
    <sheetView tabSelected="1" workbookViewId="0"/>
  </sheetViews>
  <sheetFormatPr defaultRowHeight="12.75"/>
  <cols>
    <col min="1" max="1" width="2.42578125" style="1" customWidth="1"/>
    <col min="2" max="2" width="25.42578125" style="1" customWidth="1"/>
    <col min="3" max="3" width="27.5703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3.8554687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6384" width="9.140625" style="1"/>
  </cols>
  <sheetData>
    <row r="1" spans="1:11">
      <c r="A1" s="24" t="s">
        <v>508</v>
      </c>
    </row>
    <row r="2" spans="1:11">
      <c r="B2" s="3" t="s">
        <v>0</v>
      </c>
      <c r="C2" s="4" t="s">
        <v>1</v>
      </c>
      <c r="D2" s="4" t="s">
        <v>51</v>
      </c>
      <c r="E2" s="4" t="s">
        <v>2</v>
      </c>
      <c r="F2" s="90" t="s">
        <v>453</v>
      </c>
      <c r="G2" s="5" t="s">
        <v>4</v>
      </c>
      <c r="I2" s="1" t="s">
        <v>173</v>
      </c>
      <c r="J2" s="36">
        <v>330.47</v>
      </c>
    </row>
    <row r="3" spans="1:11">
      <c r="B3" s="78" t="s">
        <v>371</v>
      </c>
      <c r="C3" s="42" t="s">
        <v>36</v>
      </c>
      <c r="D3" s="42" t="s">
        <v>118</v>
      </c>
      <c r="E3" s="13">
        <v>1</v>
      </c>
      <c r="F3" s="8"/>
      <c r="G3" s="9"/>
      <c r="I3" s="1" t="s">
        <v>84</v>
      </c>
      <c r="J3" s="21">
        <v>950.15955899999994</v>
      </c>
      <c r="K3" s="44" t="s">
        <v>336</v>
      </c>
    </row>
    <row r="4" spans="1:11">
      <c r="B4" s="16" t="s">
        <v>14</v>
      </c>
      <c r="C4" s="8" t="s">
        <v>37</v>
      </c>
      <c r="D4" s="8" t="s">
        <v>107</v>
      </c>
      <c r="E4" s="13">
        <v>1</v>
      </c>
      <c r="F4" s="8"/>
      <c r="G4" s="9">
        <v>2013</v>
      </c>
      <c r="I4" s="1" t="s">
        <v>174</v>
      </c>
      <c r="J4" s="21">
        <f>J2*J3</f>
        <v>313999.22946273</v>
      </c>
      <c r="K4" s="37"/>
    </row>
    <row r="5" spans="1:11">
      <c r="B5" s="78" t="s">
        <v>479</v>
      </c>
      <c r="C5" s="42" t="s">
        <v>36</v>
      </c>
      <c r="D5" s="42" t="s">
        <v>420</v>
      </c>
      <c r="E5" s="45" t="s">
        <v>279</v>
      </c>
      <c r="F5" s="8"/>
      <c r="G5" s="9"/>
      <c r="I5" s="1" t="s">
        <v>175</v>
      </c>
      <c r="J5" s="21">
        <f>2459.2+109.1+2727.3</f>
        <v>5295.6</v>
      </c>
      <c r="K5" s="44" t="s">
        <v>336</v>
      </c>
    </row>
    <row r="6" spans="1:11">
      <c r="B6" s="16" t="s">
        <v>16</v>
      </c>
      <c r="C6" s="8" t="s">
        <v>111</v>
      </c>
      <c r="D6" s="8"/>
      <c r="E6" s="13"/>
      <c r="F6" s="8"/>
      <c r="G6" s="9"/>
      <c r="I6" s="1" t="s">
        <v>176</v>
      </c>
      <c r="J6" s="21">
        <f>15152.9+1355.9</f>
        <v>16508.8</v>
      </c>
      <c r="K6" s="44" t="s">
        <v>336</v>
      </c>
    </row>
    <row r="7" spans="1:11">
      <c r="B7" s="78" t="s">
        <v>427</v>
      </c>
      <c r="C7" s="42" t="s">
        <v>36</v>
      </c>
      <c r="D7" s="42" t="s">
        <v>284</v>
      </c>
      <c r="E7" s="45" t="s">
        <v>279</v>
      </c>
      <c r="F7" s="8"/>
      <c r="G7" s="9"/>
      <c r="I7" s="1" t="s">
        <v>177</v>
      </c>
      <c r="J7" s="21">
        <f>J4-J5+J6</f>
        <v>325212.42946273001</v>
      </c>
    </row>
    <row r="8" spans="1:11">
      <c r="B8" s="16" t="s">
        <v>18</v>
      </c>
      <c r="C8" s="8" t="s">
        <v>40</v>
      </c>
      <c r="D8" s="8" t="s">
        <v>108</v>
      </c>
      <c r="E8" s="13">
        <v>1</v>
      </c>
      <c r="F8" s="8"/>
      <c r="G8" s="9">
        <v>2016</v>
      </c>
    </row>
    <row r="9" spans="1:11">
      <c r="B9" s="16" t="s">
        <v>19</v>
      </c>
      <c r="C9" s="8" t="s">
        <v>116</v>
      </c>
      <c r="D9" s="8"/>
      <c r="E9" s="13"/>
      <c r="F9" s="8"/>
      <c r="G9" s="9">
        <v>2016</v>
      </c>
      <c r="I9" s="24" t="s">
        <v>466</v>
      </c>
    </row>
    <row r="10" spans="1:11">
      <c r="B10" s="41" t="s">
        <v>317</v>
      </c>
      <c r="C10" s="8" t="s">
        <v>36</v>
      </c>
      <c r="D10" s="8" t="s">
        <v>278</v>
      </c>
      <c r="E10" s="13" t="s">
        <v>279</v>
      </c>
      <c r="F10" s="8"/>
      <c r="G10" s="9"/>
      <c r="I10" s="24" t="s">
        <v>467</v>
      </c>
    </row>
    <row r="11" spans="1:11">
      <c r="B11" s="41" t="s">
        <v>428</v>
      </c>
      <c r="C11" s="42" t="s">
        <v>452</v>
      </c>
      <c r="D11" s="42" t="s">
        <v>449</v>
      </c>
      <c r="E11" s="45">
        <v>1</v>
      </c>
      <c r="F11" s="8"/>
      <c r="G11" s="9"/>
      <c r="I11" s="24" t="s">
        <v>468</v>
      </c>
    </row>
    <row r="12" spans="1:11">
      <c r="B12" s="41" t="s">
        <v>381</v>
      </c>
      <c r="C12" s="42" t="s">
        <v>460</v>
      </c>
      <c r="D12" s="42" t="s">
        <v>470</v>
      </c>
      <c r="E12" s="45"/>
      <c r="F12" s="8"/>
      <c r="G12" s="9"/>
    </row>
    <row r="13" spans="1:11">
      <c r="B13" s="41" t="s">
        <v>502</v>
      </c>
      <c r="C13" s="42" t="s">
        <v>459</v>
      </c>
      <c r="D13" s="42" t="s">
        <v>469</v>
      </c>
      <c r="E13" s="45"/>
      <c r="F13" s="8"/>
      <c r="G13" s="9"/>
    </row>
    <row r="14" spans="1:11">
      <c r="B14" s="41" t="s">
        <v>455</v>
      </c>
      <c r="C14" s="42" t="s">
        <v>457</v>
      </c>
      <c r="D14" s="8"/>
      <c r="E14" s="45"/>
      <c r="F14" s="8"/>
      <c r="G14" s="9"/>
    </row>
    <row r="15" spans="1:11">
      <c r="B15" s="41" t="s">
        <v>456</v>
      </c>
      <c r="C15" s="42" t="s">
        <v>457</v>
      </c>
      <c r="D15" s="8"/>
      <c r="E15" s="45"/>
      <c r="F15" s="8"/>
      <c r="G15" s="9"/>
    </row>
    <row r="16" spans="1:11">
      <c r="B16" s="41" t="s">
        <v>496</v>
      </c>
      <c r="C16" s="42" t="s">
        <v>458</v>
      </c>
      <c r="D16" s="42" t="s">
        <v>454</v>
      </c>
      <c r="E16" s="45" t="s">
        <v>445</v>
      </c>
      <c r="F16" s="8"/>
      <c r="G16" s="9"/>
    </row>
    <row r="17" spans="2:7">
      <c r="B17" s="41" t="s">
        <v>495</v>
      </c>
      <c r="C17" s="42"/>
      <c r="D17" s="42"/>
      <c r="E17" s="45"/>
      <c r="F17" s="8"/>
      <c r="G17" s="9"/>
    </row>
    <row r="18" spans="2:7">
      <c r="B18" s="41" t="s">
        <v>446</v>
      </c>
      <c r="C18" s="42" t="s">
        <v>242</v>
      </c>
      <c r="D18" s="42" t="s">
        <v>271</v>
      </c>
      <c r="E18" s="45" t="s">
        <v>272</v>
      </c>
      <c r="F18" s="8"/>
      <c r="G18" s="9"/>
    </row>
    <row r="19" spans="2:7">
      <c r="B19" s="41" t="s">
        <v>481</v>
      </c>
      <c r="C19" s="42" t="s">
        <v>482</v>
      </c>
      <c r="D19" s="42" t="s">
        <v>480</v>
      </c>
      <c r="E19" s="45"/>
      <c r="F19" s="8"/>
      <c r="G19" s="9"/>
    </row>
    <row r="20" spans="2:7">
      <c r="B20" s="7" t="s">
        <v>478</v>
      </c>
      <c r="C20" s="8" t="s">
        <v>36</v>
      </c>
      <c r="D20" s="8" t="s">
        <v>117</v>
      </c>
      <c r="E20" s="45" t="s">
        <v>287</v>
      </c>
      <c r="F20" s="8"/>
      <c r="G20" s="9">
        <v>2013</v>
      </c>
    </row>
    <row r="21" spans="2:7">
      <c r="B21" s="41" t="s">
        <v>57</v>
      </c>
      <c r="C21" s="8" t="s">
        <v>36</v>
      </c>
      <c r="D21" s="8" t="s">
        <v>117</v>
      </c>
      <c r="E21" s="45" t="s">
        <v>287</v>
      </c>
      <c r="F21" s="8"/>
      <c r="G21" s="9"/>
    </row>
    <row r="22" spans="2:7" s="22" customFormat="1">
      <c r="B22" s="79" t="s">
        <v>440</v>
      </c>
      <c r="C22" s="84" t="s">
        <v>309</v>
      </c>
      <c r="D22" s="84" t="s">
        <v>441</v>
      </c>
      <c r="E22" s="85" t="s">
        <v>287</v>
      </c>
      <c r="F22" s="11"/>
      <c r="G22" s="12"/>
    </row>
    <row r="23" spans="2:7">
      <c r="B23" s="6"/>
      <c r="C23" s="4"/>
      <c r="D23" s="4"/>
      <c r="E23" s="4"/>
      <c r="F23" s="4" t="s">
        <v>5</v>
      </c>
      <c r="G23" s="5"/>
    </row>
    <row r="24" spans="2:7">
      <c r="B24" s="41" t="s">
        <v>464</v>
      </c>
      <c r="C24" s="42" t="s">
        <v>36</v>
      </c>
      <c r="D24" s="42" t="s">
        <v>465</v>
      </c>
      <c r="E24" s="13">
        <v>1</v>
      </c>
      <c r="F24" s="42" t="s">
        <v>209</v>
      </c>
      <c r="G24" s="49"/>
    </row>
    <row r="25" spans="2:7">
      <c r="B25" s="41" t="s">
        <v>497</v>
      </c>
      <c r="C25" s="8" t="s">
        <v>498</v>
      </c>
      <c r="D25" s="8" t="s">
        <v>499</v>
      </c>
      <c r="E25" s="13">
        <v>1</v>
      </c>
      <c r="F25" s="42" t="s">
        <v>209</v>
      </c>
      <c r="G25" s="49"/>
    </row>
    <row r="26" spans="2:7">
      <c r="B26" s="41" t="s">
        <v>476</v>
      </c>
      <c r="C26" s="42" t="s">
        <v>477</v>
      </c>
      <c r="D26" s="42"/>
      <c r="E26" s="13" t="s">
        <v>287</v>
      </c>
      <c r="F26" s="42" t="s">
        <v>47</v>
      </c>
      <c r="G26" s="49"/>
    </row>
    <row r="27" spans="2:7">
      <c r="B27" s="41" t="s">
        <v>490</v>
      </c>
      <c r="C27" s="42" t="s">
        <v>491</v>
      </c>
      <c r="D27" s="42"/>
      <c r="E27" s="13" t="s">
        <v>287</v>
      </c>
      <c r="F27" s="42" t="s">
        <v>209</v>
      </c>
      <c r="G27" s="49"/>
    </row>
    <row r="28" spans="2:7">
      <c r="B28" s="41" t="s">
        <v>492</v>
      </c>
      <c r="C28" s="42" t="s">
        <v>120</v>
      </c>
      <c r="D28" s="42" t="s">
        <v>180</v>
      </c>
      <c r="E28" s="13">
        <v>1</v>
      </c>
      <c r="F28" s="42" t="s">
        <v>47</v>
      </c>
      <c r="G28" s="49"/>
    </row>
    <row r="29" spans="2:7">
      <c r="B29" s="41" t="s">
        <v>260</v>
      </c>
      <c r="C29" s="8" t="s">
        <v>120</v>
      </c>
      <c r="D29" s="8" t="s">
        <v>180</v>
      </c>
      <c r="E29" s="13">
        <v>1</v>
      </c>
      <c r="F29" s="42" t="s">
        <v>47</v>
      </c>
      <c r="G29" s="49" t="s">
        <v>310</v>
      </c>
    </row>
    <row r="30" spans="2:7">
      <c r="B30" s="41" t="s">
        <v>500</v>
      </c>
      <c r="C30" s="8" t="s">
        <v>501</v>
      </c>
      <c r="D30" s="8"/>
      <c r="E30" s="13"/>
      <c r="F30" s="42" t="s">
        <v>47</v>
      </c>
      <c r="G30" s="49"/>
    </row>
    <row r="31" spans="2:7">
      <c r="B31" s="41" t="s">
        <v>281</v>
      </c>
      <c r="C31" s="8" t="s">
        <v>285</v>
      </c>
      <c r="D31" s="8" t="s">
        <v>286</v>
      </c>
      <c r="E31" s="13" t="s">
        <v>287</v>
      </c>
      <c r="F31" s="42" t="s">
        <v>288</v>
      </c>
      <c r="G31" s="9"/>
    </row>
    <row r="32" spans="2:7">
      <c r="B32" s="7" t="s">
        <v>161</v>
      </c>
      <c r="C32" s="8" t="s">
        <v>159</v>
      </c>
      <c r="D32" s="8" t="s">
        <v>160</v>
      </c>
      <c r="E32" s="13">
        <v>1</v>
      </c>
      <c r="F32" s="8" t="s">
        <v>105</v>
      </c>
      <c r="G32" s="9"/>
    </row>
    <row r="33" spans="2:7">
      <c r="B33" s="7" t="s">
        <v>205</v>
      </c>
      <c r="C33" s="8" t="s">
        <v>195</v>
      </c>
      <c r="D33" s="8" t="s">
        <v>196</v>
      </c>
      <c r="E33" s="13" t="s">
        <v>206</v>
      </c>
      <c r="F33" s="8" t="s">
        <v>105</v>
      </c>
      <c r="G33" s="9"/>
    </row>
    <row r="34" spans="2:7">
      <c r="B34" s="41" t="s">
        <v>314</v>
      </c>
      <c r="C34" s="42" t="s">
        <v>316</v>
      </c>
      <c r="D34" s="42" t="s">
        <v>315</v>
      </c>
      <c r="E34" s="45" t="s">
        <v>287</v>
      </c>
      <c r="F34" s="42" t="s">
        <v>105</v>
      </c>
      <c r="G34" s="9"/>
    </row>
    <row r="35" spans="2:7">
      <c r="B35" s="41" t="s">
        <v>311</v>
      </c>
      <c r="C35" s="42" t="s">
        <v>313</v>
      </c>
      <c r="D35" s="42" t="s">
        <v>312</v>
      </c>
      <c r="E35" s="45" t="s">
        <v>287</v>
      </c>
      <c r="F35" s="42" t="s">
        <v>105</v>
      </c>
      <c r="G35" s="9"/>
    </row>
    <row r="36" spans="2:7">
      <c r="B36" s="7" t="s">
        <v>134</v>
      </c>
      <c r="C36" s="8" t="s">
        <v>36</v>
      </c>
      <c r="D36" s="8" t="s">
        <v>133</v>
      </c>
      <c r="E36" s="13">
        <v>1</v>
      </c>
      <c r="F36" s="8" t="s">
        <v>105</v>
      </c>
      <c r="G36" s="9"/>
    </row>
    <row r="37" spans="2:7">
      <c r="B37" s="7" t="s">
        <v>189</v>
      </c>
      <c r="C37" s="8" t="s">
        <v>36</v>
      </c>
      <c r="D37" s="8" t="s">
        <v>190</v>
      </c>
      <c r="E37" s="8" t="s">
        <v>191</v>
      </c>
      <c r="F37" s="8" t="s">
        <v>119</v>
      </c>
      <c r="G37" s="9"/>
    </row>
    <row r="38" spans="2:7">
      <c r="B38" s="50" t="s">
        <v>23</v>
      </c>
      <c r="C38" s="10" t="s">
        <v>13</v>
      </c>
      <c r="D38" s="11" t="s">
        <v>106</v>
      </c>
      <c r="E38" s="14">
        <v>1</v>
      </c>
      <c r="F38" s="11" t="s">
        <v>208</v>
      </c>
      <c r="G38" s="12">
        <v>2018</v>
      </c>
    </row>
    <row r="40" spans="2:7">
      <c r="B40" s="24"/>
      <c r="F40" s="38"/>
    </row>
    <row r="41" spans="2:7">
      <c r="F41" s="39"/>
    </row>
    <row r="42" spans="2:7">
      <c r="B42" s="86"/>
      <c r="C42" s="86"/>
      <c r="F42" s="38"/>
    </row>
    <row r="43" spans="2:7">
      <c r="B43" s="87"/>
      <c r="F43" s="38"/>
    </row>
    <row r="44" spans="2:7">
      <c r="B44" s="87"/>
      <c r="C44" s="87"/>
    </row>
    <row r="45" spans="2:7">
      <c r="B45" s="87"/>
      <c r="C45" s="87"/>
    </row>
    <row r="46" spans="2:7">
      <c r="B46" s="87"/>
      <c r="C46" s="87"/>
    </row>
    <row r="47" spans="2:7">
      <c r="B47" s="87"/>
      <c r="C47" s="87"/>
    </row>
    <row r="48" spans="2:7">
      <c r="B48" s="88"/>
      <c r="C48" s="87"/>
    </row>
    <row r="49" spans="2:3">
      <c r="B49" s="88"/>
      <c r="C49" s="87"/>
    </row>
    <row r="50" spans="2:3">
      <c r="B50" s="88"/>
      <c r="C50" s="87"/>
    </row>
    <row r="51" spans="2:3">
      <c r="B51" s="87"/>
      <c r="C51" s="87"/>
    </row>
    <row r="52" spans="2:3">
      <c r="B52" s="87"/>
      <c r="C52" s="87"/>
    </row>
    <row r="53" spans="2:3">
      <c r="B53" s="88"/>
      <c r="C53" s="87"/>
    </row>
    <row r="54" spans="2:3">
      <c r="B54" s="87"/>
    </row>
    <row r="55" spans="2:3">
      <c r="B55" s="87"/>
    </row>
    <row r="57" spans="2:3">
      <c r="B57" s="87"/>
    </row>
    <row r="58" spans="2:3">
      <c r="C58" s="87"/>
    </row>
    <row r="60" spans="2:3">
      <c r="B60" s="87"/>
    </row>
    <row r="62" spans="2:3">
      <c r="C62" s="87"/>
    </row>
  </sheetData>
  <phoneticPr fontId="2" type="noConversion"/>
  <hyperlinks>
    <hyperlink ref="B4" location="Cymbalta!A1" display="Cymbalta" xr:uid="{00000000-0004-0000-0000-000002000000}"/>
    <hyperlink ref="B6" location="Forteo!A1" display="Forteo" xr:uid="{00000000-0004-0000-0000-000004000000}"/>
    <hyperlink ref="B8" location="Cialis!A1" display="Cialis" xr:uid="{00000000-0004-0000-0000-000007000000}"/>
    <hyperlink ref="B9" location="Alimta!A1" display="Alimta" xr:uid="{00000000-0004-0000-0000-000008000000}"/>
    <hyperlink ref="B38" location="Zyprexa!A1" display="Zyprexa Depot" xr:uid="{00000000-0004-0000-0000-00000A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K134"/>
  <sheetViews>
    <sheetView workbookViewId="0">
      <pane xSplit="2" ySplit="2" topLeftCell="BK18" activePane="bottomRight" state="frozen"/>
      <selection pane="topRight" activeCell="C1" sqref="C1"/>
      <selection pane="bottomLeft" activeCell="A3" sqref="A3"/>
      <selection pane="bottomRight" activeCell="BR2" sqref="BR2"/>
    </sheetView>
  </sheetViews>
  <sheetFormatPr defaultRowHeight="12.75"/>
  <cols>
    <col min="1" max="1" width="5.28515625" style="52" customWidth="1"/>
    <col min="2" max="2" width="18.85546875" style="52" customWidth="1"/>
    <col min="3" max="17" width="7" style="53" customWidth="1"/>
    <col min="18" max="18" width="6.7109375" style="53" customWidth="1"/>
    <col min="19" max="84" width="7" style="53" customWidth="1"/>
    <col min="85" max="85" width="4.28515625" style="52" customWidth="1"/>
    <col min="86" max="94" width="6.5703125" style="53" bestFit="1" customWidth="1"/>
    <col min="95" max="95" width="7" style="53" bestFit="1" customWidth="1"/>
    <col min="96" max="96" width="6.5703125" style="53" bestFit="1" customWidth="1"/>
    <col min="97" max="100" width="7" style="53" customWidth="1"/>
    <col min="101" max="102" width="7.42578125" style="53" customWidth="1"/>
    <col min="103" max="115" width="7.140625" style="52" customWidth="1"/>
    <col min="116" max="16384" width="9.140625" style="52"/>
  </cols>
  <sheetData>
    <row r="1" spans="1:115">
      <c r="A1" s="51" t="s">
        <v>6</v>
      </c>
    </row>
    <row r="2" spans="1:115">
      <c r="C2" s="53" t="s">
        <v>204</v>
      </c>
      <c r="D2" s="53" t="s">
        <v>203</v>
      </c>
      <c r="E2" s="53" t="s">
        <v>202</v>
      </c>
      <c r="F2" s="53" t="s">
        <v>127</v>
      </c>
      <c r="G2" s="53" t="s">
        <v>126</v>
      </c>
      <c r="H2" s="53" t="s">
        <v>125</v>
      </c>
      <c r="I2" s="53" t="s">
        <v>124</v>
      </c>
      <c r="J2" s="53" t="s">
        <v>99</v>
      </c>
      <c r="K2" s="53" t="s">
        <v>100</v>
      </c>
      <c r="L2" s="53" t="s">
        <v>97</v>
      </c>
      <c r="M2" s="53" t="s">
        <v>96</v>
      </c>
      <c r="N2" s="53" t="s">
        <v>98</v>
      </c>
      <c r="O2" s="53" t="s">
        <v>128</v>
      </c>
      <c r="P2" s="53" t="s">
        <v>164</v>
      </c>
      <c r="Q2" s="53" t="s">
        <v>186</v>
      </c>
      <c r="R2" s="53" t="s">
        <v>187</v>
      </c>
      <c r="S2" s="53" t="s">
        <v>198</v>
      </c>
      <c r="T2" s="53" t="s">
        <v>199</v>
      </c>
      <c r="U2" s="53" t="s">
        <v>200</v>
      </c>
      <c r="V2" s="53" t="s">
        <v>201</v>
      </c>
      <c r="W2" s="54" t="s">
        <v>247</v>
      </c>
      <c r="X2" s="54" t="s">
        <v>248</v>
      </c>
      <c r="Y2" s="54" t="s">
        <v>249</v>
      </c>
      <c r="Z2" s="54" t="s">
        <v>250</v>
      </c>
      <c r="AA2" s="54" t="s">
        <v>261</v>
      </c>
      <c r="AB2" s="54" t="s">
        <v>262</v>
      </c>
      <c r="AC2" s="54" t="s">
        <v>263</v>
      </c>
      <c r="AD2" s="54" t="s">
        <v>264</v>
      </c>
      <c r="AE2" s="54" t="s">
        <v>274</v>
      </c>
      <c r="AF2" s="54" t="s">
        <v>275</v>
      </c>
      <c r="AG2" s="54" t="s">
        <v>276</v>
      </c>
      <c r="AH2" s="54" t="s">
        <v>277</v>
      </c>
      <c r="AI2" s="54" t="s">
        <v>318</v>
      </c>
      <c r="AJ2" s="54" t="s">
        <v>319</v>
      </c>
      <c r="AK2" s="54" t="s">
        <v>320</v>
      </c>
      <c r="AL2" s="54" t="s">
        <v>321</v>
      </c>
      <c r="AM2" s="54" t="s">
        <v>322</v>
      </c>
      <c r="AN2" s="54" t="s">
        <v>323</v>
      </c>
      <c r="AO2" s="54" t="s">
        <v>324</v>
      </c>
      <c r="AP2" s="54" t="s">
        <v>325</v>
      </c>
      <c r="AQ2" s="54" t="s">
        <v>337</v>
      </c>
      <c r="AR2" s="54" t="s">
        <v>335</v>
      </c>
      <c r="AS2" s="54" t="s">
        <v>338</v>
      </c>
      <c r="AT2" s="54" t="s">
        <v>339</v>
      </c>
      <c r="AU2" s="54" t="s">
        <v>340</v>
      </c>
      <c r="AV2" s="54" t="s">
        <v>341</v>
      </c>
      <c r="AW2" s="54" t="s">
        <v>342</v>
      </c>
      <c r="AX2" s="54" t="s">
        <v>343</v>
      </c>
      <c r="AY2" s="54" t="s">
        <v>344</v>
      </c>
      <c r="AZ2" s="54" t="s">
        <v>345</v>
      </c>
      <c r="BA2" s="54" t="s">
        <v>346</v>
      </c>
      <c r="BB2" s="54" t="s">
        <v>347</v>
      </c>
      <c r="BC2" s="54" t="s">
        <v>348</v>
      </c>
      <c r="BD2" s="54" t="s">
        <v>349</v>
      </c>
      <c r="BE2" s="54" t="s">
        <v>350</v>
      </c>
      <c r="BF2" s="54" t="s">
        <v>351</v>
      </c>
      <c r="BG2" s="54" t="s">
        <v>352</v>
      </c>
      <c r="BH2" s="54" t="s">
        <v>353</v>
      </c>
      <c r="BI2" s="54" t="s">
        <v>354</v>
      </c>
      <c r="BJ2" s="54" t="s">
        <v>355</v>
      </c>
      <c r="BK2" s="54" t="s">
        <v>356</v>
      </c>
      <c r="BL2" s="54" t="s">
        <v>357</v>
      </c>
      <c r="BM2" s="54" t="s">
        <v>358</v>
      </c>
      <c r="BN2" s="54" t="s">
        <v>359</v>
      </c>
      <c r="BO2" s="54" t="s">
        <v>360</v>
      </c>
      <c r="BP2" s="54" t="s">
        <v>361</v>
      </c>
      <c r="BQ2" s="54" t="s">
        <v>362</v>
      </c>
      <c r="BR2" s="54" t="s">
        <v>363</v>
      </c>
      <c r="BS2" s="54" t="s">
        <v>364</v>
      </c>
      <c r="BT2" s="54" t="s">
        <v>365</v>
      </c>
      <c r="BU2" s="54" t="s">
        <v>366</v>
      </c>
      <c r="BV2" s="54" t="s">
        <v>367</v>
      </c>
      <c r="BW2" s="54" t="s">
        <v>336</v>
      </c>
      <c r="BX2" s="54" t="s">
        <v>368</v>
      </c>
      <c r="BY2" s="54" t="s">
        <v>369</v>
      </c>
      <c r="BZ2" s="54" t="s">
        <v>370</v>
      </c>
      <c r="CA2" s="54" t="s">
        <v>388</v>
      </c>
      <c r="CB2" s="54" t="s">
        <v>389</v>
      </c>
      <c r="CC2" s="54" t="s">
        <v>390</v>
      </c>
      <c r="CD2" s="54" t="s">
        <v>391</v>
      </c>
      <c r="CE2" s="54"/>
      <c r="CF2" s="54"/>
      <c r="CH2" s="53">
        <v>2001</v>
      </c>
      <c r="CI2" s="53">
        <v>2002</v>
      </c>
      <c r="CJ2" s="53">
        <v>2003</v>
      </c>
      <c r="CK2" s="53">
        <v>2004</v>
      </c>
      <c r="CL2" s="53">
        <v>2005</v>
      </c>
      <c r="CM2" s="53">
        <v>2006</v>
      </c>
      <c r="CN2" s="53">
        <v>2007</v>
      </c>
      <c r="CO2" s="53">
        <v>2008</v>
      </c>
      <c r="CP2" s="53">
        <v>2009</v>
      </c>
      <c r="CQ2" s="53">
        <v>2010</v>
      </c>
      <c r="CR2" s="53">
        <v>2011</v>
      </c>
      <c r="CS2" s="53">
        <v>2012</v>
      </c>
      <c r="CT2" s="53">
        <v>2013</v>
      </c>
      <c r="CU2" s="53">
        <v>2014</v>
      </c>
      <c r="CV2" s="53">
        <v>2015</v>
      </c>
      <c r="CW2" s="53">
        <v>2016</v>
      </c>
      <c r="CX2" s="53">
        <v>2017</v>
      </c>
      <c r="CY2" s="52">
        <f>+CX2+1</f>
        <v>2018</v>
      </c>
      <c r="CZ2" s="52">
        <f t="shared" ref="CZ2:DC2" si="0">+CY2+1</f>
        <v>2019</v>
      </c>
      <c r="DA2" s="52">
        <f t="shared" si="0"/>
        <v>2020</v>
      </c>
      <c r="DB2" s="52">
        <f t="shared" si="0"/>
        <v>2021</v>
      </c>
      <c r="DC2" s="52">
        <f t="shared" si="0"/>
        <v>2022</v>
      </c>
      <c r="DD2" s="52">
        <f>+DC2+1</f>
        <v>2023</v>
      </c>
      <c r="DE2" s="52">
        <f t="shared" ref="DE2:DK2" si="1">+DD2+1</f>
        <v>2024</v>
      </c>
      <c r="DF2" s="52">
        <f t="shared" si="1"/>
        <v>2025</v>
      </c>
      <c r="DG2" s="52">
        <f t="shared" si="1"/>
        <v>2026</v>
      </c>
      <c r="DH2" s="52">
        <f t="shared" si="1"/>
        <v>2027</v>
      </c>
      <c r="DI2" s="52">
        <f t="shared" si="1"/>
        <v>2028</v>
      </c>
      <c r="DJ2" s="52">
        <f t="shared" si="1"/>
        <v>2029</v>
      </c>
      <c r="DK2" s="52">
        <f t="shared" si="1"/>
        <v>2030</v>
      </c>
    </row>
    <row r="3" spans="1:115" s="55" customFormat="1">
      <c r="B3" s="56" t="s">
        <v>371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>
        <v>879.7</v>
      </c>
      <c r="BL3" s="58">
        <v>1028.5</v>
      </c>
      <c r="BM3" s="58">
        <v>1011.5</v>
      </c>
      <c r="BN3" s="58">
        <v>1208.0999999999999</v>
      </c>
      <c r="BO3" s="92">
        <v>1229.4000000000001</v>
      </c>
      <c r="BP3" s="92">
        <v>1229.8</v>
      </c>
      <c r="BQ3" s="92">
        <v>1106.5999999999999</v>
      </c>
      <c r="BR3" s="92">
        <v>1502.4</v>
      </c>
      <c r="BS3" s="58">
        <v>1452.4</v>
      </c>
      <c r="BT3" s="58">
        <v>1535.6</v>
      </c>
      <c r="BU3" s="58">
        <v>1600.1</v>
      </c>
      <c r="BV3" s="58">
        <v>1883.7</v>
      </c>
      <c r="BW3" s="58">
        <v>1741.3</v>
      </c>
      <c r="BX3" s="58">
        <f>+BT3*1.2</f>
        <v>1842.7199999999998</v>
      </c>
      <c r="BY3" s="58">
        <f>+BU3*1.2</f>
        <v>1920.12</v>
      </c>
      <c r="BZ3" s="58">
        <f>+BV3*1.2</f>
        <v>2260.44</v>
      </c>
      <c r="CA3" s="58">
        <f>+BW3*1.15</f>
        <v>2002.4949999999999</v>
      </c>
      <c r="CB3" s="58">
        <f>+BX3*1.15</f>
        <v>2119.1279999999997</v>
      </c>
      <c r="CC3" s="58">
        <f>+BY3*1.15</f>
        <v>2208.1379999999999</v>
      </c>
      <c r="CD3" s="58">
        <f>+BZ3*1.15</f>
        <v>2599.5059999999999</v>
      </c>
      <c r="CE3" s="58"/>
      <c r="CF3" s="58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DB3" s="55">
        <f>SUM(BS3:BV3)</f>
        <v>6471.8</v>
      </c>
      <c r="DC3" s="55">
        <f>SUM(BW3:BZ3)</f>
        <v>7764.58</v>
      </c>
      <c r="DD3" s="55">
        <f>SUM(CA3:CD3)</f>
        <v>8929.2669999999998</v>
      </c>
    </row>
    <row r="4" spans="1:115" s="55" customFormat="1">
      <c r="B4" s="56" t="s">
        <v>382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>
        <v>0</v>
      </c>
      <c r="BL4" s="58">
        <v>0</v>
      </c>
      <c r="BM4" s="58">
        <v>0</v>
      </c>
      <c r="BN4" s="58">
        <v>0</v>
      </c>
      <c r="BO4" s="92">
        <v>0</v>
      </c>
      <c r="BP4" s="92">
        <v>0</v>
      </c>
      <c r="BQ4" s="92">
        <v>0</v>
      </c>
      <c r="BR4" s="92">
        <v>871.2</v>
      </c>
      <c r="BS4" s="58">
        <v>810.1</v>
      </c>
      <c r="BT4" s="58">
        <v>148.9</v>
      </c>
      <c r="BU4" s="58">
        <v>217.1</v>
      </c>
      <c r="BV4" s="58">
        <v>1063.0999999999999</v>
      </c>
      <c r="BW4" s="58">
        <v>1469.8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0</v>
      </c>
      <c r="CE4" s="58"/>
      <c r="CF4" s="58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</row>
    <row r="5" spans="1:115">
      <c r="B5" s="52" t="s">
        <v>54</v>
      </c>
      <c r="C5" s="57">
        <v>267.2</v>
      </c>
      <c r="D5" s="57">
        <v>285.3</v>
      </c>
      <c r="E5" s="57">
        <v>264.60000000000002</v>
      </c>
      <c r="F5" s="57">
        <v>284.60000000000002</v>
      </c>
      <c r="G5" s="57">
        <v>286.2</v>
      </c>
      <c r="H5" s="57">
        <v>296.2</v>
      </c>
      <c r="I5" s="57">
        <f>M5/1.05</f>
        <v>306.66666666666663</v>
      </c>
      <c r="J5" s="57">
        <v>309.10000000000002</v>
      </c>
      <c r="K5" s="57">
        <v>305</v>
      </c>
      <c r="L5" s="57">
        <v>321</v>
      </c>
      <c r="M5" s="57">
        <v>322</v>
      </c>
      <c r="N5" s="57">
        <v>352.2</v>
      </c>
      <c r="O5" s="57">
        <v>339.5</v>
      </c>
      <c r="P5" s="57">
        <v>358.4</v>
      </c>
      <c r="Q5" s="57">
        <v>362.5</v>
      </c>
      <c r="R5" s="57">
        <v>414.2</v>
      </c>
      <c r="S5" s="57">
        <v>407.4</v>
      </c>
      <c r="T5" s="57">
        <v>437.9</v>
      </c>
      <c r="U5" s="57">
        <v>432.6</v>
      </c>
      <c r="V5" s="57">
        <v>457.9</v>
      </c>
      <c r="W5" s="57">
        <v>450.6</v>
      </c>
      <c r="X5" s="57">
        <v>477.5</v>
      </c>
      <c r="Y5" s="57">
        <v>500.2</v>
      </c>
      <c r="Z5" s="57">
        <v>530.79999999999995</v>
      </c>
      <c r="AA5" s="57">
        <v>506.4</v>
      </c>
      <c r="AB5" s="57">
        <v>504.6</v>
      </c>
      <c r="AC5" s="57">
        <v>494</v>
      </c>
      <c r="AD5" s="57">
        <v>549.1</v>
      </c>
      <c r="AE5" s="57">
        <v>525.4</v>
      </c>
      <c r="AF5" s="57">
        <v>586.9</v>
      </c>
      <c r="AG5" s="57">
        <v>593.20000000000005</v>
      </c>
      <c r="AH5" s="57">
        <v>662</v>
      </c>
      <c r="AI5" s="57">
        <v>590.29999999999995</v>
      </c>
      <c r="AJ5" s="57">
        <v>613.4</v>
      </c>
      <c r="AK5" s="57">
        <v>575.79999999999995</v>
      </c>
      <c r="AL5" s="57">
        <f t="shared" ref="AL5:AP5" si="2">+AK5-5</f>
        <v>570.79999999999995</v>
      </c>
      <c r="AM5" s="57">
        <f t="shared" si="2"/>
        <v>565.79999999999995</v>
      </c>
      <c r="AN5" s="57">
        <f t="shared" si="2"/>
        <v>560.79999999999995</v>
      </c>
      <c r="AO5" s="57">
        <f t="shared" si="2"/>
        <v>555.79999999999995</v>
      </c>
      <c r="AP5" s="57">
        <f t="shared" si="2"/>
        <v>550.79999999999995</v>
      </c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>
        <v>730.8</v>
      </c>
      <c r="BL5" s="57">
        <v>677.6</v>
      </c>
      <c r="BM5" s="57">
        <v>648.9</v>
      </c>
      <c r="BN5" s="57">
        <v>763.4</v>
      </c>
      <c r="BO5" s="93">
        <v>695.8</v>
      </c>
      <c r="BP5" s="93">
        <v>555.1</v>
      </c>
      <c r="BQ5" s="93">
        <v>656.9</v>
      </c>
      <c r="BR5" s="93">
        <v>718.1</v>
      </c>
      <c r="BS5" s="57">
        <f>332.7+284.4</f>
        <v>617.09999999999991</v>
      </c>
      <c r="BT5" s="57">
        <v>607.6</v>
      </c>
      <c r="BU5" s="57">
        <v>626.70000000000005</v>
      </c>
      <c r="BV5" s="57">
        <v>601.70000000000005</v>
      </c>
      <c r="BW5" s="57">
        <f>368.9+249.3</f>
        <v>618.20000000000005</v>
      </c>
      <c r="BX5" s="57">
        <f t="shared" ref="BX5:CD5" si="3">+BT5*0.98</f>
        <v>595.44799999999998</v>
      </c>
      <c r="BY5" s="57">
        <f t="shared" si="3"/>
        <v>614.16600000000005</v>
      </c>
      <c r="BZ5" s="57">
        <f t="shared" si="3"/>
        <v>589.66600000000005</v>
      </c>
      <c r="CA5" s="57">
        <f t="shared" si="3"/>
        <v>605.83600000000001</v>
      </c>
      <c r="CB5" s="57">
        <f t="shared" si="3"/>
        <v>583.53904</v>
      </c>
      <c r="CC5" s="57">
        <f t="shared" si="3"/>
        <v>601.88268000000005</v>
      </c>
      <c r="CD5" s="57">
        <f t="shared" si="3"/>
        <v>577.87268000000006</v>
      </c>
      <c r="CE5" s="57"/>
      <c r="CF5" s="57"/>
      <c r="CG5" s="55"/>
      <c r="CH5" s="57"/>
      <c r="CI5" s="57">
        <v>834</v>
      </c>
      <c r="CJ5" s="57">
        <v>1021</v>
      </c>
      <c r="CK5" s="57">
        <v>1101</v>
      </c>
      <c r="CL5" s="57">
        <v>1198</v>
      </c>
      <c r="CM5" s="57">
        <f>SUM(K5:N5)</f>
        <v>1300.2</v>
      </c>
      <c r="CN5" s="57">
        <f t="shared" ref="CN5:CN10" si="4">SUM(O5:R5)</f>
        <v>1474.6000000000001</v>
      </c>
      <c r="CO5" s="57">
        <f t="shared" ref="CO5:CO29" si="5">SUM(S5:V5)</f>
        <v>1735.8000000000002</v>
      </c>
      <c r="CP5" s="57">
        <f t="shared" ref="CP5:CP29" si="6">SUM(W5:Z5)</f>
        <v>1959.1</v>
      </c>
      <c r="CQ5" s="57">
        <f t="shared" ref="CQ5:CQ29" si="7">SUM(AA5:AD5)</f>
        <v>2054.1</v>
      </c>
      <c r="CR5" s="57">
        <f t="shared" ref="CR5:CR30" si="8">SUM(AE5:AH5)</f>
        <v>2367.5</v>
      </c>
      <c r="CS5" s="57">
        <f>SUM(AI5:AL5)</f>
        <v>2350.2999999999997</v>
      </c>
      <c r="CT5" s="57">
        <f>CS5*0.99</f>
        <v>2326.7969999999996</v>
      </c>
      <c r="CU5" s="57">
        <f t="shared" ref="CU5:DB5" si="9">CT5*0.99</f>
        <v>2303.5290299999997</v>
      </c>
      <c r="CV5" s="57">
        <f t="shared" si="9"/>
        <v>2280.4937396999999</v>
      </c>
      <c r="CW5" s="57">
        <f t="shared" si="9"/>
        <v>2257.6888023029996</v>
      </c>
      <c r="CX5" s="57">
        <f t="shared" si="9"/>
        <v>2235.1119142799698</v>
      </c>
      <c r="CY5" s="57">
        <f t="shared" si="9"/>
        <v>2212.7607951371701</v>
      </c>
      <c r="CZ5" s="57">
        <f t="shared" si="9"/>
        <v>2190.6331871857983</v>
      </c>
      <c r="DA5" s="57">
        <f t="shared" si="9"/>
        <v>2168.7268553139402</v>
      </c>
      <c r="DB5" s="57">
        <f t="shared" si="9"/>
        <v>2147.0395867608008</v>
      </c>
    </row>
    <row r="6" spans="1:115">
      <c r="B6" s="59" t="s">
        <v>378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>
        <v>252.5</v>
      </c>
      <c r="BL6" s="58">
        <v>353.8</v>
      </c>
      <c r="BM6" s="58">
        <v>340</v>
      </c>
      <c r="BN6" s="58">
        <v>420.1</v>
      </c>
      <c r="BO6" s="92">
        <v>443.5</v>
      </c>
      <c r="BP6" s="92">
        <v>395.2</v>
      </c>
      <c r="BQ6" s="92">
        <v>454.5</v>
      </c>
      <c r="BR6" s="92">
        <v>495.3</v>
      </c>
      <c r="BS6" s="58">
        <v>403.2</v>
      </c>
      <c r="BT6" s="58">
        <v>569.1</v>
      </c>
      <c r="BU6" s="58">
        <v>593.1</v>
      </c>
      <c r="BV6" s="58">
        <v>647.4</v>
      </c>
      <c r="BW6" s="58">
        <v>488.1</v>
      </c>
      <c r="BX6" s="58">
        <f>+BT6*1.2</f>
        <v>682.92</v>
      </c>
      <c r="BY6" s="58">
        <f t="shared" ref="BY6:CD6" si="10">+BU6*1.2</f>
        <v>711.72</v>
      </c>
      <c r="BZ6" s="58">
        <f t="shared" si="10"/>
        <v>776.88</v>
      </c>
      <c r="CA6" s="58">
        <f t="shared" si="10"/>
        <v>585.72</v>
      </c>
      <c r="CB6" s="58">
        <f t="shared" si="10"/>
        <v>819.50399999999991</v>
      </c>
      <c r="CC6" s="58">
        <f t="shared" si="10"/>
        <v>854.06399999999996</v>
      </c>
      <c r="CD6" s="58">
        <f t="shared" si="10"/>
        <v>932.25599999999997</v>
      </c>
      <c r="CE6" s="58"/>
      <c r="CF6" s="58"/>
      <c r="CG6" s="55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</row>
    <row r="7" spans="1:115">
      <c r="B7" s="59" t="s">
        <v>375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>
        <v>109.4</v>
      </c>
      <c r="BL7" s="57">
        <v>133.9</v>
      </c>
      <c r="BM7" s="57">
        <v>157.19999999999999</v>
      </c>
      <c r="BN7" s="57">
        <v>179.1</v>
      </c>
      <c r="BO7" s="93">
        <v>188</v>
      </c>
      <c r="BP7" s="93">
        <v>208.6</v>
      </c>
      <c r="BQ7" s="93">
        <v>234.4</v>
      </c>
      <c r="BR7" s="93">
        <v>281.60000000000002</v>
      </c>
      <c r="BS7" s="57">
        <v>269</v>
      </c>
      <c r="BT7" s="57">
        <v>341.3</v>
      </c>
      <c r="BU7" s="57">
        <v>335.5</v>
      </c>
      <c r="BV7" s="57">
        <v>404.1</v>
      </c>
      <c r="BW7" s="57">
        <v>469.4</v>
      </c>
      <c r="BX7" s="57">
        <f>+BT7*1.3</f>
        <v>443.69000000000005</v>
      </c>
      <c r="BY7" s="57">
        <f>+BU7*1.3</f>
        <v>436.15000000000003</v>
      </c>
      <c r="BZ7" s="57">
        <f t="shared" ref="BZ7:CB8" si="11">+BV7*1.2</f>
        <v>484.92</v>
      </c>
      <c r="CA7" s="57">
        <f t="shared" si="11"/>
        <v>563.28</v>
      </c>
      <c r="CB7" s="57">
        <f t="shared" si="11"/>
        <v>532.428</v>
      </c>
      <c r="CC7" s="57">
        <f>+BY7*1.15</f>
        <v>501.57249999999999</v>
      </c>
      <c r="CD7" s="57">
        <f>+BZ7*1.15</f>
        <v>557.65800000000002</v>
      </c>
      <c r="CE7" s="57"/>
      <c r="CF7" s="57"/>
      <c r="CG7" s="55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60"/>
      <c r="CZ7" s="61"/>
    </row>
    <row r="8" spans="1:115">
      <c r="B8" s="59" t="s">
        <v>374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>
        <v>203.6</v>
      </c>
      <c r="BL8" s="57">
        <v>231.9</v>
      </c>
      <c r="BM8" s="57">
        <v>240.7</v>
      </c>
      <c r="BN8" s="57">
        <v>268</v>
      </c>
      <c r="BO8" s="93">
        <v>267.5</v>
      </c>
      <c r="BP8" s="93">
        <v>262</v>
      </c>
      <c r="BQ8" s="93">
        <v>310.8</v>
      </c>
      <c r="BR8" s="93">
        <v>313.60000000000002</v>
      </c>
      <c r="BS8" s="57">
        <v>312</v>
      </c>
      <c r="BT8" s="57">
        <v>356.5</v>
      </c>
      <c r="BU8" s="57">
        <v>390.4</v>
      </c>
      <c r="BV8" s="57">
        <v>431.9</v>
      </c>
      <c r="BW8" s="57">
        <v>419.4</v>
      </c>
      <c r="BX8" s="57">
        <f>+BT8*1.2</f>
        <v>427.8</v>
      </c>
      <c r="BY8" s="57">
        <f>+BU8*1.2</f>
        <v>468.47999999999996</v>
      </c>
      <c r="BZ8" s="57">
        <f t="shared" si="11"/>
        <v>518.28</v>
      </c>
      <c r="CA8" s="57">
        <f t="shared" si="11"/>
        <v>503.28</v>
      </c>
      <c r="CB8" s="57">
        <f t="shared" si="11"/>
        <v>513.36</v>
      </c>
      <c r="CC8" s="57">
        <f>+BY8*1.2</f>
        <v>562.17599999999993</v>
      </c>
      <c r="CD8" s="57">
        <f>+BZ8*1.2</f>
        <v>621.93599999999992</v>
      </c>
      <c r="CE8" s="57"/>
      <c r="CF8" s="57"/>
      <c r="CG8" s="55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</row>
    <row r="9" spans="1:115">
      <c r="B9" s="52" t="s">
        <v>19</v>
      </c>
      <c r="C9" s="57">
        <v>11.6</v>
      </c>
      <c r="D9" s="57">
        <v>17.8</v>
      </c>
      <c r="E9" s="57">
        <v>40</v>
      </c>
      <c r="F9" s="57">
        <v>73.099999999999994</v>
      </c>
      <c r="G9" s="57">
        <v>93.9</v>
      </c>
      <c r="H9" s="57">
        <v>111.2</v>
      </c>
      <c r="I9" s="57">
        <v>122.3</v>
      </c>
      <c r="J9" s="57">
        <v>135.80000000000001</v>
      </c>
      <c r="K9" s="57">
        <v>130</v>
      </c>
      <c r="L9" s="57">
        <v>153</v>
      </c>
      <c r="M9" s="57">
        <v>157</v>
      </c>
      <c r="N9" s="57">
        <v>171.4</v>
      </c>
      <c r="O9" s="57">
        <v>187.8</v>
      </c>
      <c r="P9" s="57">
        <v>207.1</v>
      </c>
      <c r="Q9" s="57">
        <v>215</v>
      </c>
      <c r="R9" s="57">
        <v>244.1</v>
      </c>
      <c r="S9" s="57">
        <v>247.2</v>
      </c>
      <c r="T9" s="57">
        <v>275</v>
      </c>
      <c r="U9" s="57">
        <v>313.89999999999998</v>
      </c>
      <c r="V9" s="57">
        <v>318.7</v>
      </c>
      <c r="W9" s="57">
        <v>335.3</v>
      </c>
      <c r="X9" s="57">
        <v>385.3</v>
      </c>
      <c r="Y9" s="57">
        <v>461.9</v>
      </c>
      <c r="Z9" s="57">
        <v>523.6</v>
      </c>
      <c r="AA9" s="57">
        <v>527.4</v>
      </c>
      <c r="AB9" s="57">
        <v>551.79999999999995</v>
      </c>
      <c r="AC9" s="57">
        <v>560.29999999999995</v>
      </c>
      <c r="AD9" s="57">
        <v>569</v>
      </c>
      <c r="AE9" s="57">
        <v>579.9</v>
      </c>
      <c r="AF9" s="57">
        <v>613.4</v>
      </c>
      <c r="AG9" s="57">
        <v>629.70000000000005</v>
      </c>
      <c r="AH9" s="57">
        <v>638.1</v>
      </c>
      <c r="AI9" s="57">
        <v>606.79999999999995</v>
      </c>
      <c r="AJ9" s="57">
        <v>659.5</v>
      </c>
      <c r="AK9" s="57">
        <v>643.6</v>
      </c>
      <c r="AL9" s="57">
        <f t="shared" ref="AL9:AP9" si="12">+AK9</f>
        <v>643.6</v>
      </c>
      <c r="AM9" s="57">
        <f t="shared" si="12"/>
        <v>643.6</v>
      </c>
      <c r="AN9" s="57">
        <f t="shared" si="12"/>
        <v>643.6</v>
      </c>
      <c r="AO9" s="57">
        <f t="shared" si="12"/>
        <v>643.6</v>
      </c>
      <c r="AP9" s="57">
        <f t="shared" si="12"/>
        <v>643.6</v>
      </c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>
        <v>499.2</v>
      </c>
      <c r="BL9" s="57">
        <v>577.79999999999995</v>
      </c>
      <c r="BM9" s="57">
        <v>508.2</v>
      </c>
      <c r="BN9" s="57">
        <v>530.70000000000005</v>
      </c>
      <c r="BO9" s="93">
        <v>560.1</v>
      </c>
      <c r="BP9" s="93">
        <v>539.1</v>
      </c>
      <c r="BQ9" s="93">
        <v>578</v>
      </c>
      <c r="BR9" s="93">
        <v>652.70000000000005</v>
      </c>
      <c r="BS9" s="57">
        <v>559</v>
      </c>
      <c r="BT9" s="57">
        <v>610.6</v>
      </c>
      <c r="BU9" s="57">
        <v>457</v>
      </c>
      <c r="BV9" s="57">
        <v>434.9</v>
      </c>
      <c r="BW9" s="57">
        <v>343.9</v>
      </c>
      <c r="BX9" s="57">
        <f t="shared" ref="BX9:CD9" si="13">+BW9-20</f>
        <v>323.89999999999998</v>
      </c>
      <c r="BY9" s="57">
        <f t="shared" si="13"/>
        <v>303.89999999999998</v>
      </c>
      <c r="BZ9" s="57">
        <f t="shared" si="13"/>
        <v>283.89999999999998</v>
      </c>
      <c r="CA9" s="57">
        <f t="shared" si="13"/>
        <v>263.89999999999998</v>
      </c>
      <c r="CB9" s="57">
        <f t="shared" si="13"/>
        <v>243.89999999999998</v>
      </c>
      <c r="CC9" s="57">
        <f t="shared" si="13"/>
        <v>223.89999999999998</v>
      </c>
      <c r="CD9" s="57">
        <f t="shared" si="13"/>
        <v>203.89999999999998</v>
      </c>
      <c r="CE9" s="57"/>
      <c r="CF9" s="57"/>
      <c r="CG9" s="55"/>
      <c r="CH9" s="57"/>
      <c r="CI9" s="57"/>
      <c r="CJ9" s="57"/>
      <c r="CK9" s="57">
        <v>143</v>
      </c>
      <c r="CL9" s="57">
        <v>463</v>
      </c>
      <c r="CM9" s="57">
        <v>619</v>
      </c>
      <c r="CN9" s="57">
        <f>SUM(O9:R9)</f>
        <v>854</v>
      </c>
      <c r="CO9" s="57">
        <f>SUM(S9:V9)</f>
        <v>1154.8</v>
      </c>
      <c r="CP9" s="57">
        <f>SUM(W9:Z9)</f>
        <v>1706.1</v>
      </c>
      <c r="CQ9" s="57">
        <f>SUM(AA9:AD9)</f>
        <v>2208.5</v>
      </c>
      <c r="CR9" s="57">
        <f>SUM(AE9:AH9)</f>
        <v>2461.1</v>
      </c>
      <c r="CS9" s="57">
        <f>SUM(AI9:AL9)</f>
        <v>2553.5</v>
      </c>
      <c r="CT9" s="57">
        <f>CS9*1.15</f>
        <v>2936.5249999999996</v>
      </c>
      <c r="CU9" s="57">
        <f>CT9</f>
        <v>2936.5249999999996</v>
      </c>
      <c r="CV9" s="57">
        <f>CU9</f>
        <v>2936.5249999999996</v>
      </c>
      <c r="CW9" s="57">
        <f>CV9*0.5</f>
        <v>1468.2624999999998</v>
      </c>
      <c r="CX9" s="57"/>
      <c r="CY9" s="60"/>
      <c r="CZ9" s="60"/>
    </row>
    <row r="10" spans="1:115">
      <c r="B10" s="52" t="s">
        <v>57</v>
      </c>
      <c r="C10" s="57">
        <v>249.4</v>
      </c>
      <c r="D10" s="57">
        <v>259.3</v>
      </c>
      <c r="E10" s="57">
        <v>243.7</v>
      </c>
      <c r="F10" s="57">
        <v>245.2</v>
      </c>
      <c r="G10" s="57">
        <v>256.89999999999998</v>
      </c>
      <c r="H10" s="57">
        <v>249.8</v>
      </c>
      <c r="I10" s="57">
        <v>250.9</v>
      </c>
      <c r="J10" s="57">
        <v>247.2</v>
      </c>
      <c r="K10" s="57">
        <v>219</v>
      </c>
      <c r="L10" s="57">
        <v>220</v>
      </c>
      <c r="M10" s="57">
        <v>230</v>
      </c>
      <c r="N10" s="57">
        <v>257</v>
      </c>
      <c r="O10" s="57">
        <v>225.8</v>
      </c>
      <c r="P10" s="57">
        <v>242.8</v>
      </c>
      <c r="Q10" s="57">
        <v>243.3</v>
      </c>
      <c r="R10" s="57">
        <v>273.39999999999998</v>
      </c>
      <c r="S10" s="57">
        <v>257.7</v>
      </c>
      <c r="T10" s="57">
        <v>271.39999999999998</v>
      </c>
      <c r="U10" s="57">
        <v>271.60000000000002</v>
      </c>
      <c r="V10" s="57">
        <v>262.39999999999998</v>
      </c>
      <c r="W10" s="57">
        <v>240.6</v>
      </c>
      <c r="X10" s="57">
        <v>248.1</v>
      </c>
      <c r="Y10" s="57">
        <v>260.39999999999998</v>
      </c>
      <c r="Z10" s="57">
        <v>273</v>
      </c>
      <c r="AA10" s="57">
        <v>257.8</v>
      </c>
      <c r="AB10" s="57">
        <v>265.2</v>
      </c>
      <c r="AC10" s="57">
        <v>278</v>
      </c>
      <c r="AD10" s="57">
        <v>287.89999999999998</v>
      </c>
      <c r="AE10" s="57">
        <v>289.8</v>
      </c>
      <c r="AF10" s="57">
        <v>311.8</v>
      </c>
      <c r="AG10" s="57">
        <v>301.5</v>
      </c>
      <c r="AH10" s="57">
        <v>345.6</v>
      </c>
      <c r="AI10" s="57">
        <v>307.7</v>
      </c>
      <c r="AJ10" s="57">
        <v>303</v>
      </c>
      <c r="AK10" s="57">
        <v>285.39999999999998</v>
      </c>
      <c r="AL10" s="57">
        <f t="shared" ref="AL10:AP10" si="14">+AK10</f>
        <v>285.39999999999998</v>
      </c>
      <c r="AM10" s="57">
        <f t="shared" si="14"/>
        <v>285.39999999999998</v>
      </c>
      <c r="AN10" s="57">
        <f t="shared" si="14"/>
        <v>285.39999999999998</v>
      </c>
      <c r="AO10" s="57">
        <f t="shared" si="14"/>
        <v>285.39999999999998</v>
      </c>
      <c r="AP10" s="57">
        <f t="shared" si="14"/>
        <v>285.39999999999998</v>
      </c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>
        <v>297.7</v>
      </c>
      <c r="BL10" s="57">
        <v>322.60000000000002</v>
      </c>
      <c r="BM10" s="57">
        <v>321.8</v>
      </c>
      <c r="BN10" s="57">
        <v>348</v>
      </c>
      <c r="BO10" s="93">
        <v>315.7</v>
      </c>
      <c r="BP10" s="93">
        <v>313.60000000000002</v>
      </c>
      <c r="BQ10" s="93">
        <v>305.89999999999998</v>
      </c>
      <c r="BR10" s="93">
        <v>324.39999999999998</v>
      </c>
      <c r="BS10" s="57">
        <f>219+102.7</f>
        <v>321.7</v>
      </c>
      <c r="BT10" s="57">
        <v>315.3</v>
      </c>
      <c r="BU10" s="57">
        <v>286.7</v>
      </c>
      <c r="BV10" s="57">
        <v>298.8</v>
      </c>
      <c r="BW10" s="57">
        <f>190.4+82.8</f>
        <v>273.2</v>
      </c>
      <c r="BX10" s="57">
        <f t="shared" ref="BX10:CD10" si="15">+BT10*0.9</f>
        <v>283.77000000000004</v>
      </c>
      <c r="BY10" s="57">
        <f t="shared" si="15"/>
        <v>258.02999999999997</v>
      </c>
      <c r="BZ10" s="57">
        <f t="shared" si="15"/>
        <v>268.92</v>
      </c>
      <c r="CA10" s="57">
        <f t="shared" si="15"/>
        <v>245.88</v>
      </c>
      <c r="CB10" s="57">
        <f t="shared" si="15"/>
        <v>255.39300000000003</v>
      </c>
      <c r="CC10" s="57">
        <f t="shared" si="15"/>
        <v>232.22699999999998</v>
      </c>
      <c r="CD10" s="57">
        <f t="shared" si="15"/>
        <v>242.02800000000002</v>
      </c>
      <c r="CE10" s="57"/>
      <c r="CF10" s="57"/>
      <c r="CG10" s="55"/>
      <c r="CH10" s="57"/>
      <c r="CI10" s="57">
        <v>1004</v>
      </c>
      <c r="CJ10" s="57">
        <v>1060</v>
      </c>
      <c r="CK10" s="57">
        <v>997</v>
      </c>
      <c r="CL10" s="57">
        <v>1005</v>
      </c>
      <c r="CM10" s="57">
        <v>905</v>
      </c>
      <c r="CN10" s="57">
        <f t="shared" si="4"/>
        <v>985.30000000000007</v>
      </c>
      <c r="CO10" s="57">
        <f t="shared" si="5"/>
        <v>1063.0999999999999</v>
      </c>
      <c r="CP10" s="57">
        <f t="shared" si="6"/>
        <v>1022.0999999999999</v>
      </c>
      <c r="CQ10" s="57">
        <f t="shared" si="7"/>
        <v>1088.9000000000001</v>
      </c>
      <c r="CR10" s="57">
        <f t="shared" si="8"/>
        <v>1248.7</v>
      </c>
      <c r="CS10" s="57">
        <f>SUM(AI10:AL10)</f>
        <v>1181.5</v>
      </c>
      <c r="CT10" s="57">
        <f>CS10*0.99</f>
        <v>1169.6849999999999</v>
      </c>
      <c r="CU10" s="57">
        <f t="shared" ref="CU10:DB10" si="16">CT10*0.99</f>
        <v>1157.9881499999999</v>
      </c>
      <c r="CV10" s="57">
        <f t="shared" si="16"/>
        <v>1146.4082684999998</v>
      </c>
      <c r="CW10" s="57">
        <f t="shared" si="16"/>
        <v>1134.9441858149999</v>
      </c>
      <c r="CX10" s="57">
        <f t="shared" si="16"/>
        <v>1123.5947439568499</v>
      </c>
      <c r="CY10" s="57">
        <f t="shared" si="16"/>
        <v>1112.3587965172815</v>
      </c>
      <c r="CZ10" s="57">
        <f t="shared" si="16"/>
        <v>1101.2352085521086</v>
      </c>
      <c r="DA10" s="57">
        <f t="shared" si="16"/>
        <v>1090.2228564665875</v>
      </c>
      <c r="DB10" s="57">
        <f t="shared" si="16"/>
        <v>1079.3206279019216</v>
      </c>
    </row>
    <row r="11" spans="1:115">
      <c r="B11" s="59" t="s">
        <v>379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>
        <v>82.1</v>
      </c>
      <c r="BL11" s="58">
        <v>102.4</v>
      </c>
      <c r="BM11" s="58">
        <v>114.6</v>
      </c>
      <c r="BN11" s="58">
        <v>127.8</v>
      </c>
      <c r="BO11" s="92">
        <v>139.69999999999999</v>
      </c>
      <c r="BP11" s="92">
        <v>145</v>
      </c>
      <c r="BQ11" s="92">
        <v>162</v>
      </c>
      <c r="BR11" s="92">
        <v>192.2</v>
      </c>
      <c r="BS11" s="58">
        <v>193.8</v>
      </c>
      <c r="BT11" s="58">
        <v>208.4</v>
      </c>
      <c r="BU11" s="58">
        <v>406.9</v>
      </c>
      <c r="BV11" s="58">
        <v>306</v>
      </c>
      <c r="BW11" s="58">
        <v>255.6</v>
      </c>
      <c r="BX11" s="58">
        <f>+BT11*1.2</f>
        <v>250.07999999999998</v>
      </c>
      <c r="BY11" s="58">
        <f>+BU11*0.8</f>
        <v>325.52</v>
      </c>
      <c r="BZ11" s="58">
        <f>+BV11*1</f>
        <v>306</v>
      </c>
      <c r="CA11" s="58">
        <f>+BW11*1.1</f>
        <v>281.16000000000003</v>
      </c>
      <c r="CB11" s="58">
        <f>+BX11*1.1</f>
        <v>275.08800000000002</v>
      </c>
      <c r="CC11" s="58">
        <f>+BY11*1.05</f>
        <v>341.79599999999999</v>
      </c>
      <c r="CD11" s="58">
        <f>+BZ11*1.1</f>
        <v>336.6</v>
      </c>
      <c r="CE11" s="58"/>
      <c r="CF11" s="58"/>
      <c r="CG11" s="55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</row>
    <row r="12" spans="1:115">
      <c r="B12" s="59" t="s">
        <v>376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>
        <v>198.3</v>
      </c>
      <c r="BL12" s="57">
        <v>241.8</v>
      </c>
      <c r="BM12" s="57">
        <v>240</v>
      </c>
      <c r="BN12" s="57">
        <v>245.1</v>
      </c>
      <c r="BO12" s="93">
        <v>239</v>
      </c>
      <c r="BP12" s="93">
        <v>256.7</v>
      </c>
      <c r="BQ12" s="93">
        <v>252.7</v>
      </c>
      <c r="BR12" s="93">
        <v>284.2</v>
      </c>
      <c r="BS12" s="57">
        <v>240.5</v>
      </c>
      <c r="BT12" s="57">
        <v>268.7</v>
      </c>
      <c r="BU12" s="57">
        <v>253.4</v>
      </c>
      <c r="BV12" s="57">
        <v>270.39999999999998</v>
      </c>
      <c r="BW12" s="57">
        <v>230.3</v>
      </c>
      <c r="BX12" s="57">
        <f>+BS12*0.95</f>
        <v>228.47499999999999</v>
      </c>
      <c r="BY12" s="57">
        <f t="shared" ref="BY12:CD12" si="17">+BT12*0.95</f>
        <v>255.26499999999999</v>
      </c>
      <c r="BZ12" s="57">
        <f t="shared" si="17"/>
        <v>240.73</v>
      </c>
      <c r="CA12" s="57">
        <f t="shared" si="17"/>
        <v>256.87999999999994</v>
      </c>
      <c r="CB12" s="57">
        <f t="shared" si="17"/>
        <v>218.785</v>
      </c>
      <c r="CC12" s="57">
        <f t="shared" si="17"/>
        <v>217.05124999999998</v>
      </c>
      <c r="CD12" s="57">
        <f t="shared" si="17"/>
        <v>242.50174999999999</v>
      </c>
      <c r="CE12" s="57"/>
      <c r="CF12" s="57"/>
      <c r="CG12" s="55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60"/>
      <c r="CZ12" s="61"/>
    </row>
    <row r="13" spans="1:115">
      <c r="B13" s="52" t="s">
        <v>18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>
        <v>268</v>
      </c>
      <c r="O13" s="57">
        <v>193.1</v>
      </c>
      <c r="P13" s="57">
        <v>293.10000000000002</v>
      </c>
      <c r="Q13" s="57">
        <v>311</v>
      </c>
      <c r="R13" s="57">
        <v>346.2</v>
      </c>
      <c r="S13" s="57">
        <v>336.9</v>
      </c>
      <c r="T13" s="57">
        <v>362.2</v>
      </c>
      <c r="U13" s="57">
        <v>376.6</v>
      </c>
      <c r="V13" s="57">
        <v>368.8</v>
      </c>
      <c r="W13" s="57">
        <v>358.8</v>
      </c>
      <c r="X13" s="57">
        <v>363.6</v>
      </c>
      <c r="Y13" s="57">
        <v>397.2</v>
      </c>
      <c r="Z13" s="57">
        <v>439.5</v>
      </c>
      <c r="AA13" s="57">
        <v>408.3</v>
      </c>
      <c r="AB13" s="57">
        <v>418.7</v>
      </c>
      <c r="AC13" s="57">
        <v>406.5</v>
      </c>
      <c r="AD13" s="57">
        <v>465.9</v>
      </c>
      <c r="AE13" s="57">
        <v>434.4</v>
      </c>
      <c r="AF13" s="57">
        <v>477.2</v>
      </c>
      <c r="AG13" s="57">
        <v>469.8</v>
      </c>
      <c r="AH13" s="57">
        <v>494.2</v>
      </c>
      <c r="AI13" s="57">
        <v>461.8</v>
      </c>
      <c r="AJ13" s="57">
        <v>469.5</v>
      </c>
      <c r="AK13" s="57">
        <v>482.1</v>
      </c>
      <c r="AL13" s="57">
        <f>+AK13</f>
        <v>482.1</v>
      </c>
      <c r="AM13" s="57">
        <f t="shared" ref="AM13:AP13" si="18">+AL13</f>
        <v>482.1</v>
      </c>
      <c r="AN13" s="57">
        <f t="shared" si="18"/>
        <v>482.1</v>
      </c>
      <c r="AO13" s="57">
        <f t="shared" si="18"/>
        <v>482.1</v>
      </c>
      <c r="AP13" s="57">
        <f t="shared" si="18"/>
        <v>482.1</v>
      </c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>
        <v>0</v>
      </c>
      <c r="BL13" s="57">
        <v>0</v>
      </c>
      <c r="BM13" s="57">
        <v>0</v>
      </c>
      <c r="BN13" s="57">
        <v>0</v>
      </c>
      <c r="BO13" s="57">
        <v>193</v>
      </c>
      <c r="BP13" s="94">
        <v>130.69999999999999</v>
      </c>
      <c r="BQ13" s="95">
        <v>162.5</v>
      </c>
      <c r="BR13" s="57">
        <v>0</v>
      </c>
      <c r="BS13" s="57">
        <v>126.8</v>
      </c>
      <c r="BT13" s="57">
        <v>281</v>
      </c>
      <c r="BU13" s="57">
        <v>130.9</v>
      </c>
      <c r="BV13" s="57">
        <f>718.4-BU13-BT13-BS13</f>
        <v>179.7</v>
      </c>
      <c r="BW13" s="57">
        <v>217.7</v>
      </c>
      <c r="BX13" s="57"/>
      <c r="BY13" s="57"/>
      <c r="BZ13" s="57"/>
      <c r="CA13" s="57"/>
      <c r="CB13" s="57"/>
      <c r="CC13" s="57"/>
      <c r="CD13" s="57"/>
      <c r="CE13" s="57"/>
      <c r="CF13" s="57"/>
      <c r="CG13" s="55"/>
      <c r="CH13" s="57"/>
      <c r="CI13" s="57"/>
      <c r="CJ13" s="57">
        <v>74</v>
      </c>
      <c r="CK13" s="57">
        <v>130</v>
      </c>
      <c r="CL13" s="57">
        <v>170</v>
      </c>
      <c r="CM13" s="57">
        <v>212</v>
      </c>
      <c r="CN13" s="57">
        <f>SUM(O13:R13)</f>
        <v>1143.4000000000001</v>
      </c>
      <c r="CO13" s="57">
        <f>SUM(S13:V13)</f>
        <v>1444.4999999999998</v>
      </c>
      <c r="CP13" s="57">
        <f>SUM(W13:Z13)</f>
        <v>1559.1000000000001</v>
      </c>
      <c r="CQ13" s="57">
        <f>SUM(AA13:AD13)</f>
        <v>1699.4</v>
      </c>
      <c r="CR13" s="57">
        <f>SUM(AE13:AH13)</f>
        <v>1875.6</v>
      </c>
      <c r="CS13" s="57">
        <f>SUM(AI13:AL13)</f>
        <v>1895.5</v>
      </c>
      <c r="CT13" s="57">
        <f>CS13*1.1</f>
        <v>2085.0500000000002</v>
      </c>
      <c r="CU13" s="57">
        <f>CT13*1.1</f>
        <v>2293.5550000000003</v>
      </c>
      <c r="CV13" s="57">
        <f>CU13*1.1</f>
        <v>2522.9105000000004</v>
      </c>
      <c r="CW13" s="57">
        <f>CV13*0.5</f>
        <v>1261.4552500000002</v>
      </c>
      <c r="CX13" s="57">
        <f>CW13*0.5</f>
        <v>630.7276250000001</v>
      </c>
      <c r="CY13" s="57">
        <f t="shared" ref="CY13" si="19">CX13*0.5</f>
        <v>315.36381250000005</v>
      </c>
      <c r="CZ13" s="57">
        <v>0</v>
      </c>
      <c r="DA13" s="57">
        <v>0</v>
      </c>
      <c r="DB13" s="57">
        <v>0</v>
      </c>
    </row>
    <row r="14" spans="1:115">
      <c r="B14" s="59" t="s">
        <v>372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>
        <v>251.4</v>
      </c>
      <c r="BL14" s="57">
        <v>290.7</v>
      </c>
      <c r="BM14" s="57">
        <v>263.2</v>
      </c>
      <c r="BN14" s="57">
        <v>307.2</v>
      </c>
      <c r="BO14" s="93">
        <v>303.7</v>
      </c>
      <c r="BP14" s="93">
        <v>290.39999999999998</v>
      </c>
      <c r="BQ14" s="93">
        <v>248.2</v>
      </c>
      <c r="BR14" s="93">
        <v>282.10000000000002</v>
      </c>
      <c r="BS14" s="57">
        <v>246.6</v>
      </c>
      <c r="BT14" s="57">
        <v>210.7</v>
      </c>
      <c r="BU14" s="57">
        <v>192.8</v>
      </c>
      <c r="BV14" s="57">
        <v>242.4</v>
      </c>
      <c r="BW14" s="57">
        <v>191.5</v>
      </c>
      <c r="BX14" s="57"/>
      <c r="BY14" s="57"/>
      <c r="BZ14" s="57"/>
      <c r="CA14" s="57"/>
      <c r="CB14" s="57"/>
      <c r="CC14" s="57"/>
      <c r="CD14" s="57"/>
      <c r="CE14" s="57"/>
      <c r="CF14" s="57"/>
      <c r="CG14" s="55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</row>
    <row r="15" spans="1:115">
      <c r="B15" s="59" t="s">
        <v>381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>
        <v>14.2</v>
      </c>
      <c r="BL15" s="58">
        <v>34.299999999999997</v>
      </c>
      <c r="BM15" s="58">
        <v>47.7</v>
      </c>
      <c r="BN15" s="58">
        <v>66.3</v>
      </c>
      <c r="BO15" s="92">
        <v>74</v>
      </c>
      <c r="BP15" s="92">
        <v>87.4</v>
      </c>
      <c r="BQ15" s="92">
        <v>91.5</v>
      </c>
      <c r="BR15" s="92">
        <v>109.9</v>
      </c>
      <c r="BS15" s="58">
        <v>119.5</v>
      </c>
      <c r="BT15" s="58">
        <v>156.30000000000001</v>
      </c>
      <c r="BU15" s="58">
        <v>140</v>
      </c>
      <c r="BV15" s="58">
        <v>161.5</v>
      </c>
      <c r="BW15" s="58">
        <v>149.30000000000001</v>
      </c>
      <c r="BX15" s="58"/>
      <c r="BY15" s="58"/>
      <c r="BZ15" s="58"/>
      <c r="CA15" s="58"/>
      <c r="CB15" s="58"/>
      <c r="CC15" s="58"/>
      <c r="CD15" s="58"/>
      <c r="CE15" s="58"/>
      <c r="CF15" s="58"/>
      <c r="CG15" s="55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</row>
    <row r="16" spans="1:115">
      <c r="B16" s="59" t="s">
        <v>373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>
        <v>156.80000000000001</v>
      </c>
      <c r="BP16" s="94">
        <v>128.1</v>
      </c>
      <c r="BQ16" s="94">
        <v>154.6</v>
      </c>
      <c r="BR16" s="57"/>
      <c r="BS16" s="57">
        <v>161.4</v>
      </c>
      <c r="BT16" s="57">
        <v>149.80000000000001</v>
      </c>
      <c r="BU16" s="57">
        <v>177.4</v>
      </c>
      <c r="BV16" s="57">
        <f>173.6+111.2-BU16-BT16-BS16+82.1+290.4</f>
        <v>168.69999999999996</v>
      </c>
      <c r="BW16" s="57">
        <v>144.6</v>
      </c>
      <c r="BX16" s="57"/>
      <c r="BY16" s="57"/>
      <c r="BZ16" s="57"/>
      <c r="CA16" s="57"/>
      <c r="CB16" s="57"/>
      <c r="CC16" s="57"/>
      <c r="CD16" s="57"/>
      <c r="CE16" s="57"/>
      <c r="CF16" s="57"/>
      <c r="CG16" s="55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</row>
    <row r="17" spans="2:106">
      <c r="B17" s="59" t="s">
        <v>259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>
        <v>99.7</v>
      </c>
      <c r="Y17" s="57">
        <v>101.9</v>
      </c>
      <c r="Z17" s="57">
        <v>95</v>
      </c>
      <c r="AA17" s="57">
        <v>92.4</v>
      </c>
      <c r="AB17" s="57">
        <v>103.8</v>
      </c>
      <c r="AC17" s="57">
        <v>95.4</v>
      </c>
      <c r="AD17" s="57">
        <v>94.5</v>
      </c>
      <c r="AE17" s="57">
        <v>104</v>
      </c>
      <c r="AF17" s="57">
        <v>100.1</v>
      </c>
      <c r="AG17" s="57">
        <v>97.2</v>
      </c>
      <c r="AH17" s="57">
        <v>107.9</v>
      </c>
      <c r="AI17" s="57">
        <v>113.3</v>
      </c>
      <c r="AJ17" s="57">
        <v>110</v>
      </c>
      <c r="AK17" s="57">
        <v>86.6</v>
      </c>
      <c r="AL17" s="58">
        <f t="shared" ref="AL17:AP17" si="20">+AK17</f>
        <v>86.6</v>
      </c>
      <c r="AM17" s="58">
        <f t="shared" si="20"/>
        <v>86.6</v>
      </c>
      <c r="AN17" s="58">
        <f t="shared" si="20"/>
        <v>86.6</v>
      </c>
      <c r="AO17" s="58">
        <f t="shared" si="20"/>
        <v>86.6</v>
      </c>
      <c r="AP17" s="58">
        <f t="shared" si="20"/>
        <v>86.6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>
        <v>130.80000000000001</v>
      </c>
      <c r="BP17" s="95">
        <v>129.5</v>
      </c>
      <c r="BQ17" s="95">
        <v>136.4</v>
      </c>
      <c r="BR17" s="58"/>
      <c r="BS17" s="58">
        <v>122.4</v>
      </c>
      <c r="BT17" s="58">
        <v>147</v>
      </c>
      <c r="BU17" s="58">
        <v>134.30000000000001</v>
      </c>
      <c r="BV17" s="58">
        <f>548.3-BU17-BT17-BS17</f>
        <v>144.59999999999994</v>
      </c>
      <c r="BW17" s="58">
        <v>122.7</v>
      </c>
      <c r="BX17" s="58"/>
      <c r="BY17" s="58"/>
      <c r="BZ17" s="58"/>
      <c r="CA17" s="58"/>
      <c r="CB17" s="58"/>
      <c r="CC17" s="58"/>
      <c r="CD17" s="58"/>
      <c r="CE17" s="58"/>
      <c r="CF17" s="58"/>
      <c r="CG17" s="55"/>
      <c r="CH17" s="57"/>
      <c r="CI17" s="57"/>
      <c r="CJ17" s="57"/>
      <c r="CK17" s="57"/>
      <c r="CL17" s="57"/>
      <c r="CM17" s="57"/>
      <c r="CN17" s="57"/>
      <c r="CO17" s="57"/>
      <c r="CP17" s="57">
        <f>SUM(W17:Z17)</f>
        <v>296.60000000000002</v>
      </c>
      <c r="CQ17" s="57">
        <f>SUM(AA17:AD17)</f>
        <v>386.1</v>
      </c>
      <c r="CR17" s="57">
        <f>SUM(AE17:AH17)</f>
        <v>409.20000000000005</v>
      </c>
      <c r="CS17" s="57">
        <f>SUM(AI17:AL17)</f>
        <v>396.5</v>
      </c>
      <c r="CT17" s="57">
        <f t="shared" ref="CT17:CX17" si="21">+CS17</f>
        <v>396.5</v>
      </c>
      <c r="CU17" s="57">
        <f t="shared" si="21"/>
        <v>396.5</v>
      </c>
      <c r="CV17" s="57">
        <f t="shared" si="21"/>
        <v>396.5</v>
      </c>
      <c r="CW17" s="57">
        <f t="shared" si="21"/>
        <v>396.5</v>
      </c>
      <c r="CX17" s="57">
        <f t="shared" si="21"/>
        <v>396.5</v>
      </c>
      <c r="CY17" s="57">
        <f t="shared" ref="CY17" si="22">+CX17</f>
        <v>396.5</v>
      </c>
      <c r="CZ17" s="57">
        <f t="shared" ref="CZ17" si="23">+CY17</f>
        <v>396.5</v>
      </c>
      <c r="DA17" s="57">
        <f t="shared" ref="DA17" si="24">+CZ17</f>
        <v>396.5</v>
      </c>
      <c r="DB17" s="57">
        <f t="shared" ref="DB17" si="25">+DA17</f>
        <v>396.5</v>
      </c>
    </row>
    <row r="18" spans="2:106">
      <c r="B18" s="52" t="s">
        <v>77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>
        <v>26.2</v>
      </c>
      <c r="BP18" s="94">
        <v>70.599999999999994</v>
      </c>
      <c r="BQ18" s="94">
        <v>47.5</v>
      </c>
      <c r="BR18" s="57"/>
      <c r="BS18" s="57">
        <f>71.6-BS26</f>
        <v>54.8</v>
      </c>
      <c r="BT18" s="57">
        <v>81.400000000000006</v>
      </c>
      <c r="BU18" s="57">
        <v>100.3</v>
      </c>
      <c r="BV18" s="57">
        <f>120.1+210.7-BU18-BT18-BS18-BV26</f>
        <v>55.699999999999939</v>
      </c>
      <c r="BW18" s="57">
        <f>101.2-BW26</f>
        <v>59.400000000000006</v>
      </c>
      <c r="BX18" s="57"/>
      <c r="BY18" s="57"/>
      <c r="BZ18" s="57"/>
      <c r="CA18" s="57"/>
      <c r="CB18" s="57"/>
      <c r="CC18" s="57"/>
      <c r="CD18" s="57"/>
      <c r="CE18" s="57"/>
      <c r="CF18" s="57"/>
      <c r="CG18" s="55"/>
      <c r="CH18" s="57"/>
      <c r="CI18" s="57">
        <v>19</v>
      </c>
      <c r="CJ18" s="57">
        <v>19</v>
      </c>
      <c r="CK18" s="57">
        <v>9</v>
      </c>
      <c r="CL18" s="57">
        <v>3</v>
      </c>
      <c r="CM18" s="57"/>
      <c r="CN18" s="57"/>
      <c r="CO18" s="57"/>
      <c r="CP18" s="57"/>
      <c r="CQ18" s="57"/>
      <c r="CR18" s="57"/>
      <c r="CY18" s="53"/>
      <c r="CZ18" s="53"/>
      <c r="DA18" s="53"/>
      <c r="DB18" s="53"/>
    </row>
    <row r="19" spans="2:106">
      <c r="B19" s="52" t="s">
        <v>16</v>
      </c>
      <c r="C19" s="57"/>
      <c r="D19" s="57">
        <v>65.3</v>
      </c>
      <c r="E19" s="57"/>
      <c r="F19" s="57">
        <v>74.3</v>
      </c>
      <c r="G19" s="57">
        <v>67</v>
      </c>
      <c r="H19" s="57">
        <v>101.9</v>
      </c>
      <c r="I19" s="57">
        <v>102.6</v>
      </c>
      <c r="J19" s="57">
        <v>118</v>
      </c>
      <c r="K19" s="57">
        <v>127</v>
      </c>
      <c r="L19" s="57">
        <v>146</v>
      </c>
      <c r="M19" s="57">
        <v>149</v>
      </c>
      <c r="N19" s="57">
        <v>172.1</v>
      </c>
      <c r="O19" s="57">
        <v>153.4</v>
      </c>
      <c r="P19" s="57">
        <v>177.2</v>
      </c>
      <c r="Q19" s="57">
        <v>180.5</v>
      </c>
      <c r="R19" s="57">
        <v>198.2</v>
      </c>
      <c r="S19" s="57">
        <v>185</v>
      </c>
      <c r="T19" s="57">
        <v>206.6</v>
      </c>
      <c r="U19" s="57">
        <v>192.7</v>
      </c>
      <c r="V19" s="57">
        <v>194.5</v>
      </c>
      <c r="W19" s="57">
        <v>187.5</v>
      </c>
      <c r="X19" s="57">
        <v>203.3</v>
      </c>
      <c r="Y19" s="57">
        <v>213.1</v>
      </c>
      <c r="Z19" s="57">
        <v>212.8</v>
      </c>
      <c r="AA19" s="57">
        <v>194.5</v>
      </c>
      <c r="AB19" s="57">
        <v>209.6</v>
      </c>
      <c r="AC19" s="57">
        <v>199.7</v>
      </c>
      <c r="AD19" s="57">
        <v>226.3</v>
      </c>
      <c r="AE19" s="57">
        <v>216.1</v>
      </c>
      <c r="AF19" s="57">
        <v>231</v>
      </c>
      <c r="AG19" s="57">
        <v>240.3</v>
      </c>
      <c r="AH19" s="57">
        <v>262.5</v>
      </c>
      <c r="AI19" s="57">
        <v>271.3</v>
      </c>
      <c r="AJ19" s="57">
        <v>276.39999999999998</v>
      </c>
      <c r="AK19" s="57">
        <v>288.7</v>
      </c>
      <c r="AL19" s="57">
        <f>+AK19+5</f>
        <v>293.7</v>
      </c>
      <c r="AM19" s="57">
        <f t="shared" ref="AM19:AP19" si="26">+AL19+5</f>
        <v>298.7</v>
      </c>
      <c r="AN19" s="57">
        <f t="shared" si="26"/>
        <v>303.7</v>
      </c>
      <c r="AO19" s="57">
        <f t="shared" si="26"/>
        <v>308.7</v>
      </c>
      <c r="AP19" s="57">
        <f t="shared" si="26"/>
        <v>313.7</v>
      </c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>
        <v>312.89999999999998</v>
      </c>
      <c r="BL19" s="57">
        <v>360.8</v>
      </c>
      <c r="BM19" s="57">
        <v>370.7</v>
      </c>
      <c r="BN19" s="57">
        <v>360.2</v>
      </c>
      <c r="BO19" s="93">
        <v>272.39999999999998</v>
      </c>
      <c r="BP19" s="93">
        <v>252.7</v>
      </c>
      <c r="BQ19" s="93">
        <v>266.89999999999998</v>
      </c>
      <c r="BR19" s="93">
        <v>254.4</v>
      </c>
      <c r="BS19" s="57">
        <v>198.5</v>
      </c>
      <c r="BT19" s="57">
        <v>218.4</v>
      </c>
      <c r="BU19" s="57">
        <v>200.9</v>
      </c>
      <c r="BV19" s="57">
        <v>184</v>
      </c>
      <c r="BW19" s="57">
        <v>137.4</v>
      </c>
      <c r="BX19" s="57"/>
      <c r="BY19" s="57"/>
      <c r="BZ19" s="57"/>
      <c r="CA19" s="57"/>
      <c r="CB19" s="57"/>
      <c r="CC19" s="57"/>
      <c r="CD19" s="57"/>
      <c r="CE19" s="57"/>
      <c r="CF19" s="57"/>
      <c r="CG19" s="55"/>
      <c r="CH19" s="57"/>
      <c r="CI19" s="57">
        <v>6</v>
      </c>
      <c r="CJ19" s="57">
        <v>65</v>
      </c>
      <c r="CK19" s="57">
        <v>237</v>
      </c>
      <c r="CL19" s="57">
        <v>389</v>
      </c>
      <c r="CM19" s="57">
        <v>581</v>
      </c>
      <c r="CN19" s="57">
        <f>CM19*1.05</f>
        <v>610.05000000000007</v>
      </c>
      <c r="CO19" s="57">
        <f>SUM(S19:V19)</f>
        <v>778.8</v>
      </c>
      <c r="CP19" s="57">
        <f>SUM(W19:Z19)</f>
        <v>816.7</v>
      </c>
      <c r="CQ19" s="57">
        <f>SUM(AA19:AD19)</f>
        <v>830.09999999999991</v>
      </c>
      <c r="CR19" s="57">
        <f>SUM(AE19:AH19)</f>
        <v>949.90000000000009</v>
      </c>
      <c r="CS19" s="57">
        <f>SUM(AI19:AL19)</f>
        <v>1130.1000000000001</v>
      </c>
      <c r="CT19" s="57">
        <f t="shared" ref="CT19:CW19" si="27">CS19*1.05</f>
        <v>1186.6050000000002</v>
      </c>
      <c r="CU19" s="57">
        <f t="shared" si="27"/>
        <v>1245.9352500000002</v>
      </c>
      <c r="CV19" s="57">
        <f t="shared" si="27"/>
        <v>1308.2320125000003</v>
      </c>
      <c r="CW19" s="57">
        <f t="shared" si="27"/>
        <v>1373.6436131250005</v>
      </c>
      <c r="CX19" s="57"/>
      <c r="CY19" s="60"/>
      <c r="CZ19" s="60"/>
    </row>
    <row r="20" spans="2:106">
      <c r="B20" s="52" t="s">
        <v>78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>
        <f>4459.9-SUM(N21:N52)</f>
        <v>1686.4532721010323</v>
      </c>
      <c r="O20" s="57">
        <v>406</v>
      </c>
      <c r="P20" s="57"/>
      <c r="Q20" s="57">
        <f>4587-(SUM(Q21:Q52))</f>
        <v>1697.9</v>
      </c>
      <c r="R20" s="57">
        <f>5189.6-(SUM(R21:R52))</f>
        <v>1904.6000000000004</v>
      </c>
      <c r="S20" s="57">
        <f>4807.6-(SUM(S21:S52))</f>
        <v>2080.2000000000007</v>
      </c>
      <c r="T20" s="57">
        <f>5150.4-(SUM(T21:T52))</f>
        <v>2045.5</v>
      </c>
      <c r="U20" s="57">
        <f>5209.5-(SUM(U21:U52))</f>
        <v>2061.9000000000005</v>
      </c>
      <c r="AD20" s="57">
        <v>432</v>
      </c>
      <c r="AF20" s="57">
        <v>422</v>
      </c>
      <c r="AG20" s="57">
        <v>410</v>
      </c>
      <c r="AH20" s="57">
        <v>407</v>
      </c>
      <c r="AI20" s="57">
        <v>552</v>
      </c>
      <c r="AJ20" s="57">
        <v>524</v>
      </c>
      <c r="AK20" s="57">
        <f>5443.3-4955</f>
        <v>488.30000000000018</v>
      </c>
      <c r="AL20" s="57">
        <f>+AH20</f>
        <v>407</v>
      </c>
      <c r="AM20" s="57">
        <f t="shared" ref="AM20:AP20" si="28">+AI20</f>
        <v>552</v>
      </c>
      <c r="AN20" s="57">
        <f t="shared" si="28"/>
        <v>524</v>
      </c>
      <c r="AO20" s="57">
        <f t="shared" si="28"/>
        <v>488.30000000000018</v>
      </c>
      <c r="AP20" s="57">
        <f t="shared" si="28"/>
        <v>407</v>
      </c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>
        <v>1966</v>
      </c>
      <c r="BL20" s="57">
        <v>2269</v>
      </c>
      <c r="BM20" s="57">
        <v>2171</v>
      </c>
      <c r="BN20" s="57">
        <v>2461</v>
      </c>
      <c r="BO20" s="57">
        <f>2303-BO23</f>
        <v>2092.6</v>
      </c>
      <c r="BP20" s="57">
        <f>2123-BP27</f>
        <v>2109.4</v>
      </c>
      <c r="BQ20" s="57">
        <f>977-BQ27</f>
        <v>956.1</v>
      </c>
      <c r="BR20" s="57">
        <v>1055</v>
      </c>
      <c r="BS20" s="57">
        <v>107.5</v>
      </c>
      <c r="BT20" s="57">
        <v>39</v>
      </c>
      <c r="BU20" s="57">
        <v>54.8</v>
      </c>
      <c r="BV20" s="57">
        <v>92</v>
      </c>
      <c r="BW20" s="57">
        <v>98.1</v>
      </c>
      <c r="BX20" s="57"/>
      <c r="BY20" s="57"/>
      <c r="BZ20" s="57"/>
      <c r="CA20" s="57"/>
      <c r="CB20" s="57"/>
      <c r="CC20" s="57"/>
      <c r="CD20" s="57"/>
      <c r="CE20" s="57"/>
      <c r="CF20" s="57"/>
      <c r="CG20" s="55"/>
      <c r="CH20" s="57"/>
      <c r="CI20" s="58">
        <f>176+152</f>
        <v>328</v>
      </c>
      <c r="CJ20" s="57">
        <f>165+100</f>
        <v>265</v>
      </c>
      <c r="CK20" s="57">
        <f>83+70+4+154</f>
        <v>311</v>
      </c>
      <c r="CL20" s="57">
        <f>41+54+18+117</f>
        <v>230</v>
      </c>
      <c r="CM20" s="57">
        <f>56+54+25+91</f>
        <v>226</v>
      </c>
      <c r="CN20" s="57">
        <f>50+54+50+87</f>
        <v>241</v>
      </c>
      <c r="CO20" s="57">
        <v>54</v>
      </c>
      <c r="CP20" s="57">
        <v>54</v>
      </c>
      <c r="CQ20" s="57">
        <f>SUM(AA20:AD20)</f>
        <v>432</v>
      </c>
      <c r="CR20" s="57">
        <f>SUM(AE20:AH20)</f>
        <v>1239</v>
      </c>
      <c r="CS20" s="57">
        <f>SUM(AI20:AL20)</f>
        <v>1971.3000000000002</v>
      </c>
      <c r="CT20" s="57">
        <f>+CS20*0.9</f>
        <v>1774.1700000000003</v>
      </c>
      <c r="CU20" s="57">
        <f t="shared" ref="CU20:CX20" si="29">+CT20*0.9</f>
        <v>1596.7530000000004</v>
      </c>
      <c r="CV20" s="57">
        <f t="shared" si="29"/>
        <v>1437.0777000000003</v>
      </c>
      <c r="CW20" s="57">
        <f>+CV20*0.9</f>
        <v>1293.3699300000003</v>
      </c>
      <c r="CX20" s="57">
        <f t="shared" si="29"/>
        <v>1164.0329370000004</v>
      </c>
      <c r="CY20" s="57">
        <f t="shared" ref="CY20" si="30">+CX20*0.9</f>
        <v>1047.6296433000005</v>
      </c>
      <c r="CZ20" s="57">
        <f t="shared" ref="CZ20" si="31">+CY20*0.9</f>
        <v>942.86667897000041</v>
      </c>
      <c r="DA20" s="57">
        <f t="shared" ref="DA20" si="32">+CZ20*0.9</f>
        <v>848.58001107300038</v>
      </c>
      <c r="DB20" s="57">
        <f t="shared" ref="DB20" si="33">+DA20*0.9</f>
        <v>763.72200996570041</v>
      </c>
    </row>
    <row r="21" spans="2:106">
      <c r="B21" s="52" t="s">
        <v>7</v>
      </c>
      <c r="C21" s="57">
        <v>1098.3</v>
      </c>
      <c r="D21" s="57">
        <v>1212.3</v>
      </c>
      <c r="E21" s="57">
        <v>1023.7</v>
      </c>
      <c r="F21" s="57">
        <v>1085.5</v>
      </c>
      <c r="G21" s="57">
        <v>1038.2</v>
      </c>
      <c r="H21" s="57">
        <v>1096.8</v>
      </c>
      <c r="I21" s="57">
        <v>1035.0999999999999</v>
      </c>
      <c r="J21" s="57">
        <v>1032.2</v>
      </c>
      <c r="K21" s="57">
        <v>1007.4</v>
      </c>
      <c r="L21" s="57">
        <v>1115</v>
      </c>
      <c r="M21" s="57">
        <v>1084.7</v>
      </c>
      <c r="N21" s="57">
        <v>1156.5</v>
      </c>
      <c r="O21" s="57">
        <v>1108</v>
      </c>
      <c r="P21" s="57">
        <v>1213</v>
      </c>
      <c r="Q21" s="57">
        <v>1166.0999999999999</v>
      </c>
      <c r="R21" s="57">
        <v>1273.9000000000001</v>
      </c>
      <c r="S21" s="57">
        <v>1120.2</v>
      </c>
      <c r="T21" s="57">
        <v>1239.7</v>
      </c>
      <c r="U21" s="57">
        <v>1189.5</v>
      </c>
      <c r="V21" s="57">
        <v>1146.7</v>
      </c>
      <c r="W21" s="57">
        <v>1123</v>
      </c>
      <c r="X21" s="57">
        <v>1203.2</v>
      </c>
      <c r="Y21" s="57">
        <v>1223</v>
      </c>
      <c r="Z21" s="57">
        <v>1366.5</v>
      </c>
      <c r="AA21" s="57">
        <v>1215</v>
      </c>
      <c r="AB21" s="57">
        <v>1262.9000000000001</v>
      </c>
      <c r="AC21" s="57">
        <v>1212.7</v>
      </c>
      <c r="AD21" s="57">
        <v>1335.8</v>
      </c>
      <c r="AE21" s="57">
        <v>1281.9000000000001</v>
      </c>
      <c r="AF21" s="57">
        <v>1408.3</v>
      </c>
      <c r="AG21" s="57">
        <v>1182.3</v>
      </c>
      <c r="AH21" s="57">
        <v>749.6</v>
      </c>
      <c r="AI21" s="57">
        <v>562.70000000000005</v>
      </c>
      <c r="AJ21" s="57">
        <v>379.5</v>
      </c>
      <c r="AK21" s="57">
        <v>374.5</v>
      </c>
      <c r="AL21" s="57">
        <f>+AK21-5</f>
        <v>369.5</v>
      </c>
      <c r="AM21" s="57">
        <f t="shared" ref="AM21:AP21" si="34">+AL21-5</f>
        <v>364.5</v>
      </c>
      <c r="AN21" s="57">
        <f t="shared" si="34"/>
        <v>359.5</v>
      </c>
      <c r="AO21" s="57">
        <f t="shared" si="34"/>
        <v>354.5</v>
      </c>
      <c r="AP21" s="57">
        <f t="shared" si="34"/>
        <v>349.5</v>
      </c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>
        <v>98.4</v>
      </c>
      <c r="BP21" s="94">
        <v>96.6</v>
      </c>
      <c r="BQ21" s="94">
        <v>112.7</v>
      </c>
      <c r="BR21" s="57"/>
      <c r="BS21" s="57">
        <v>95.8</v>
      </c>
      <c r="BT21" s="57">
        <v>95.4</v>
      </c>
      <c r="BU21" s="57">
        <v>101.7</v>
      </c>
      <c r="BV21" s="57">
        <f>430.3-BU21-BT21-BS21</f>
        <v>137.40000000000003</v>
      </c>
      <c r="BW21" s="57">
        <v>93.1</v>
      </c>
      <c r="BX21" s="57"/>
      <c r="BY21" s="57"/>
      <c r="BZ21" s="57"/>
      <c r="CA21" s="57"/>
      <c r="CB21" s="57"/>
      <c r="CC21" s="57"/>
      <c r="CD21" s="57"/>
      <c r="CE21" s="57"/>
      <c r="CF21" s="57"/>
      <c r="CG21" s="55"/>
      <c r="CH21" s="57"/>
      <c r="CI21" s="57">
        <v>3689</v>
      </c>
      <c r="CJ21" s="57">
        <v>4277</v>
      </c>
      <c r="CK21" s="57">
        <v>4419</v>
      </c>
      <c r="CL21" s="57">
        <v>4200</v>
      </c>
      <c r="CM21" s="57">
        <f>SUM(K21:N21)</f>
        <v>4363.6000000000004</v>
      </c>
      <c r="CN21" s="57">
        <f>SUM(O21:R21)</f>
        <v>4761</v>
      </c>
      <c r="CO21" s="57">
        <f>SUM(S21:V21)</f>
        <v>4696.1000000000004</v>
      </c>
      <c r="CP21" s="57">
        <f>SUM(W21:Z21)</f>
        <v>4915.7</v>
      </c>
      <c r="CQ21" s="57">
        <f>SUM(AA21:AD21)</f>
        <v>5026.4000000000005</v>
      </c>
      <c r="CR21" s="57">
        <f>SUM(AE21:AH21)</f>
        <v>4622.1000000000004</v>
      </c>
      <c r="CS21" s="57">
        <f>SUM(AI21:AL21)</f>
        <v>1686.2</v>
      </c>
      <c r="CT21" s="57">
        <f>CS21*0.4</f>
        <v>674.48</v>
      </c>
      <c r="CU21" s="57">
        <f>CT21*0.6</f>
        <v>404.68799999999999</v>
      </c>
      <c r="CV21" s="57">
        <f>CU21*0.3</f>
        <v>121.40639999999999</v>
      </c>
      <c r="CW21" s="57">
        <f>CV21*0.8</f>
        <v>97.125119999999995</v>
      </c>
      <c r="CX21" s="57">
        <f>CW21*0.8</f>
        <v>77.700096000000002</v>
      </c>
      <c r="CY21" s="57">
        <v>0</v>
      </c>
      <c r="CZ21" s="57">
        <v>0</v>
      </c>
      <c r="DA21" s="57">
        <v>0</v>
      </c>
      <c r="DB21" s="57">
        <v>0</v>
      </c>
    </row>
    <row r="22" spans="2:106">
      <c r="B22" s="59" t="s">
        <v>377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>
        <v>9.9</v>
      </c>
      <c r="BL22" s="58">
        <v>40.1</v>
      </c>
      <c r="BM22" s="58">
        <v>46.6</v>
      </c>
      <c r="BN22" s="58">
        <v>37.4</v>
      </c>
      <c r="BO22" s="92">
        <v>57.4</v>
      </c>
      <c r="BP22" s="92">
        <v>64.099999999999994</v>
      </c>
      <c r="BQ22" s="92">
        <v>84.4</v>
      </c>
      <c r="BR22" s="92">
        <v>102.8</v>
      </c>
      <c r="BS22" s="58">
        <v>109.7</v>
      </c>
      <c r="BT22" s="58">
        <v>105</v>
      </c>
      <c r="BU22" s="58">
        <v>125.6</v>
      </c>
      <c r="BV22" s="58">
        <v>77.8</v>
      </c>
      <c r="BW22" s="58">
        <v>85.5</v>
      </c>
      <c r="BX22" s="58"/>
      <c r="BY22" s="58"/>
      <c r="BZ22" s="58"/>
      <c r="CA22" s="58"/>
      <c r="CB22" s="58"/>
      <c r="CC22" s="58"/>
      <c r="CD22" s="58"/>
      <c r="CE22" s="58"/>
      <c r="CF22" s="58"/>
      <c r="CG22" s="55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</row>
    <row r="23" spans="2:106">
      <c r="B23" s="52" t="s">
        <v>14</v>
      </c>
      <c r="C23" s="57">
        <v>0</v>
      </c>
      <c r="D23" s="57">
        <v>0</v>
      </c>
      <c r="E23" s="57">
        <v>32.5</v>
      </c>
      <c r="F23" s="57">
        <v>61.3</v>
      </c>
      <c r="G23" s="57">
        <v>106.8</v>
      </c>
      <c r="H23" s="57">
        <v>161.4</v>
      </c>
      <c r="I23" s="57">
        <v>182.8</v>
      </c>
      <c r="J23" s="57">
        <v>228.8</v>
      </c>
      <c r="K23" s="57">
        <v>233</v>
      </c>
      <c r="L23" s="57">
        <v>310</v>
      </c>
      <c r="M23" s="57">
        <v>349</v>
      </c>
      <c r="N23" s="57">
        <v>424.1</v>
      </c>
      <c r="O23" s="57">
        <v>441.8</v>
      </c>
      <c r="P23" s="57">
        <v>519.5</v>
      </c>
      <c r="Q23" s="57">
        <v>513.20000000000005</v>
      </c>
      <c r="R23" s="57">
        <v>628.29999999999995</v>
      </c>
      <c r="S23" s="57">
        <v>605.1</v>
      </c>
      <c r="T23" s="57">
        <v>654.4</v>
      </c>
      <c r="U23" s="57">
        <v>716.4</v>
      </c>
      <c r="V23" s="57">
        <v>721.2</v>
      </c>
      <c r="W23" s="57">
        <v>709.3</v>
      </c>
      <c r="X23" s="57">
        <v>744.4</v>
      </c>
      <c r="Y23" s="57">
        <v>790.2</v>
      </c>
      <c r="Z23" s="57">
        <v>830.8</v>
      </c>
      <c r="AA23" s="57">
        <v>803.2</v>
      </c>
      <c r="AB23" s="57">
        <v>867.7</v>
      </c>
      <c r="AC23" s="57">
        <v>825.3</v>
      </c>
      <c r="AD23" s="57">
        <v>984.6</v>
      </c>
      <c r="AE23" s="57">
        <v>908.8</v>
      </c>
      <c r="AF23" s="57">
        <v>1003.4</v>
      </c>
      <c r="AG23" s="57">
        <v>1068.5999999999999</v>
      </c>
      <c r="AH23" s="57">
        <v>1180.7</v>
      </c>
      <c r="AI23" s="57">
        <v>1114.9000000000001</v>
      </c>
      <c r="AJ23" s="57">
        <v>1223.0999999999999</v>
      </c>
      <c r="AK23" s="57">
        <v>1235.8</v>
      </c>
      <c r="AL23" s="57">
        <f>+AK23+5</f>
        <v>1240.8</v>
      </c>
      <c r="AM23" s="57">
        <f t="shared" ref="AM23:AP23" si="35">+AL23+5</f>
        <v>1245.8</v>
      </c>
      <c r="AN23" s="57">
        <f t="shared" si="35"/>
        <v>1250.8</v>
      </c>
      <c r="AO23" s="57">
        <f t="shared" si="35"/>
        <v>1255.8</v>
      </c>
      <c r="AP23" s="57">
        <f t="shared" si="35"/>
        <v>1260.8</v>
      </c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>
        <v>164.1</v>
      </c>
      <c r="BL23" s="57"/>
      <c r="BM23" s="57"/>
      <c r="BN23" s="57"/>
      <c r="BO23" s="57">
        <v>210.4</v>
      </c>
      <c r="BP23" s="94">
        <v>179.9</v>
      </c>
      <c r="BQ23" s="94">
        <v>186.6</v>
      </c>
      <c r="BR23" s="57"/>
      <c r="BS23" s="57">
        <v>176.6</v>
      </c>
      <c r="BT23" s="57">
        <v>175.6</v>
      </c>
      <c r="BU23" s="57">
        <v>132</v>
      </c>
      <c r="BV23" s="57">
        <f>581.5-BU23-BT23-BS23</f>
        <v>97.299999999999983</v>
      </c>
      <c r="BW23" s="57">
        <v>81.099999999999994</v>
      </c>
      <c r="BX23" s="57"/>
      <c r="BY23" s="57"/>
      <c r="BZ23" s="57"/>
      <c r="CA23" s="57"/>
      <c r="CB23" s="57"/>
      <c r="CC23" s="57"/>
      <c r="CD23" s="57"/>
      <c r="CE23" s="57"/>
      <c r="CF23" s="57"/>
      <c r="CG23" s="55"/>
      <c r="CH23" s="57"/>
      <c r="CI23" s="57"/>
      <c r="CJ23" s="57"/>
      <c r="CK23" s="57">
        <v>92</v>
      </c>
      <c r="CL23" s="57">
        <v>680</v>
      </c>
      <c r="CM23" s="57">
        <f>SUM(K23:N23)</f>
        <v>1316.1</v>
      </c>
      <c r="CN23" s="57">
        <f>SUM(O23:R23)</f>
        <v>2102.8000000000002</v>
      </c>
      <c r="CO23" s="57">
        <f>SUM(S23:V23)</f>
        <v>2697.1000000000004</v>
      </c>
      <c r="CP23" s="57">
        <f>SUM(W23:Z23)</f>
        <v>3074.7</v>
      </c>
      <c r="CQ23" s="57">
        <f>SUM(AA23:AD23)</f>
        <v>3480.7999999999997</v>
      </c>
      <c r="CR23" s="57">
        <f>SUM(AE23:AH23)</f>
        <v>4161.5</v>
      </c>
      <c r="CS23" s="57">
        <f>SUM(AI23:AL23)</f>
        <v>4814.6000000000004</v>
      </c>
      <c r="CT23" s="57">
        <f>CS23*1.1</f>
        <v>5296.06</v>
      </c>
      <c r="CU23" s="57">
        <f>CT23*0.4</f>
        <v>2118.4240000000004</v>
      </c>
      <c r="CV23" s="57">
        <f>CU23*0.4</f>
        <v>847.36960000000022</v>
      </c>
      <c r="CW23" s="57">
        <f>CV23*0.4</f>
        <v>338.9478400000001</v>
      </c>
      <c r="CX23" s="57">
        <f>CW23*0.4</f>
        <v>135.57913600000003</v>
      </c>
      <c r="CY23" s="57">
        <v>0</v>
      </c>
      <c r="CZ23" s="57">
        <v>0</v>
      </c>
      <c r="DA23" s="57">
        <v>0</v>
      </c>
      <c r="DB23" s="57">
        <v>0</v>
      </c>
    </row>
    <row r="24" spans="2:106">
      <c r="B24" s="91" t="s">
        <v>506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>
        <v>0</v>
      </c>
      <c r="BP24" s="57">
        <v>0</v>
      </c>
      <c r="BQ24" s="57">
        <v>0</v>
      </c>
      <c r="BR24" s="57"/>
      <c r="BS24" s="57">
        <v>0</v>
      </c>
      <c r="BT24" s="57">
        <v>0</v>
      </c>
      <c r="BU24" s="57">
        <v>0</v>
      </c>
      <c r="BV24" s="57">
        <v>0</v>
      </c>
      <c r="BW24" s="57">
        <v>0</v>
      </c>
      <c r="BX24" s="57"/>
      <c r="BY24" s="57"/>
      <c r="BZ24" s="57"/>
      <c r="CA24" s="57"/>
      <c r="CB24" s="57"/>
      <c r="CC24" s="57"/>
      <c r="CD24" s="57"/>
      <c r="CE24" s="57"/>
      <c r="CF24" s="57"/>
      <c r="CG24" s="55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</row>
    <row r="25" spans="2:106">
      <c r="B25" s="52" t="s">
        <v>62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>
        <v>80.7</v>
      </c>
      <c r="BP25" s="94">
        <v>58.6</v>
      </c>
      <c r="BQ25" s="94">
        <v>79.900000000000006</v>
      </c>
      <c r="BR25" s="57"/>
      <c r="BS25" s="57">
        <v>73.5</v>
      </c>
      <c r="BT25" s="57">
        <v>84.9</v>
      </c>
      <c r="BU25" s="57">
        <v>76.5</v>
      </c>
      <c r="BV25" s="57">
        <f>102+207.5-BU25-BT25-BS25</f>
        <v>74.599999999999994</v>
      </c>
      <c r="BW25" s="57">
        <v>74.2</v>
      </c>
      <c r="BX25" s="57"/>
      <c r="BY25" s="57"/>
      <c r="BZ25" s="57"/>
      <c r="CA25" s="57"/>
      <c r="CB25" s="57"/>
      <c r="CC25" s="57"/>
      <c r="CD25" s="57"/>
      <c r="CE25" s="57"/>
      <c r="CF25" s="57"/>
      <c r="CG25" s="55"/>
      <c r="CH25" s="57"/>
      <c r="CI25" s="57">
        <v>168</v>
      </c>
      <c r="CJ25" s="57">
        <v>98</v>
      </c>
      <c r="CK25" s="57">
        <v>89</v>
      </c>
      <c r="CL25" s="57">
        <v>4</v>
      </c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60"/>
      <c r="CZ25" s="60"/>
    </row>
    <row r="26" spans="2:106">
      <c r="B26" s="59" t="s">
        <v>383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>
        <v>0</v>
      </c>
      <c r="BL26" s="57">
        <v>0</v>
      </c>
      <c r="BM26" s="57">
        <v>0</v>
      </c>
      <c r="BN26" s="57">
        <v>0</v>
      </c>
      <c r="BO26" s="93">
        <v>0</v>
      </c>
      <c r="BP26" s="93">
        <v>6.3</v>
      </c>
      <c r="BQ26" s="93">
        <v>11.6</v>
      </c>
      <c r="BR26" s="93">
        <v>18.7</v>
      </c>
      <c r="BS26" s="57">
        <v>16.8</v>
      </c>
      <c r="BT26" s="57">
        <v>25.7</v>
      </c>
      <c r="BU26" s="57">
        <v>33.6</v>
      </c>
      <c r="BV26" s="57">
        <v>38.6</v>
      </c>
      <c r="BW26" s="57">
        <v>41.8</v>
      </c>
      <c r="BX26" s="57"/>
      <c r="BY26" s="57"/>
      <c r="BZ26" s="57"/>
      <c r="CA26" s="57"/>
      <c r="CB26" s="57"/>
      <c r="CC26" s="57"/>
      <c r="CD26" s="57"/>
      <c r="CE26" s="57"/>
      <c r="CF26" s="57"/>
      <c r="CG26" s="55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60"/>
      <c r="CZ26" s="60"/>
    </row>
    <row r="27" spans="2:106">
      <c r="B27" s="59" t="s">
        <v>384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>
        <v>0</v>
      </c>
      <c r="BL27" s="57">
        <v>0</v>
      </c>
      <c r="BM27" s="57">
        <v>6.2</v>
      </c>
      <c r="BN27" s="57">
        <v>0</v>
      </c>
      <c r="BO27" s="57">
        <v>0</v>
      </c>
      <c r="BP27" s="57">
        <v>13.6</v>
      </c>
      <c r="BQ27" s="57">
        <v>20.9</v>
      </c>
      <c r="BR27" s="57"/>
      <c r="BS27" s="57">
        <v>0</v>
      </c>
      <c r="BT27" s="57">
        <v>0</v>
      </c>
      <c r="BU27" s="57">
        <v>0</v>
      </c>
      <c r="BV27" s="57">
        <v>0</v>
      </c>
      <c r="BW27" s="57">
        <v>0</v>
      </c>
      <c r="BX27" s="57"/>
      <c r="BY27" s="57"/>
      <c r="BZ27" s="57"/>
      <c r="CA27" s="57"/>
      <c r="CB27" s="57"/>
      <c r="CC27" s="57"/>
      <c r="CD27" s="57"/>
      <c r="CE27" s="57"/>
      <c r="CF27" s="57"/>
      <c r="CG27" s="55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60"/>
      <c r="CZ27" s="60"/>
    </row>
    <row r="28" spans="2:106">
      <c r="B28" s="59" t="s">
        <v>380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>
        <v>2.6</v>
      </c>
      <c r="BP28" s="95">
        <v>8.1</v>
      </c>
      <c r="BQ28" s="95">
        <v>10.6</v>
      </c>
      <c r="BR28" s="58"/>
      <c r="BS28" s="58">
        <v>16.899999999999999</v>
      </c>
      <c r="BT28" s="58">
        <v>7.9</v>
      </c>
      <c r="BU28" s="58">
        <v>4.9000000000000004</v>
      </c>
      <c r="BV28" s="58">
        <f>15.3+17.6-BU28-BT28-BS28</f>
        <v>3.2000000000000099</v>
      </c>
      <c r="BW28" s="58">
        <v>4.5</v>
      </c>
      <c r="BX28" s="58"/>
      <c r="BY28" s="58"/>
      <c r="BZ28" s="58"/>
      <c r="CA28" s="58"/>
      <c r="CB28" s="58"/>
      <c r="CC28" s="58"/>
      <c r="CD28" s="58"/>
      <c r="CE28" s="58"/>
      <c r="CF28" s="58"/>
      <c r="CG28" s="55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</row>
    <row r="29" spans="2:106">
      <c r="B29" s="52" t="s">
        <v>79</v>
      </c>
      <c r="C29" s="57"/>
      <c r="D29" s="57"/>
      <c r="E29" s="57"/>
      <c r="F29" s="57">
        <v>251.4</v>
      </c>
      <c r="G29" s="57">
        <f>K29/1.01</f>
        <v>196.33663366336634</v>
      </c>
      <c r="H29" s="57">
        <v>201</v>
      </c>
      <c r="I29" s="57">
        <v>216</v>
      </c>
      <c r="J29" s="57">
        <v>251.4</v>
      </c>
      <c r="K29" s="57">
        <v>198.3</v>
      </c>
      <c r="L29" s="57">
        <v>201</v>
      </c>
      <c r="M29" s="57">
        <v>216</v>
      </c>
      <c r="N29" s="57">
        <v>236.6</v>
      </c>
      <c r="O29" s="57">
        <v>210</v>
      </c>
      <c r="P29" s="57">
        <v>214.7</v>
      </c>
      <c r="Q29" s="57">
        <v>236.8</v>
      </c>
      <c r="R29" s="57">
        <v>329.4</v>
      </c>
      <c r="S29" s="57"/>
      <c r="T29" s="57">
        <v>254.5</v>
      </c>
      <c r="U29" s="57">
        <v>277.10000000000002</v>
      </c>
      <c r="V29" s="57">
        <v>326.39999999999998</v>
      </c>
      <c r="W29" s="57">
        <v>264.10000000000002</v>
      </c>
      <c r="X29" s="57">
        <v>275.39999999999998</v>
      </c>
      <c r="Y29" s="57">
        <v>314.60000000000002</v>
      </c>
      <c r="Z29" s="57">
        <v>353.1</v>
      </c>
      <c r="AA29" s="57">
        <v>289.60000000000002</v>
      </c>
      <c r="AB29" s="57">
        <v>324.2</v>
      </c>
      <c r="AC29" s="57">
        <v>353.2</v>
      </c>
      <c r="AD29" s="57">
        <v>424.3</v>
      </c>
      <c r="AE29" s="57">
        <v>369.8</v>
      </c>
      <c r="AF29" s="57">
        <v>389.5</v>
      </c>
      <c r="AG29" s="57">
        <v>451</v>
      </c>
      <c r="AH29" s="57">
        <v>468.2</v>
      </c>
      <c r="AI29" s="57">
        <v>490.7</v>
      </c>
      <c r="AJ29" s="57">
        <v>512.20000000000005</v>
      </c>
      <c r="AK29" s="57">
        <v>479.4</v>
      </c>
      <c r="AL29" s="57">
        <f t="shared" ref="AL29:AP29" si="36">+AK29+5</f>
        <v>484.4</v>
      </c>
      <c r="AM29" s="57">
        <f t="shared" si="36"/>
        <v>489.4</v>
      </c>
      <c r="AN29" s="57">
        <f t="shared" si="36"/>
        <v>494.4</v>
      </c>
      <c r="AO29" s="57">
        <f t="shared" si="36"/>
        <v>499.4</v>
      </c>
      <c r="AP29" s="57">
        <f t="shared" si="36"/>
        <v>504.4</v>
      </c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5"/>
      <c r="CH29" s="57"/>
      <c r="CI29" s="57">
        <v>693</v>
      </c>
      <c r="CJ29" s="57">
        <v>727</v>
      </c>
      <c r="CK29" s="57">
        <v>798</v>
      </c>
      <c r="CL29" s="57">
        <v>864</v>
      </c>
      <c r="CM29" s="57">
        <v>882</v>
      </c>
      <c r="CN29" s="57">
        <f>CM29*1.05</f>
        <v>926.1</v>
      </c>
      <c r="CO29" s="57">
        <f t="shared" si="5"/>
        <v>858</v>
      </c>
      <c r="CP29" s="57">
        <f t="shared" si="6"/>
        <v>1207.2</v>
      </c>
      <c r="CQ29" s="57">
        <f t="shared" si="7"/>
        <v>1391.3</v>
      </c>
      <c r="CR29" s="57">
        <f t="shared" si="8"/>
        <v>1678.5</v>
      </c>
      <c r="CS29" s="57">
        <f t="shared" ref="CS29:CS32" si="37">SUM(AI29:AL29)</f>
        <v>1966.7000000000003</v>
      </c>
      <c r="CT29" s="57">
        <f t="shared" ref="CT29:CW29" si="38">CS29*1.05</f>
        <v>2065.0350000000003</v>
      </c>
      <c r="CU29" s="57">
        <f t="shared" si="38"/>
        <v>2168.2867500000002</v>
      </c>
      <c r="CV29" s="57">
        <f t="shared" si="38"/>
        <v>2276.7010875000005</v>
      </c>
      <c r="CW29" s="57">
        <f t="shared" si="38"/>
        <v>2390.5361418750008</v>
      </c>
      <c r="CX29" s="57">
        <f>CW29*1.05</f>
        <v>2510.0629489687508</v>
      </c>
      <c r="CY29" s="57">
        <f t="shared" ref="CY29:DB29" si="39">CX29*1.05</f>
        <v>2635.5660964171884</v>
      </c>
      <c r="CZ29" s="57">
        <f t="shared" si="39"/>
        <v>2767.3444012380478</v>
      </c>
      <c r="DA29" s="57">
        <f t="shared" si="39"/>
        <v>2905.7116212999504</v>
      </c>
      <c r="DB29" s="57">
        <f t="shared" si="39"/>
        <v>3050.997202364948</v>
      </c>
    </row>
    <row r="30" spans="2:106" s="59" customFormat="1">
      <c r="B30" s="59" t="s">
        <v>265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>
        <v>22.6</v>
      </c>
      <c r="Z30" s="58">
        <v>4</v>
      </c>
      <c r="AA30" s="58">
        <v>8.8000000000000007</v>
      </c>
      <c r="AB30" s="58">
        <v>22.9</v>
      </c>
      <c r="AC30" s="58">
        <v>36.299999999999997</v>
      </c>
      <c r="AD30" s="58">
        <v>47</v>
      </c>
      <c r="AE30" s="58">
        <v>56.3</v>
      </c>
      <c r="AF30" s="58">
        <v>71.7</v>
      </c>
      <c r="AG30" s="58">
        <v>83.5</v>
      </c>
      <c r="AH30" s="58">
        <v>90.9</v>
      </c>
      <c r="AI30" s="58">
        <v>115.8</v>
      </c>
      <c r="AJ30" s="58">
        <v>111</v>
      </c>
      <c r="AK30" s="58">
        <v>109.7</v>
      </c>
      <c r="AL30" s="58">
        <f>+AK30+5</f>
        <v>114.7</v>
      </c>
      <c r="AM30" s="58">
        <f t="shared" ref="AM30:AP30" si="40">+AL30+5</f>
        <v>119.7</v>
      </c>
      <c r="AN30" s="58">
        <f t="shared" si="40"/>
        <v>124.7</v>
      </c>
      <c r="AO30" s="58">
        <f t="shared" si="40"/>
        <v>129.69999999999999</v>
      </c>
      <c r="AP30" s="58">
        <f t="shared" si="40"/>
        <v>134.69999999999999</v>
      </c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6"/>
      <c r="CH30" s="58"/>
      <c r="CI30" s="58"/>
      <c r="CJ30" s="58"/>
      <c r="CK30" s="58"/>
      <c r="CL30" s="58"/>
      <c r="CM30" s="58"/>
      <c r="CN30" s="58"/>
      <c r="CO30" s="58"/>
      <c r="CP30" s="58">
        <f>SUM(W30:Z30)</f>
        <v>26.6</v>
      </c>
      <c r="CQ30" s="58">
        <f>SUM(AA30:AD30)</f>
        <v>115</v>
      </c>
      <c r="CR30" s="57">
        <f t="shared" si="8"/>
        <v>302.39999999999998</v>
      </c>
      <c r="CS30" s="57">
        <f t="shared" si="37"/>
        <v>451.2</v>
      </c>
      <c r="CT30" s="58">
        <f>CS30*1.3</f>
        <v>586.56000000000006</v>
      </c>
      <c r="CU30" s="58">
        <f>CT30*1.1</f>
        <v>645.21600000000012</v>
      </c>
      <c r="CV30" s="58">
        <f>CU30*1.1</f>
        <v>709.73760000000016</v>
      </c>
      <c r="CW30" s="58">
        <f>CV30*1.1</f>
        <v>780.71136000000024</v>
      </c>
      <c r="CX30" s="58">
        <f>CW30*1.1</f>
        <v>858.78249600000038</v>
      </c>
      <c r="CY30" s="58">
        <f t="shared" ref="CY30:DB30" si="41">CX30*1.1</f>
        <v>944.6607456000005</v>
      </c>
      <c r="CZ30" s="58">
        <f t="shared" si="41"/>
        <v>1039.1268201600005</v>
      </c>
      <c r="DA30" s="58">
        <f t="shared" si="41"/>
        <v>1143.0395021760007</v>
      </c>
      <c r="DB30" s="58">
        <f t="shared" si="41"/>
        <v>1257.343452393601</v>
      </c>
    </row>
    <row r="31" spans="2:106">
      <c r="B31" s="52" t="s">
        <v>55</v>
      </c>
      <c r="C31" s="57">
        <v>279</v>
      </c>
      <c r="D31" s="57">
        <v>293.3</v>
      </c>
      <c r="E31" s="57">
        <v>312.7</v>
      </c>
      <c r="F31" s="57">
        <v>329.5</v>
      </c>
      <c r="G31" s="57">
        <v>304.60000000000002</v>
      </c>
      <c r="H31" s="57">
        <v>343</v>
      </c>
      <c r="I31" s="57">
        <v>334.3</v>
      </c>
      <c r="J31" s="57">
        <v>352.6</v>
      </c>
      <c r="K31" s="57">
        <v>339</v>
      </c>
      <c r="L31" s="57">
        <v>344</v>
      </c>
      <c r="M31" s="57">
        <v>355</v>
      </c>
      <c r="N31" s="57">
        <v>371.3</v>
      </c>
      <c r="O31" s="57">
        <v>376.9</v>
      </c>
      <c r="P31" s="57">
        <v>395.6</v>
      </c>
      <c r="Q31" s="57">
        <v>394.4</v>
      </c>
      <c r="R31" s="57">
        <v>425.5</v>
      </c>
      <c r="S31" s="57">
        <v>426.2</v>
      </c>
      <c r="T31" s="57">
        <v>440.1</v>
      </c>
      <c r="U31" s="57">
        <v>440.2</v>
      </c>
      <c r="V31" s="57">
        <v>413.3</v>
      </c>
      <c r="W31" s="57">
        <v>367.8</v>
      </c>
      <c r="X31" s="57">
        <v>353.2</v>
      </c>
      <c r="Y31" s="57">
        <v>331.8</v>
      </c>
      <c r="Z31" s="57">
        <v>310.5</v>
      </c>
      <c r="AA31" s="57">
        <v>287.8</v>
      </c>
      <c r="AB31" s="57">
        <v>293.39999999999998</v>
      </c>
      <c r="AC31" s="57">
        <v>324.60000000000002</v>
      </c>
      <c r="AD31" s="57">
        <v>243.6</v>
      </c>
      <c r="AE31" s="57">
        <v>156.1</v>
      </c>
      <c r="AF31" s="57">
        <v>112.4</v>
      </c>
      <c r="AG31" s="57">
        <v>91</v>
      </c>
      <c r="AH31" s="57">
        <v>92.6</v>
      </c>
      <c r="AI31" s="57">
        <v>0</v>
      </c>
      <c r="AJ31" s="57">
        <v>0</v>
      </c>
      <c r="AK31" s="57">
        <v>0</v>
      </c>
      <c r="AL31" s="58">
        <f t="shared" ref="AL31:AP31" si="42">+AK31</f>
        <v>0</v>
      </c>
      <c r="AM31" s="58">
        <f t="shared" si="42"/>
        <v>0</v>
      </c>
      <c r="AN31" s="58">
        <f t="shared" si="42"/>
        <v>0</v>
      </c>
      <c r="AO31" s="58">
        <f t="shared" si="42"/>
        <v>0</v>
      </c>
      <c r="AP31" s="58">
        <f t="shared" si="42"/>
        <v>0</v>
      </c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5"/>
      <c r="CH31" s="57"/>
      <c r="CI31" s="57">
        <v>875</v>
      </c>
      <c r="CJ31" s="57">
        <v>1022</v>
      </c>
      <c r="CK31" s="57">
        <v>1214</v>
      </c>
      <c r="CL31" s="57">
        <v>1335</v>
      </c>
      <c r="CM31" s="57">
        <f>SUM(K31:N31)</f>
        <v>1409.3</v>
      </c>
      <c r="CN31" s="57">
        <f>SUM(O31:R31)</f>
        <v>1592.4</v>
      </c>
      <c r="CO31" s="57">
        <f>SUM(S31:V31)</f>
        <v>1719.8</v>
      </c>
      <c r="CP31" s="57">
        <f>SUM(W31:Z31)</f>
        <v>1363.3</v>
      </c>
      <c r="CQ31" s="57">
        <f>SUM(AA31:AD31)</f>
        <v>1149.4000000000001</v>
      </c>
      <c r="CR31" s="57">
        <f>SUM(AE31:AH31)</f>
        <v>452.1</v>
      </c>
      <c r="CS31" s="57">
        <f t="shared" si="37"/>
        <v>0</v>
      </c>
      <c r="CT31" s="57">
        <f>CS31*0.2</f>
        <v>0</v>
      </c>
      <c r="CU31" s="57">
        <f>CT31*0.2</f>
        <v>0</v>
      </c>
      <c r="CV31" s="57"/>
      <c r="CW31" s="57"/>
      <c r="CX31" s="57"/>
      <c r="CY31" s="60"/>
      <c r="CZ31" s="60"/>
    </row>
    <row r="32" spans="2:106">
      <c r="B32" s="52" t="s">
        <v>70</v>
      </c>
      <c r="C32" s="57"/>
      <c r="D32" s="57"/>
      <c r="E32" s="57"/>
      <c r="F32" s="57"/>
      <c r="G32" s="57"/>
      <c r="H32" s="57"/>
      <c r="I32" s="57"/>
      <c r="J32" s="57">
        <v>25.7</v>
      </c>
      <c r="K32" s="57">
        <v>36</v>
      </c>
      <c r="L32" s="57">
        <v>52</v>
      </c>
      <c r="M32" s="57">
        <v>62</v>
      </c>
      <c r="N32" s="57">
        <f>R32/1.34</f>
        <v>68.731343283582078</v>
      </c>
      <c r="O32" s="57">
        <v>72</v>
      </c>
      <c r="P32" s="57">
        <v>152.1</v>
      </c>
      <c r="Q32" s="57">
        <v>87.1</v>
      </c>
      <c r="R32" s="57">
        <v>92.1</v>
      </c>
      <c r="S32" s="57">
        <v>82.7</v>
      </c>
      <c r="T32" s="57">
        <v>101.2</v>
      </c>
      <c r="U32" s="57">
        <v>109.2</v>
      </c>
      <c r="V32" s="57">
        <v>103</v>
      </c>
      <c r="W32" s="57">
        <v>97.5</v>
      </c>
      <c r="X32" s="57">
        <v>114.6</v>
      </c>
      <c r="Y32" s="57">
        <v>115.8</v>
      </c>
      <c r="Z32" s="57">
        <v>120.5</v>
      </c>
      <c r="AA32" s="57">
        <v>115.7</v>
      </c>
      <c r="AB32" s="57">
        <v>106.9</v>
      </c>
      <c r="AC32" s="57">
        <v>102.7</v>
      </c>
      <c r="AD32" s="57">
        <v>105.3</v>
      </c>
      <c r="AE32" s="57">
        <v>101.8</v>
      </c>
      <c r="AF32" s="57">
        <v>103.9</v>
      </c>
      <c r="AG32" s="57">
        <v>106.7</v>
      </c>
      <c r="AH32" s="57">
        <v>110.3</v>
      </c>
      <c r="AI32" s="57">
        <v>0</v>
      </c>
      <c r="AJ32" s="57">
        <v>0</v>
      </c>
      <c r="AK32" s="57">
        <v>0</v>
      </c>
      <c r="AL32" s="57">
        <v>0</v>
      </c>
      <c r="AM32" s="57">
        <v>0</v>
      </c>
      <c r="AN32" s="57">
        <v>0</v>
      </c>
      <c r="AO32" s="57">
        <v>0</v>
      </c>
      <c r="AP32" s="57">
        <v>0</v>
      </c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5"/>
      <c r="CH32" s="57"/>
      <c r="CI32" s="57"/>
      <c r="CJ32" s="57"/>
      <c r="CK32" s="57"/>
      <c r="CL32" s="57">
        <v>36</v>
      </c>
      <c r="CM32" s="57">
        <v>193</v>
      </c>
      <c r="CN32" s="57">
        <f>CM32*1.75</f>
        <v>337.75</v>
      </c>
      <c r="CO32" s="57">
        <f>SUM(S32:V32)</f>
        <v>396.1</v>
      </c>
      <c r="CP32" s="57">
        <f>SUM(W32:Z32)</f>
        <v>448.4</v>
      </c>
      <c r="CQ32" s="57">
        <f>SUM(AA32:AD32)</f>
        <v>430.6</v>
      </c>
      <c r="CR32" s="57">
        <f>SUM(AE32:AH32)</f>
        <v>422.7</v>
      </c>
      <c r="CS32" s="57">
        <f t="shared" si="37"/>
        <v>0</v>
      </c>
      <c r="CT32" s="57">
        <f>+CS32*2</f>
        <v>0</v>
      </c>
      <c r="CU32" s="57">
        <f>+CT32*1.05</f>
        <v>0</v>
      </c>
      <c r="CV32" s="57">
        <f t="shared" ref="CV32:CX32" si="43">+CU32*1.05</f>
        <v>0</v>
      </c>
      <c r="CW32" s="57">
        <f t="shared" si="43"/>
        <v>0</v>
      </c>
      <c r="CX32" s="57">
        <f t="shared" si="43"/>
        <v>0</v>
      </c>
      <c r="CY32" s="60"/>
      <c r="CZ32" s="60"/>
    </row>
    <row r="33" spans="2:106">
      <c r="B33" s="52" t="s">
        <v>61</v>
      </c>
      <c r="C33" s="57">
        <v>165</v>
      </c>
      <c r="D33" s="57">
        <v>129.80000000000001</v>
      </c>
      <c r="E33" s="57">
        <v>141</v>
      </c>
      <c r="F33" s="57">
        <v>123.1</v>
      </c>
      <c r="G33" s="57">
        <v>112.5</v>
      </c>
      <c r="H33" s="57">
        <v>114.2</v>
      </c>
      <c r="I33" s="57">
        <v>102.6</v>
      </c>
      <c r="J33" s="57">
        <v>114.4</v>
      </c>
      <c r="K33" s="57"/>
      <c r="L33" s="57"/>
      <c r="M33" s="57">
        <v>78</v>
      </c>
      <c r="N33" s="57"/>
      <c r="O33" s="57">
        <f>M33</f>
        <v>78</v>
      </c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5"/>
      <c r="CH33" s="57"/>
      <c r="CI33" s="57">
        <v>656</v>
      </c>
      <c r="CJ33" s="57">
        <v>645</v>
      </c>
      <c r="CK33" s="57">
        <v>559</v>
      </c>
      <c r="CL33" s="57">
        <v>454</v>
      </c>
      <c r="CM33" s="57">
        <v>327</v>
      </c>
      <c r="CN33" s="57">
        <f>CM33*0.95</f>
        <v>310.64999999999998</v>
      </c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60"/>
      <c r="CZ33" s="60"/>
    </row>
    <row r="34" spans="2:106">
      <c r="B34" s="52" t="s">
        <v>63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5"/>
      <c r="CH34" s="57"/>
      <c r="CI34" s="57">
        <v>198</v>
      </c>
      <c r="CJ34" s="57">
        <v>171</v>
      </c>
      <c r="CK34" s="57">
        <v>138</v>
      </c>
      <c r="CL34" s="57">
        <v>118</v>
      </c>
      <c r="CM34" s="57">
        <v>90</v>
      </c>
      <c r="CN34" s="57">
        <f>CM34*0.9</f>
        <v>81</v>
      </c>
      <c r="CO34" s="57">
        <f>CN34*0.9</f>
        <v>72.900000000000006</v>
      </c>
      <c r="CP34" s="57"/>
      <c r="CQ34" s="57"/>
      <c r="CR34" s="57"/>
      <c r="CS34" s="57"/>
      <c r="CT34" s="57"/>
      <c r="CU34" s="57"/>
      <c r="CV34" s="57"/>
      <c r="CW34" s="57"/>
      <c r="CX34" s="57"/>
      <c r="CY34" s="60"/>
      <c r="CZ34" s="60"/>
    </row>
    <row r="35" spans="2:106">
      <c r="B35" s="52" t="s">
        <v>64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5"/>
      <c r="CH35" s="57"/>
      <c r="CI35" s="57">
        <v>38</v>
      </c>
      <c r="CJ35" s="57">
        <v>32</v>
      </c>
      <c r="CK35" s="57">
        <v>55</v>
      </c>
      <c r="CL35" s="57">
        <v>28</v>
      </c>
      <c r="CM35" s="57">
        <v>17</v>
      </c>
      <c r="CN35" s="57">
        <v>16</v>
      </c>
      <c r="CO35" s="57">
        <v>16</v>
      </c>
      <c r="CP35" s="57"/>
      <c r="CQ35" s="57"/>
      <c r="CR35" s="57"/>
      <c r="CS35" s="57"/>
      <c r="CT35" s="57"/>
      <c r="CU35" s="57"/>
      <c r="CV35" s="57"/>
      <c r="CW35" s="57"/>
      <c r="CX35" s="57"/>
      <c r="CY35" s="60"/>
      <c r="CZ35" s="60"/>
    </row>
    <row r="36" spans="2:106">
      <c r="B36" s="52" t="s">
        <v>65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5"/>
      <c r="CH36" s="57"/>
      <c r="CI36" s="57">
        <v>75</v>
      </c>
      <c r="CJ36" s="57">
        <v>52</v>
      </c>
      <c r="CK36" s="57">
        <v>46</v>
      </c>
      <c r="CL36" s="57">
        <v>34</v>
      </c>
      <c r="CM36" s="57">
        <v>32</v>
      </c>
      <c r="CN36" s="57">
        <f>CM36*0.8</f>
        <v>25.6</v>
      </c>
      <c r="CO36" s="57">
        <f>CN36*0.8</f>
        <v>20.480000000000004</v>
      </c>
      <c r="CP36" s="57"/>
      <c r="CQ36" s="57"/>
      <c r="CR36" s="57"/>
      <c r="CS36" s="57"/>
      <c r="CT36" s="57"/>
      <c r="CU36" s="57"/>
      <c r="CV36" s="57"/>
      <c r="CW36" s="57"/>
      <c r="CX36" s="57"/>
      <c r="CY36" s="60"/>
      <c r="CZ36" s="60"/>
    </row>
    <row r="37" spans="2:106">
      <c r="B37" s="52" t="s">
        <v>66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>
        <v>25</v>
      </c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5"/>
      <c r="CH37" s="57"/>
      <c r="CI37" s="57">
        <v>145</v>
      </c>
      <c r="CJ37" s="57">
        <v>173</v>
      </c>
      <c r="CK37" s="57">
        <v>198</v>
      </c>
      <c r="CL37" s="57">
        <v>240</v>
      </c>
      <c r="CM37" s="57">
        <v>154</v>
      </c>
      <c r="CN37" s="57">
        <v>136</v>
      </c>
      <c r="CO37" s="57">
        <v>143</v>
      </c>
      <c r="CP37" s="57"/>
      <c r="CQ37" s="57"/>
      <c r="CR37" s="57"/>
      <c r="CS37" s="57"/>
      <c r="CT37" s="57"/>
      <c r="CU37" s="57"/>
      <c r="CV37" s="57"/>
      <c r="CW37" s="57"/>
      <c r="CX37" s="57"/>
      <c r="CY37" s="60"/>
      <c r="CZ37" s="60"/>
    </row>
    <row r="38" spans="2:106">
      <c r="B38" s="52" t="s">
        <v>67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5"/>
      <c r="CH38" s="57"/>
      <c r="CI38" s="57">
        <v>122</v>
      </c>
      <c r="CJ38" s="57">
        <v>63</v>
      </c>
      <c r="CK38" s="57">
        <v>44</v>
      </c>
      <c r="CL38" s="57">
        <v>25</v>
      </c>
      <c r="CM38" s="57">
        <v>31</v>
      </c>
      <c r="CN38" s="57">
        <f>CM38*0.9</f>
        <v>27.900000000000002</v>
      </c>
      <c r="CO38" s="57">
        <f>CN38*0.9</f>
        <v>25.110000000000003</v>
      </c>
      <c r="CP38" s="57">
        <f>CO38*0.9</f>
        <v>22.599000000000004</v>
      </c>
      <c r="CQ38" s="57"/>
      <c r="CR38" s="57"/>
      <c r="CS38" s="57"/>
      <c r="CT38" s="57"/>
      <c r="CU38" s="57"/>
      <c r="CV38" s="57"/>
      <c r="CW38" s="57"/>
      <c r="CX38" s="57"/>
      <c r="CY38" s="60"/>
      <c r="CZ38" s="60"/>
    </row>
    <row r="39" spans="2:106">
      <c r="B39" s="52" t="s">
        <v>69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>
        <v>102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5"/>
      <c r="CH39" s="57"/>
      <c r="CI39" s="57">
        <v>329</v>
      </c>
      <c r="CJ39" s="57">
        <v>371</v>
      </c>
      <c r="CK39" s="57">
        <v>430</v>
      </c>
      <c r="CL39" s="57">
        <v>414</v>
      </c>
      <c r="CM39" s="57">
        <v>413</v>
      </c>
      <c r="CN39" s="57">
        <f>CM39*1.05</f>
        <v>433.65000000000003</v>
      </c>
      <c r="CO39" s="57">
        <f>CN39*1.05</f>
        <v>455.33250000000004</v>
      </c>
      <c r="CP39" s="57">
        <f>CO39*1.05</f>
        <v>478.09912500000007</v>
      </c>
      <c r="CQ39" s="57"/>
      <c r="CR39" s="57"/>
      <c r="CS39" s="57"/>
      <c r="CT39" s="57"/>
      <c r="CU39" s="57"/>
      <c r="CV39" s="57"/>
      <c r="CW39" s="57"/>
      <c r="CX39" s="57"/>
      <c r="CY39" s="60"/>
      <c r="CZ39" s="60"/>
    </row>
    <row r="40" spans="2:106">
      <c r="B40" s="52" t="s">
        <v>71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5"/>
      <c r="CH40" s="57"/>
      <c r="CI40" s="57">
        <v>46</v>
      </c>
      <c r="CJ40" s="57">
        <v>43</v>
      </c>
      <c r="CK40" s="57">
        <v>34</v>
      </c>
      <c r="CL40" s="57">
        <v>52</v>
      </c>
      <c r="CM40" s="57">
        <v>34</v>
      </c>
      <c r="CN40" s="57">
        <v>34</v>
      </c>
      <c r="CO40" s="57">
        <v>35</v>
      </c>
      <c r="CP40" s="57"/>
      <c r="CQ40" s="57"/>
      <c r="CR40" s="57"/>
      <c r="CS40" s="57"/>
      <c r="CT40" s="57"/>
      <c r="CU40" s="57"/>
      <c r="CV40" s="57"/>
      <c r="CW40" s="57"/>
      <c r="CX40" s="57"/>
      <c r="CY40" s="60"/>
      <c r="CZ40" s="60"/>
    </row>
    <row r="41" spans="2:106">
      <c r="B41" s="52" t="s">
        <v>72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>
        <v>67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5"/>
      <c r="CH41" s="57"/>
      <c r="CI41" s="57">
        <v>384</v>
      </c>
      <c r="CJ41" s="57">
        <v>364</v>
      </c>
      <c r="CK41" s="57">
        <v>363</v>
      </c>
      <c r="CL41" s="57">
        <v>297</v>
      </c>
      <c r="CM41" s="57">
        <v>296</v>
      </c>
      <c r="CN41" s="57">
        <f>CM41*0.95</f>
        <v>281.2</v>
      </c>
      <c r="CO41" s="57">
        <f>CN41*0.95</f>
        <v>267.14</v>
      </c>
      <c r="CP41" s="57">
        <f>CO41*0.95</f>
        <v>253.78299999999999</v>
      </c>
      <c r="CQ41" s="57"/>
      <c r="CR41" s="57"/>
      <c r="CS41" s="57"/>
      <c r="CT41" s="57"/>
      <c r="CU41" s="57"/>
      <c r="CV41" s="57"/>
      <c r="CW41" s="57"/>
      <c r="CX41" s="57"/>
      <c r="CY41" s="60"/>
      <c r="CZ41" s="60"/>
    </row>
    <row r="42" spans="2:106">
      <c r="B42" s="52" t="s">
        <v>73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5"/>
      <c r="CH42" s="57"/>
      <c r="CI42" s="57">
        <v>60</v>
      </c>
      <c r="CJ42" s="57">
        <v>70</v>
      </c>
      <c r="CK42" s="57">
        <v>42</v>
      </c>
      <c r="CL42" s="57">
        <v>34</v>
      </c>
      <c r="CM42" s="57">
        <v>23</v>
      </c>
      <c r="CN42" s="57">
        <v>22</v>
      </c>
      <c r="CO42" s="57">
        <v>22</v>
      </c>
      <c r="CP42" s="57">
        <v>22</v>
      </c>
      <c r="CQ42" s="57"/>
      <c r="CR42" s="57"/>
      <c r="CS42" s="57"/>
      <c r="CT42" s="57"/>
      <c r="CU42" s="57"/>
      <c r="CV42" s="57"/>
      <c r="CW42" s="57"/>
      <c r="CX42" s="57"/>
      <c r="CY42" s="60"/>
      <c r="CZ42" s="60"/>
    </row>
    <row r="43" spans="2:106">
      <c r="B43" s="52" t="s">
        <v>68</v>
      </c>
      <c r="C43" s="57">
        <v>153.30000000000001</v>
      </c>
      <c r="D43" s="57">
        <v>112.4</v>
      </c>
      <c r="E43" s="57">
        <v>58.3</v>
      </c>
      <c r="F43" s="57">
        <v>128.9</v>
      </c>
      <c r="G43" s="57">
        <v>168.7</v>
      </c>
      <c r="H43" s="57">
        <v>105</v>
      </c>
      <c r="I43" s="57">
        <f>M43/1.2</f>
        <v>64.166666666666671</v>
      </c>
      <c r="J43" s="57">
        <v>155</v>
      </c>
      <c r="K43" s="57">
        <v>189</v>
      </c>
      <c r="L43" s="57">
        <v>93</v>
      </c>
      <c r="M43" s="57">
        <v>77</v>
      </c>
      <c r="N43" s="57">
        <f>R43/1.04</f>
        <v>89.615384615384613</v>
      </c>
      <c r="O43" s="57"/>
      <c r="P43" s="57"/>
      <c r="Q43" s="57">
        <v>97.8</v>
      </c>
      <c r="R43" s="57">
        <v>93.2</v>
      </c>
      <c r="S43" s="57">
        <v>84.1</v>
      </c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5"/>
      <c r="CH43" s="57"/>
      <c r="CI43" s="57">
        <v>391</v>
      </c>
      <c r="CJ43" s="57">
        <v>430</v>
      </c>
      <c r="CK43" s="57">
        <v>453</v>
      </c>
      <c r="CL43" s="57">
        <v>493</v>
      </c>
      <c r="CM43" s="57">
        <v>428</v>
      </c>
      <c r="CN43" s="57">
        <f>SUM(O43:R43)</f>
        <v>191</v>
      </c>
      <c r="CO43" s="57">
        <f>SUM(S43:V43)</f>
        <v>84.1</v>
      </c>
      <c r="CP43" s="57"/>
      <c r="CQ43" s="57"/>
      <c r="CR43" s="57"/>
      <c r="CS43" s="57"/>
      <c r="CT43" s="57"/>
      <c r="CU43" s="57"/>
      <c r="CV43" s="57"/>
      <c r="CW43" s="57"/>
      <c r="CX43" s="57"/>
      <c r="CY43" s="60"/>
      <c r="CZ43" s="60"/>
    </row>
    <row r="44" spans="2:106">
      <c r="B44" s="52" t="s">
        <v>74</v>
      </c>
      <c r="C44" s="57"/>
      <c r="D44" s="57"/>
      <c r="E44" s="57"/>
      <c r="F44" s="57">
        <f>J44*1.06</f>
        <v>54.908000000000001</v>
      </c>
      <c r="G44" s="57"/>
      <c r="H44" s="57"/>
      <c r="I44" s="57">
        <v>45.5</v>
      </c>
      <c r="J44" s="57">
        <v>51.8</v>
      </c>
      <c r="K44" s="57">
        <v>50</v>
      </c>
      <c r="L44" s="57">
        <v>48</v>
      </c>
      <c r="M44" s="57">
        <v>42</v>
      </c>
      <c r="N44" s="57"/>
      <c r="O44" s="57">
        <v>40</v>
      </c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5"/>
      <c r="CH44" s="57"/>
      <c r="CI44" s="57">
        <v>98</v>
      </c>
      <c r="CJ44" s="57">
        <v>161</v>
      </c>
      <c r="CK44" s="57">
        <v>202</v>
      </c>
      <c r="CL44" s="57">
        <v>215</v>
      </c>
      <c r="CM44" s="57">
        <v>212</v>
      </c>
      <c r="CN44" s="57">
        <f>CM44*0.8</f>
        <v>169.60000000000002</v>
      </c>
      <c r="CO44" s="57">
        <f>CN44*0.8</f>
        <v>135.68000000000004</v>
      </c>
      <c r="CP44" s="57">
        <f>CO44*0.8</f>
        <v>108.54400000000004</v>
      </c>
      <c r="CQ44" s="57"/>
      <c r="CR44" s="57"/>
      <c r="CS44" s="57"/>
      <c r="CT44" s="57"/>
      <c r="CU44" s="57"/>
      <c r="CV44" s="57"/>
      <c r="CW44" s="57"/>
      <c r="CX44" s="57"/>
      <c r="CY44" s="60"/>
      <c r="CZ44" s="60"/>
    </row>
    <row r="45" spans="2:106">
      <c r="B45" s="52" t="s">
        <v>15</v>
      </c>
      <c r="C45" s="57">
        <v>141.1</v>
      </c>
      <c r="D45" s="57">
        <v>178.6</v>
      </c>
      <c r="E45" s="57">
        <v>163.6</v>
      </c>
      <c r="F45" s="57">
        <v>183.4</v>
      </c>
      <c r="G45" s="57">
        <v>119.8</v>
      </c>
      <c r="H45" s="57">
        <v>123.5</v>
      </c>
      <c r="I45" s="57">
        <v>140.9</v>
      </c>
      <c r="J45" s="57">
        <v>168</v>
      </c>
      <c r="K45" s="57">
        <v>152</v>
      </c>
      <c r="L45" s="57">
        <v>144</v>
      </c>
      <c r="M45" s="57">
        <v>126</v>
      </c>
      <c r="N45" s="57">
        <v>156.30000000000001</v>
      </c>
      <c r="O45" s="57">
        <v>139.9</v>
      </c>
      <c r="P45" s="57">
        <v>142.30000000000001</v>
      </c>
      <c r="Q45" s="57">
        <v>130.5</v>
      </c>
      <c r="R45" s="57">
        <v>156.80000000000001</v>
      </c>
      <c r="S45" s="57">
        <v>148</v>
      </c>
      <c r="T45" s="57">
        <v>135.19999999999999</v>
      </c>
      <c r="U45" s="57">
        <v>149.5</v>
      </c>
      <c r="V45" s="57">
        <v>146.80000000000001</v>
      </c>
      <c r="W45" s="57">
        <v>158.9</v>
      </c>
      <c r="X45" s="57">
        <v>142.80000000000001</v>
      </c>
      <c r="Y45" s="57">
        <v>145.5</v>
      </c>
      <c r="Z45" s="57">
        <v>162.19999999999999</v>
      </c>
      <c r="AA45" s="57">
        <v>146.4</v>
      </c>
      <c r="AB45" s="57">
        <v>147.1</v>
      </c>
      <c r="AC45" s="57">
        <v>127.9</v>
      </c>
      <c r="AD45" s="57">
        <v>155.4</v>
      </c>
      <c r="AE45" s="57">
        <v>138.69999999999999</v>
      </c>
      <c r="AF45" s="57">
        <v>157.69999999999999</v>
      </c>
      <c r="AG45" s="57">
        <v>153.19999999999999</v>
      </c>
      <c r="AH45" s="57">
        <v>170.6</v>
      </c>
      <c r="AI45" s="57">
        <v>158.9</v>
      </c>
      <c r="AJ45" s="57">
        <v>153</v>
      </c>
      <c r="AK45" s="57">
        <v>145.6</v>
      </c>
      <c r="AL45" s="57">
        <f t="shared" ref="AL45:AP45" si="44">+AK45</f>
        <v>145.6</v>
      </c>
      <c r="AM45" s="57">
        <f t="shared" si="44"/>
        <v>145.6</v>
      </c>
      <c r="AN45" s="57">
        <f t="shared" si="44"/>
        <v>145.6</v>
      </c>
      <c r="AO45" s="57">
        <f t="shared" si="44"/>
        <v>145.6</v>
      </c>
      <c r="AP45" s="57">
        <f t="shared" si="44"/>
        <v>145.6</v>
      </c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5"/>
      <c r="CH45" s="57"/>
      <c r="CI45" s="57">
        <v>3</v>
      </c>
      <c r="CJ45" s="57">
        <v>370</v>
      </c>
      <c r="CK45" s="57">
        <v>666</v>
      </c>
      <c r="CL45" s="57">
        <v>552</v>
      </c>
      <c r="CM45" s="57">
        <v>594</v>
      </c>
      <c r="CN45" s="57">
        <f>SUM(O45:R45)</f>
        <v>569.5</v>
      </c>
      <c r="CO45" s="57">
        <f>SUM(S45:V45)</f>
        <v>579.5</v>
      </c>
      <c r="CP45" s="57">
        <f>SUM(W45:Z45)</f>
        <v>609.40000000000009</v>
      </c>
      <c r="CQ45" s="57">
        <f>SUM(AA45:AD45)</f>
        <v>576.79999999999995</v>
      </c>
      <c r="CR45" s="57">
        <f>SUM(AE45:AH45)</f>
        <v>620.19999999999993</v>
      </c>
      <c r="CS45" s="57">
        <f>SUM(AI45:AL45)</f>
        <v>603.1</v>
      </c>
      <c r="CT45" s="57">
        <f>CS45*0.95</f>
        <v>572.94500000000005</v>
      </c>
      <c r="CU45" s="57">
        <f>CT45*0.95</f>
        <v>544.29775000000006</v>
      </c>
      <c r="CV45" s="57">
        <f>CU45*0.95</f>
        <v>517.08286250000003</v>
      </c>
      <c r="CW45" s="57">
        <f>CV45*0.5</f>
        <v>258.54143125000002</v>
      </c>
      <c r="CX45" s="57"/>
      <c r="CY45" s="60"/>
      <c r="CZ45" s="61"/>
    </row>
    <row r="46" spans="2:106">
      <c r="B46" s="52" t="s">
        <v>17</v>
      </c>
      <c r="C46" s="57">
        <v>232.8</v>
      </c>
      <c r="D46" s="57">
        <v>276.60000000000002</v>
      </c>
      <c r="E46" s="57">
        <v>246.1</v>
      </c>
      <c r="F46" s="57">
        <v>257.3</v>
      </c>
      <c r="G46" s="57">
        <v>248.9</v>
      </c>
      <c r="H46" s="57">
        <v>261.60000000000002</v>
      </c>
      <c r="I46" s="57">
        <v>260.3</v>
      </c>
      <c r="J46" s="57">
        <v>265.3</v>
      </c>
      <c r="K46" s="57">
        <v>242</v>
      </c>
      <c r="L46" s="57">
        <v>276</v>
      </c>
      <c r="M46" s="57">
        <v>258</v>
      </c>
      <c r="N46" s="57">
        <v>270.3</v>
      </c>
      <c r="O46" s="57">
        <v>263.8</v>
      </c>
      <c r="P46" s="57">
        <v>278</v>
      </c>
      <c r="Q46" s="57">
        <v>263.2</v>
      </c>
      <c r="R46" s="57">
        <v>285.8</v>
      </c>
      <c r="S46" s="57">
        <v>261.10000000000002</v>
      </c>
      <c r="T46" s="57">
        <v>279.8</v>
      </c>
      <c r="U46" s="57">
        <v>265.7</v>
      </c>
      <c r="V46" s="57">
        <v>269</v>
      </c>
      <c r="W46" s="57">
        <v>256.89999999999998</v>
      </c>
      <c r="X46" s="57">
        <v>251.3</v>
      </c>
      <c r="Y46" s="57">
        <v>259.5</v>
      </c>
      <c r="Z46" s="57">
        <v>262.7</v>
      </c>
      <c r="AA46" s="57">
        <v>241.6</v>
      </c>
      <c r="AB46" s="57">
        <v>259.5</v>
      </c>
      <c r="AC46" s="57">
        <v>256.8</v>
      </c>
      <c r="AD46" s="57">
        <v>266.5</v>
      </c>
      <c r="AE46" s="57">
        <v>266.10000000000002</v>
      </c>
      <c r="AF46" s="57">
        <v>263.5</v>
      </c>
      <c r="AG46" s="57">
        <v>270.10000000000002</v>
      </c>
      <c r="AH46" s="57">
        <v>267.10000000000002</v>
      </c>
      <c r="AI46" s="57">
        <v>256.2</v>
      </c>
      <c r="AJ46" s="57">
        <v>265.89999999999998</v>
      </c>
      <c r="AK46" s="57">
        <v>247</v>
      </c>
      <c r="AL46" s="57">
        <f t="shared" ref="AL46:AP46" si="45">+AK46</f>
        <v>247</v>
      </c>
      <c r="AM46" s="57">
        <f t="shared" si="45"/>
        <v>247</v>
      </c>
      <c r="AN46" s="57">
        <f t="shared" si="45"/>
        <v>247</v>
      </c>
      <c r="AO46" s="57">
        <f t="shared" si="45"/>
        <v>247</v>
      </c>
      <c r="AP46" s="57">
        <f t="shared" si="45"/>
        <v>247</v>
      </c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5"/>
      <c r="CH46" s="57"/>
      <c r="CI46" s="57">
        <v>822</v>
      </c>
      <c r="CJ46" s="57">
        <v>922</v>
      </c>
      <c r="CK46" s="57">
        <v>1013</v>
      </c>
      <c r="CL46" s="57">
        <v>1036</v>
      </c>
      <c r="CM46" s="57">
        <f>SUM(K46:N46)</f>
        <v>1046.3</v>
      </c>
      <c r="CN46" s="57">
        <f>SUM(O46:R46)</f>
        <v>1090.8</v>
      </c>
      <c r="CO46" s="57">
        <f>SUM(S46:V46)</f>
        <v>1075.6000000000001</v>
      </c>
      <c r="CP46" s="57">
        <f>SUM(W46:Z46)</f>
        <v>1030.4000000000001</v>
      </c>
      <c r="CQ46" s="57">
        <f>SUM(AA46:AD46)</f>
        <v>1024.4000000000001</v>
      </c>
      <c r="CR46" s="57">
        <f>SUM(AE46:AH46)</f>
        <v>1066.8000000000002</v>
      </c>
      <c r="CS46" s="57">
        <f>SUM(AI46:AL46)</f>
        <v>1016.0999999999999</v>
      </c>
      <c r="CT46" s="57">
        <f>CS46*0.5</f>
        <v>508.04999999999995</v>
      </c>
      <c r="CU46" s="57">
        <f>CT46*0.5</f>
        <v>254.02499999999998</v>
      </c>
      <c r="CV46" s="57">
        <f>CU46*0.5</f>
        <v>127.01249999999999</v>
      </c>
      <c r="CW46" s="57">
        <f>CV46*0.5</f>
        <v>63.506249999999994</v>
      </c>
      <c r="CX46" s="57">
        <f>CW46*0.5</f>
        <v>31.753124999999997</v>
      </c>
      <c r="CY46" s="57">
        <f t="shared" ref="CY46" si="46">CX46*0.5</f>
        <v>15.876562499999999</v>
      </c>
      <c r="CZ46" s="57">
        <v>0</v>
      </c>
      <c r="DA46" s="57">
        <v>0</v>
      </c>
      <c r="DB46" s="57">
        <v>0</v>
      </c>
    </row>
    <row r="47" spans="2:106">
      <c r="B47" s="52" t="s">
        <v>210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5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60"/>
      <c r="CZ47" s="60"/>
    </row>
    <row r="48" spans="2:106">
      <c r="B48" s="59" t="s">
        <v>241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5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60"/>
      <c r="CZ48" s="60"/>
    </row>
    <row r="49" spans="2:193" s="59" customFormat="1">
      <c r="B49" s="59" t="s">
        <v>280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6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>
        <v>200</v>
      </c>
      <c r="CU49" s="58">
        <v>250</v>
      </c>
      <c r="CV49" s="58">
        <v>300</v>
      </c>
      <c r="CW49" s="58">
        <v>350</v>
      </c>
      <c r="CX49" s="58">
        <v>400</v>
      </c>
      <c r="CY49" s="58">
        <v>400</v>
      </c>
      <c r="CZ49" s="58">
        <v>400</v>
      </c>
      <c r="DA49" s="58">
        <v>400</v>
      </c>
      <c r="DB49" s="58">
        <v>400</v>
      </c>
    </row>
    <row r="50" spans="2:193" s="59" customFormat="1">
      <c r="B50" s="59" t="s">
        <v>327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6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>
        <v>200</v>
      </c>
      <c r="CU50" s="58">
        <v>250</v>
      </c>
      <c r="CV50" s="58">
        <v>300</v>
      </c>
      <c r="CW50" s="58">
        <v>350</v>
      </c>
      <c r="CX50" s="58">
        <v>400</v>
      </c>
      <c r="CY50" s="58">
        <v>400</v>
      </c>
      <c r="CZ50" s="58">
        <v>400</v>
      </c>
      <c r="DA50" s="58">
        <v>400</v>
      </c>
      <c r="DB50" s="58">
        <v>400</v>
      </c>
    </row>
    <row r="51" spans="2:193">
      <c r="B51" s="52" t="s">
        <v>80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>
        <v>155.19999999999999</v>
      </c>
      <c r="X51" s="57">
        <v>179.5</v>
      </c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5"/>
      <c r="CH51" s="57"/>
      <c r="CI51" s="57">
        <v>59</v>
      </c>
      <c r="CJ51" s="57">
        <v>58</v>
      </c>
      <c r="CK51" s="57">
        <v>57</v>
      </c>
      <c r="CL51" s="57">
        <v>69</v>
      </c>
      <c r="CM51" s="57">
        <v>65</v>
      </c>
      <c r="CN51" s="57">
        <v>65</v>
      </c>
      <c r="CO51" s="57">
        <v>65</v>
      </c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</row>
    <row r="52" spans="2:193">
      <c r="B52" s="52" t="s">
        <v>76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5"/>
      <c r="CH52" s="57"/>
      <c r="CI52" s="57">
        <v>35</v>
      </c>
      <c r="CJ52" s="57">
        <v>32</v>
      </c>
      <c r="CK52" s="57">
        <v>19</v>
      </c>
      <c r="CL52" s="57">
        <v>12</v>
      </c>
      <c r="CM52" s="57">
        <v>14</v>
      </c>
      <c r="CN52" s="57">
        <v>10</v>
      </c>
      <c r="CO52" s="57">
        <v>10</v>
      </c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</row>
    <row r="53" spans="2:193">
      <c r="B53" s="59" t="s">
        <v>252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>
        <f>5210.5-SUM(V5:V52)</f>
        <v>481.80000000000018</v>
      </c>
      <c r="W53" s="57">
        <f>4891.8-SUM(W5:W52)</f>
        <v>186.30000000000109</v>
      </c>
      <c r="X53" s="57">
        <f>5113.5-SUM(X5:X52)</f>
        <v>71.599999999999454</v>
      </c>
      <c r="Y53" s="57">
        <f>5562-SUM(Y5:Y48)</f>
        <v>424.29999999999927</v>
      </c>
      <c r="Z53" s="57">
        <f>5934-SUM(Z5:Z48)</f>
        <v>449</v>
      </c>
      <c r="AA53" s="57">
        <f>5485.5-SUM(AA5:AA48)</f>
        <v>390.59999999999945</v>
      </c>
      <c r="AB53" s="57">
        <f>5748.7-SUM(AB5:AB48)</f>
        <v>410.40000000000055</v>
      </c>
      <c r="AC53" s="57">
        <f>5654.8-SUM(AC5:AC48)</f>
        <v>381.39999999999964</v>
      </c>
      <c r="AD53" s="57"/>
      <c r="AE53" s="57">
        <f>5839.2-SUM(AE5:AE48)</f>
        <v>410.09999999999854</v>
      </c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8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5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Y53" s="53"/>
      <c r="CZ53" s="53"/>
      <c r="DA53" s="53"/>
      <c r="DB53" s="53"/>
    </row>
    <row r="54" spans="2:193" s="62" customFormat="1">
      <c r="B54" s="62" t="s">
        <v>386</v>
      </c>
      <c r="C54" s="63"/>
      <c r="D54" s="63"/>
      <c r="E54" s="63"/>
      <c r="F54" s="63">
        <f t="shared" ref="F54:AP54" si="47">SUM(F5:F53)</f>
        <v>3152.5080000000003</v>
      </c>
      <c r="G54" s="63">
        <f t="shared" si="47"/>
        <v>2999.8366336633662</v>
      </c>
      <c r="H54" s="63">
        <f t="shared" si="47"/>
        <v>3165.6</v>
      </c>
      <c r="I54" s="63">
        <f t="shared" si="47"/>
        <v>3164.1333333333337</v>
      </c>
      <c r="J54" s="63">
        <f t="shared" si="47"/>
        <v>3455.3000000000006</v>
      </c>
      <c r="K54" s="63">
        <f t="shared" si="47"/>
        <v>3227.7000000000003</v>
      </c>
      <c r="L54" s="63">
        <f t="shared" si="47"/>
        <v>3423</v>
      </c>
      <c r="M54" s="63">
        <f t="shared" si="47"/>
        <v>3699.7</v>
      </c>
      <c r="N54" s="63">
        <f t="shared" si="47"/>
        <v>5680.5999999999995</v>
      </c>
      <c r="O54" s="63">
        <f t="shared" si="47"/>
        <v>4236</v>
      </c>
      <c r="P54" s="63">
        <f t="shared" si="47"/>
        <v>4193.8</v>
      </c>
      <c r="Q54" s="63">
        <f t="shared" si="47"/>
        <v>5899.2999999999993</v>
      </c>
      <c r="R54" s="63">
        <f t="shared" si="47"/>
        <v>6665.7000000000007</v>
      </c>
      <c r="S54" s="63">
        <f t="shared" si="47"/>
        <v>6241.8000000000011</v>
      </c>
      <c r="T54" s="63">
        <f t="shared" si="47"/>
        <v>6703.5</v>
      </c>
      <c r="U54" s="63">
        <f t="shared" si="47"/>
        <v>6796.9000000000005</v>
      </c>
      <c r="V54" s="63">
        <f t="shared" ref="V54:AC54" si="48">SUM(V5:V53)</f>
        <v>5210.5</v>
      </c>
      <c r="W54" s="63">
        <f t="shared" si="48"/>
        <v>4891.8</v>
      </c>
      <c r="X54" s="63">
        <f t="shared" si="48"/>
        <v>5113.5</v>
      </c>
      <c r="Y54" s="63">
        <f t="shared" si="48"/>
        <v>5562</v>
      </c>
      <c r="Z54" s="63">
        <f t="shared" si="48"/>
        <v>5934</v>
      </c>
      <c r="AA54" s="63">
        <f t="shared" si="48"/>
        <v>5485.5</v>
      </c>
      <c r="AB54" s="63">
        <f t="shared" si="48"/>
        <v>5748.7</v>
      </c>
      <c r="AC54" s="63">
        <f t="shared" si="48"/>
        <v>5654.8</v>
      </c>
      <c r="AD54" s="63">
        <f t="shared" si="47"/>
        <v>6187.2000000000007</v>
      </c>
      <c r="AE54" s="63">
        <f>SUM(AE5:AE53)</f>
        <v>5839.2</v>
      </c>
      <c r="AF54" s="63">
        <f t="shared" si="47"/>
        <v>6252.7999999999984</v>
      </c>
      <c r="AG54" s="63">
        <f t="shared" si="47"/>
        <v>6148.1</v>
      </c>
      <c r="AH54" s="63">
        <f t="shared" si="47"/>
        <v>6047.3</v>
      </c>
      <c r="AI54" s="63">
        <f t="shared" si="47"/>
        <v>5602.4000000000005</v>
      </c>
      <c r="AJ54" s="63">
        <f t="shared" si="47"/>
        <v>5600.4999999999991</v>
      </c>
      <c r="AK54" s="63">
        <f t="shared" si="47"/>
        <v>5442.5</v>
      </c>
      <c r="AL54" s="63">
        <f t="shared" si="47"/>
        <v>5371.2</v>
      </c>
      <c r="AM54" s="63">
        <f t="shared" si="47"/>
        <v>5526.2</v>
      </c>
      <c r="AN54" s="63">
        <f t="shared" si="47"/>
        <v>5508.2</v>
      </c>
      <c r="AO54" s="63">
        <f t="shared" si="47"/>
        <v>5482.5</v>
      </c>
      <c r="AP54" s="63">
        <f t="shared" si="47"/>
        <v>5411.2</v>
      </c>
      <c r="AQ54" s="63">
        <f t="shared" ref="AQ54" si="49">SUM(AQ5:AQ53)</f>
        <v>0</v>
      </c>
      <c r="AR54" s="63">
        <f t="shared" ref="AR54" si="50">SUM(AR5:AR53)</f>
        <v>0</v>
      </c>
      <c r="AS54" s="63">
        <f t="shared" ref="AS54" si="51">SUM(AS5:AS53)</f>
        <v>0</v>
      </c>
      <c r="AT54" s="63">
        <f t="shared" ref="AT54" si="52">SUM(AT5:AT53)</f>
        <v>0</v>
      </c>
      <c r="AU54" s="63">
        <f t="shared" ref="AU54" si="53">SUM(AU5:AU53)</f>
        <v>0</v>
      </c>
      <c r="AV54" s="63">
        <f t="shared" ref="AV54" si="54">SUM(AV5:AV53)</f>
        <v>0</v>
      </c>
      <c r="AW54" s="63">
        <f t="shared" ref="AW54" si="55">SUM(AW5:AW53)</f>
        <v>0</v>
      </c>
      <c r="AX54" s="63">
        <f t="shared" ref="AX54" si="56">SUM(AX5:AX53)</f>
        <v>0</v>
      </c>
      <c r="AY54" s="63">
        <f t="shared" ref="AY54" si="57">SUM(AY5:AY53)</f>
        <v>0</v>
      </c>
      <c r="AZ54" s="63">
        <f t="shared" ref="AZ54" si="58">SUM(AZ5:AZ53)</f>
        <v>0</v>
      </c>
      <c r="BA54" s="63">
        <f t="shared" ref="BA54" si="59">SUM(BA5:BA53)</f>
        <v>0</v>
      </c>
      <c r="BB54" s="63">
        <f t="shared" ref="BB54" si="60">SUM(BB5:BB53)</f>
        <v>0</v>
      </c>
      <c r="BC54" s="63">
        <f t="shared" ref="BC54" si="61">SUM(BC5:BC53)</f>
        <v>0</v>
      </c>
      <c r="BD54" s="63">
        <f t="shared" ref="BD54" si="62">SUM(BD5:BD53)</f>
        <v>0</v>
      </c>
      <c r="BE54" s="63">
        <f t="shared" ref="BE54" si="63">SUM(BE5:BE53)</f>
        <v>0</v>
      </c>
      <c r="BF54" s="63">
        <f t="shared" ref="BF54" si="64">SUM(BF5:BF53)</f>
        <v>0</v>
      </c>
      <c r="BG54" s="63">
        <f t="shared" ref="BG54" si="65">SUM(BG5:BG53)</f>
        <v>0</v>
      </c>
      <c r="BH54" s="63">
        <f t="shared" ref="BH54" si="66">SUM(BH5:BH53)</f>
        <v>0</v>
      </c>
      <c r="BI54" s="63">
        <f t="shared" ref="BI54" si="67">SUM(BI5:BI53)</f>
        <v>0</v>
      </c>
      <c r="BJ54" s="63">
        <f t="shared" ref="BJ54" si="68">SUM(BJ5:BJ53)</f>
        <v>0</v>
      </c>
      <c r="BK54" s="63">
        <f t="shared" ref="BK54" si="69">SUM(BK5:BK53)</f>
        <v>5092.1000000000004</v>
      </c>
      <c r="BL54" s="63">
        <f t="shared" ref="BL54" si="70">SUM(BL5:BL53)</f>
        <v>5636.7000000000007</v>
      </c>
      <c r="BM54" s="63">
        <f t="shared" ref="BM54" si="71">SUM(BM5:BM53)</f>
        <v>5476.8</v>
      </c>
      <c r="BN54" s="63">
        <f t="shared" ref="BN54" si="72">SUM(BN5:BN53)</f>
        <v>6114.2999999999993</v>
      </c>
      <c r="BO54" s="63">
        <f t="shared" ref="BO54" si="73">SUM(BO5:BO53)</f>
        <v>6548.2999999999984</v>
      </c>
      <c r="BP54" s="63">
        <f t="shared" ref="BP54" si="74">SUM(BP5:BP53)</f>
        <v>6301.3000000000011</v>
      </c>
      <c r="BQ54" s="63">
        <f t="shared" ref="BQ54:BW54" si="75">SUM(BQ3:BQ28)</f>
        <v>6632.2</v>
      </c>
      <c r="BR54" s="63">
        <f t="shared" si="75"/>
        <v>7458.5999999999995</v>
      </c>
      <c r="BS54" s="63">
        <f t="shared" si="75"/>
        <v>6805.5999999999995</v>
      </c>
      <c r="BT54" s="63">
        <f t="shared" si="75"/>
        <v>6740.0999999999985</v>
      </c>
      <c r="BU54" s="63">
        <f t="shared" si="75"/>
        <v>6772.5999999999985</v>
      </c>
      <c r="BV54" s="63">
        <f t="shared" si="75"/>
        <v>7999.4999999999991</v>
      </c>
      <c r="BW54" s="63">
        <f t="shared" si="75"/>
        <v>7810.1</v>
      </c>
      <c r="BX54" s="63">
        <f t="shared" ref="BX54:CD54" si="76">SUM(BX3:BX28)</f>
        <v>5078.8030000000008</v>
      </c>
      <c r="BY54" s="63">
        <f t="shared" si="76"/>
        <v>5293.3509999999997</v>
      </c>
      <c r="BZ54" s="63">
        <f t="shared" si="76"/>
        <v>5729.735999999999</v>
      </c>
      <c r="CA54" s="63">
        <f t="shared" si="76"/>
        <v>5308.4309999999996</v>
      </c>
      <c r="CB54" s="63">
        <f t="shared" si="76"/>
        <v>5561.125039999999</v>
      </c>
      <c r="CC54" s="63">
        <f t="shared" si="76"/>
        <v>5742.8074299999989</v>
      </c>
      <c r="CD54" s="63">
        <f t="shared" si="76"/>
        <v>6314.2584300000008</v>
      </c>
      <c r="CE54" s="63"/>
      <c r="CF54" s="63"/>
      <c r="CG54" s="64"/>
      <c r="CH54" s="63">
        <v>11629</v>
      </c>
      <c r="CI54" s="63">
        <f t="shared" ref="CI54:DB54" si="77">SUM(CI5:CI53)</f>
        <v>11077</v>
      </c>
      <c r="CJ54" s="63">
        <f t="shared" si="77"/>
        <v>12585</v>
      </c>
      <c r="CK54" s="63">
        <f t="shared" si="77"/>
        <v>13859</v>
      </c>
      <c r="CL54" s="63">
        <f t="shared" si="77"/>
        <v>14650</v>
      </c>
      <c r="CM54" s="63">
        <f t="shared" si="77"/>
        <v>15783.499999999998</v>
      </c>
      <c r="CN54" s="63">
        <f t="shared" si="77"/>
        <v>18492.3</v>
      </c>
      <c r="CO54" s="63">
        <f t="shared" si="77"/>
        <v>19604.942499999997</v>
      </c>
      <c r="CP54" s="63">
        <f t="shared" si="77"/>
        <v>20974.425125000002</v>
      </c>
      <c r="CQ54" s="63">
        <f t="shared" si="77"/>
        <v>21893.8</v>
      </c>
      <c r="CR54" s="63">
        <f t="shared" si="77"/>
        <v>23877.3</v>
      </c>
      <c r="CS54" s="63">
        <f t="shared" si="77"/>
        <v>22016.6</v>
      </c>
      <c r="CT54" s="63">
        <f t="shared" si="77"/>
        <v>21978.462</v>
      </c>
      <c r="CU54" s="63">
        <f t="shared" si="77"/>
        <v>18565.722930000007</v>
      </c>
      <c r="CV54" s="63">
        <f t="shared" si="77"/>
        <v>17227.457270700001</v>
      </c>
      <c r="CW54" s="63">
        <f t="shared" si="77"/>
        <v>13815.232424368003</v>
      </c>
      <c r="CX54" s="63">
        <f t="shared" si="77"/>
        <v>9963.845022205569</v>
      </c>
      <c r="CY54" s="63">
        <f t="shared" si="77"/>
        <v>9480.7164519716407</v>
      </c>
      <c r="CZ54" s="63">
        <f t="shared" si="77"/>
        <v>9237.7062961059564</v>
      </c>
      <c r="DA54" s="63">
        <f t="shared" si="77"/>
        <v>9352.7808463294805</v>
      </c>
      <c r="DB54" s="63">
        <f t="shared" si="77"/>
        <v>9494.9228793869715</v>
      </c>
    </row>
    <row r="55" spans="2:193">
      <c r="B55" s="52" t="s">
        <v>58</v>
      </c>
      <c r="C55" s="57"/>
      <c r="D55" s="57"/>
      <c r="E55" s="57"/>
      <c r="F55" s="57">
        <v>865.7</v>
      </c>
      <c r="G55" s="57">
        <v>859</v>
      </c>
      <c r="H55" s="57">
        <v>871.3</v>
      </c>
      <c r="I55" s="57">
        <v>845.7</v>
      </c>
      <c r="J55" s="57">
        <v>898.2</v>
      </c>
      <c r="K55" s="57">
        <v>806.5</v>
      </c>
      <c r="L55" s="53">
        <v>861</v>
      </c>
      <c r="M55" s="57">
        <v>906.2</v>
      </c>
      <c r="N55" s="57">
        <v>1066.7</v>
      </c>
      <c r="O55" s="57">
        <v>922.5</v>
      </c>
      <c r="P55" s="57">
        <v>998.9</v>
      </c>
      <c r="Q55" s="57">
        <v>1054.5999999999999</v>
      </c>
      <c r="R55" s="57">
        <v>1272.8</v>
      </c>
      <c r="S55" s="57">
        <v>1111.3</v>
      </c>
      <c r="T55" s="57">
        <v>1200.9000000000001</v>
      </c>
      <c r="U55" s="57">
        <v>1155.2</v>
      </c>
      <c r="V55" s="57">
        <v>899.6</v>
      </c>
      <c r="W55" s="57">
        <v>816.4</v>
      </c>
      <c r="X55" s="57">
        <v>947.4</v>
      </c>
      <c r="Y55" s="57">
        <v>1051.9000000000001</v>
      </c>
      <c r="Z55" s="57">
        <v>1431.3</v>
      </c>
      <c r="AA55" s="57">
        <v>1122.5</v>
      </c>
      <c r="AB55" s="57">
        <v>1023.9</v>
      </c>
      <c r="AC55" s="57">
        <v>987.6</v>
      </c>
      <c r="AD55" s="57">
        <v>1232.2</v>
      </c>
      <c r="AE55" s="57">
        <v>1180.0999999999999</v>
      </c>
      <c r="AF55" s="57">
        <v>1228</v>
      </c>
      <c r="AG55" s="57">
        <v>1338.1</v>
      </c>
      <c r="AH55" s="57">
        <v>1321.7</v>
      </c>
      <c r="AI55" s="57">
        <v>1197.9000000000001</v>
      </c>
      <c r="AJ55" s="57">
        <v>1146.7</v>
      </c>
      <c r="AK55" s="57">
        <v>1203.5999999999999</v>
      </c>
      <c r="AL55" s="57">
        <f>+AH55</f>
        <v>1321.7</v>
      </c>
      <c r="AM55" s="57">
        <f>+AI55</f>
        <v>1197.9000000000001</v>
      </c>
      <c r="AN55" s="57">
        <f t="shared" ref="AN55:AP55" si="78">+AJ55</f>
        <v>1146.7</v>
      </c>
      <c r="AO55" s="57">
        <f t="shared" si="78"/>
        <v>1203.5999999999999</v>
      </c>
      <c r="AP55" s="57">
        <f t="shared" si="78"/>
        <v>1321.7</v>
      </c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>
        <v>1010.5</v>
      </c>
      <c r="BL55" s="57">
        <v>1073.3</v>
      </c>
      <c r="BM55" s="57">
        <v>1118.4000000000001</v>
      </c>
      <c r="BN55" s="57">
        <v>1229.4000000000001</v>
      </c>
      <c r="BO55" s="57">
        <v>1156.5</v>
      </c>
      <c r="BP55" s="57">
        <v>1119.2</v>
      </c>
      <c r="BQ55" s="57">
        <v>1199.9000000000001</v>
      </c>
      <c r="BR55" s="57">
        <v>1719.8</v>
      </c>
      <c r="BS55" s="57">
        <v>1671.4</v>
      </c>
      <c r="BT55" s="57">
        <v>1398</v>
      </c>
      <c r="BU55" s="57">
        <v>1421.8</v>
      </c>
      <c r="BV55" s="57">
        <v>2050.1999999999998</v>
      </c>
      <c r="BW55" s="57">
        <v>1867.5</v>
      </c>
      <c r="BX55" s="57"/>
      <c r="BY55" s="57"/>
      <c r="BZ55" s="57"/>
      <c r="CA55" s="57"/>
      <c r="CB55" s="57"/>
      <c r="CC55" s="57"/>
      <c r="CD55" s="57"/>
      <c r="CE55" s="57"/>
      <c r="CF55" s="57"/>
      <c r="CH55" s="57">
        <v>2160</v>
      </c>
      <c r="CI55" s="57">
        <v>2177</v>
      </c>
      <c r="CJ55" s="57">
        <v>2675</v>
      </c>
      <c r="CK55" s="57">
        <v>3224</v>
      </c>
      <c r="CL55" s="57">
        <v>3474</v>
      </c>
      <c r="CM55" s="57">
        <v>3501</v>
      </c>
      <c r="CN55" s="57">
        <f>CN54-CN56</f>
        <v>4068.3059999999987</v>
      </c>
      <c r="CO55" s="57">
        <f>CO54-CO56</f>
        <v>-980.75750000000698</v>
      </c>
      <c r="CP55" s="57">
        <f>CP54-CP56</f>
        <v>3720.1251250000023</v>
      </c>
      <c r="CQ55" s="57">
        <f>SUM(AA55:AD55)</f>
        <v>4366.2</v>
      </c>
      <c r="CR55" s="57">
        <f>SUM(AE55:AH55)</f>
        <v>5067.8999999999996</v>
      </c>
      <c r="CS55" s="57">
        <f>SUM(AI55:AL55)</f>
        <v>4869.9000000000005</v>
      </c>
      <c r="CT55" s="57">
        <f t="shared" ref="CT55:CW55" si="79">CT54-CT56</f>
        <v>4285.8000900000006</v>
      </c>
      <c r="CU55" s="57">
        <f t="shared" si="79"/>
        <v>3713.1445860000003</v>
      </c>
      <c r="CV55" s="57">
        <f t="shared" si="79"/>
        <v>3445.4914541399994</v>
      </c>
      <c r="CW55" s="57">
        <f t="shared" si="79"/>
        <v>2832.1226469954399</v>
      </c>
      <c r="CX55" s="57">
        <f>CX54-CX56</f>
        <v>2042.5882295521415</v>
      </c>
      <c r="CY55" s="57">
        <f t="shared" ref="CY55:DB55" si="80">CY54-CY56</f>
        <v>1943.5468726541858</v>
      </c>
      <c r="CZ55" s="57">
        <f t="shared" si="80"/>
        <v>1893.729790701721</v>
      </c>
      <c r="DA55" s="57">
        <f t="shared" si="80"/>
        <v>1917.3200734975435</v>
      </c>
      <c r="DB55" s="57">
        <f t="shared" si="80"/>
        <v>1946.4591902743286</v>
      </c>
    </row>
    <row r="56" spans="2:193">
      <c r="B56" s="52" t="s">
        <v>123</v>
      </c>
      <c r="C56" s="57"/>
      <c r="D56" s="57"/>
      <c r="E56" s="57"/>
      <c r="F56" s="57">
        <f t="shared" ref="F56:N56" si="81">F54-F55</f>
        <v>2286.808</v>
      </c>
      <c r="G56" s="57">
        <f t="shared" si="81"/>
        <v>2140.8366336633662</v>
      </c>
      <c r="H56" s="57">
        <f t="shared" si="81"/>
        <v>2294.3000000000002</v>
      </c>
      <c r="I56" s="57">
        <f t="shared" si="81"/>
        <v>2318.4333333333334</v>
      </c>
      <c r="J56" s="57">
        <f t="shared" si="81"/>
        <v>2557.1000000000004</v>
      </c>
      <c r="K56" s="57">
        <f t="shared" si="81"/>
        <v>2421.2000000000003</v>
      </c>
      <c r="L56" s="57">
        <f t="shared" si="81"/>
        <v>2562</v>
      </c>
      <c r="M56" s="57">
        <f t="shared" si="81"/>
        <v>2793.5</v>
      </c>
      <c r="N56" s="57">
        <f t="shared" si="81"/>
        <v>4613.8999999999996</v>
      </c>
      <c r="O56" s="57">
        <f t="shared" ref="O56:W56" si="82">O54-O55</f>
        <v>3313.5</v>
      </c>
      <c r="P56" s="57">
        <f t="shared" si="82"/>
        <v>3194.9</v>
      </c>
      <c r="Q56" s="57">
        <f t="shared" si="82"/>
        <v>4844.6999999999989</v>
      </c>
      <c r="R56" s="57">
        <f t="shared" si="82"/>
        <v>5392.9000000000005</v>
      </c>
      <c r="S56" s="57">
        <f t="shared" si="82"/>
        <v>5130.5000000000009</v>
      </c>
      <c r="T56" s="57">
        <f t="shared" si="82"/>
        <v>5502.6</v>
      </c>
      <c r="U56" s="57">
        <f t="shared" si="82"/>
        <v>5641.7000000000007</v>
      </c>
      <c r="V56" s="57">
        <f t="shared" si="82"/>
        <v>4310.8999999999996</v>
      </c>
      <c r="W56" s="57">
        <f t="shared" si="82"/>
        <v>4075.4</v>
      </c>
      <c r="X56" s="57">
        <f t="shared" ref="X56:AC56" si="83">X54-X55</f>
        <v>4166.1000000000004</v>
      </c>
      <c r="Y56" s="57">
        <f t="shared" si="83"/>
        <v>4510.1000000000004</v>
      </c>
      <c r="Z56" s="57">
        <f t="shared" si="83"/>
        <v>4502.7</v>
      </c>
      <c r="AA56" s="57">
        <f t="shared" si="83"/>
        <v>4363</v>
      </c>
      <c r="AB56" s="57">
        <f t="shared" si="83"/>
        <v>4724.8</v>
      </c>
      <c r="AC56" s="57">
        <f t="shared" si="83"/>
        <v>4667.2</v>
      </c>
      <c r="AD56" s="57">
        <f>+AD54-AD55</f>
        <v>4955.0000000000009</v>
      </c>
      <c r="AE56" s="57">
        <f>+AE54-AE55</f>
        <v>4659.1000000000004</v>
      </c>
      <c r="AF56" s="57">
        <f>AF54-AF55</f>
        <v>5024.7999999999984</v>
      </c>
      <c r="AG56" s="57">
        <f>AG54-AG55</f>
        <v>4810</v>
      </c>
      <c r="AH56" s="57">
        <f>+AH54-AH55</f>
        <v>4725.6000000000004</v>
      </c>
      <c r="AI56" s="57">
        <f>+AI54-AI55</f>
        <v>4404.5</v>
      </c>
      <c r="AJ56" s="57">
        <f>+AJ54-AJ55</f>
        <v>4453.7999999999993</v>
      </c>
      <c r="AK56" s="57">
        <f>+AK54-AK55</f>
        <v>4238.8999999999996</v>
      </c>
      <c r="AL56" s="57">
        <f>+AL54-AL55</f>
        <v>4049.5</v>
      </c>
      <c r="AM56" s="57">
        <f t="shared" ref="AM56:AP56" si="84">+AM54-AM55</f>
        <v>4328.2999999999993</v>
      </c>
      <c r="AN56" s="57">
        <f t="shared" si="84"/>
        <v>4361.5</v>
      </c>
      <c r="AO56" s="57">
        <f t="shared" si="84"/>
        <v>4278.8999999999996</v>
      </c>
      <c r="AP56" s="57">
        <f t="shared" si="84"/>
        <v>4089.5</v>
      </c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>
        <f t="shared" ref="BK56:BW56" si="85">BK54-BK55</f>
        <v>4081.6000000000004</v>
      </c>
      <c r="BL56" s="57">
        <f t="shared" si="85"/>
        <v>4563.4000000000005</v>
      </c>
      <c r="BM56" s="57">
        <f t="shared" si="85"/>
        <v>4358.3999999999996</v>
      </c>
      <c r="BN56" s="57">
        <f t="shared" si="85"/>
        <v>4884.8999999999996</v>
      </c>
      <c r="BO56" s="57">
        <f t="shared" si="85"/>
        <v>5391.7999999999984</v>
      </c>
      <c r="BP56" s="57">
        <f t="shared" si="85"/>
        <v>5182.1000000000013</v>
      </c>
      <c r="BQ56" s="57">
        <f t="shared" si="85"/>
        <v>5432.2999999999993</v>
      </c>
      <c r="BR56" s="57">
        <f t="shared" si="85"/>
        <v>5738.7999999999993</v>
      </c>
      <c r="BS56" s="57">
        <f t="shared" si="85"/>
        <v>5134.1999999999989</v>
      </c>
      <c r="BT56" s="57">
        <f t="shared" si="85"/>
        <v>5342.0999999999985</v>
      </c>
      <c r="BU56" s="57">
        <f t="shared" si="85"/>
        <v>5350.7999999999984</v>
      </c>
      <c r="BV56" s="57">
        <f t="shared" si="85"/>
        <v>5949.2999999999993</v>
      </c>
      <c r="BW56" s="57">
        <f t="shared" si="85"/>
        <v>5942.6</v>
      </c>
      <c r="BX56" s="57"/>
      <c r="BY56" s="57"/>
      <c r="BZ56" s="57"/>
      <c r="CA56" s="57"/>
      <c r="CB56" s="57"/>
      <c r="CC56" s="57"/>
      <c r="CD56" s="57"/>
      <c r="CE56" s="57"/>
      <c r="CF56" s="57"/>
      <c r="CH56" s="57">
        <f t="shared" ref="CH56:CM56" si="86">CH54-CH55</f>
        <v>9469</v>
      </c>
      <c r="CI56" s="57">
        <f t="shared" si="86"/>
        <v>8900</v>
      </c>
      <c r="CJ56" s="57">
        <f t="shared" si="86"/>
        <v>9910</v>
      </c>
      <c r="CK56" s="57">
        <f t="shared" si="86"/>
        <v>10635</v>
      </c>
      <c r="CL56" s="57">
        <f t="shared" si="86"/>
        <v>11176</v>
      </c>
      <c r="CM56" s="57">
        <f t="shared" si="86"/>
        <v>12282.499999999998</v>
      </c>
      <c r="CN56" s="57">
        <f>CN54*CN75</f>
        <v>14423.994000000001</v>
      </c>
      <c r="CO56" s="57">
        <f>SUM(S56:V56)</f>
        <v>20585.700000000004</v>
      </c>
      <c r="CP56" s="57">
        <f>SUM(W56:Z56)</f>
        <v>17254.3</v>
      </c>
      <c r="CQ56" s="57">
        <f>CQ54-CQ55</f>
        <v>17527.599999999999</v>
      </c>
      <c r="CR56" s="57">
        <f>CR54-CR55</f>
        <v>18809.400000000001</v>
      </c>
      <c r="CS56" s="57">
        <f>CS54-CS55</f>
        <v>17146.699999999997</v>
      </c>
      <c r="CT56" s="57">
        <f t="shared" ref="CT56:DB56" si="87">CT54*CT75</f>
        <v>17692.661909999999</v>
      </c>
      <c r="CU56" s="57">
        <f t="shared" si="87"/>
        <v>14852.578344000007</v>
      </c>
      <c r="CV56" s="57">
        <f t="shared" si="87"/>
        <v>13781.965816560001</v>
      </c>
      <c r="CW56" s="57">
        <f t="shared" si="87"/>
        <v>10983.109777372563</v>
      </c>
      <c r="CX56" s="57">
        <f t="shared" si="87"/>
        <v>7921.2567926534275</v>
      </c>
      <c r="CY56" s="57">
        <f t="shared" si="87"/>
        <v>7537.1695793174549</v>
      </c>
      <c r="CZ56" s="57">
        <f t="shared" si="87"/>
        <v>7343.9765054042355</v>
      </c>
      <c r="DA56" s="57">
        <f t="shared" si="87"/>
        <v>7435.460772831937</v>
      </c>
      <c r="DB56" s="57">
        <f t="shared" si="87"/>
        <v>7548.4636891126429</v>
      </c>
    </row>
    <row r="57" spans="2:193">
      <c r="B57" s="52" t="s">
        <v>59</v>
      </c>
      <c r="C57" s="57"/>
      <c r="D57" s="57"/>
      <c r="E57" s="57"/>
      <c r="F57" s="57">
        <v>1098</v>
      </c>
      <c r="G57" s="57">
        <v>1090</v>
      </c>
      <c r="H57" s="57">
        <v>1146.0999999999999</v>
      </c>
      <c r="I57" s="57">
        <v>1070.9000000000001</v>
      </c>
      <c r="J57" s="57">
        <v>1190</v>
      </c>
      <c r="K57" s="57">
        <v>1143</v>
      </c>
      <c r="L57" s="57">
        <v>1238</v>
      </c>
      <c r="M57" s="57">
        <v>1302.3</v>
      </c>
      <c r="N57" s="57">
        <v>1422.1</v>
      </c>
      <c r="O57" s="57">
        <v>1336.8</v>
      </c>
      <c r="P57" s="57">
        <v>1524.7</v>
      </c>
      <c r="Q57" s="57">
        <v>1477.8</v>
      </c>
      <c r="R57" s="57">
        <v>1755.8</v>
      </c>
      <c r="S57" s="57">
        <v>1550.5</v>
      </c>
      <c r="T57" s="57">
        <v>1700.1</v>
      </c>
      <c r="U57" s="57">
        <v>1649.2</v>
      </c>
      <c r="V57" s="57">
        <v>1718.6</v>
      </c>
      <c r="W57" s="57">
        <v>1529.2</v>
      </c>
      <c r="X57" s="57">
        <v>1708.2</v>
      </c>
      <c r="Y57" s="57">
        <v>1701.8</v>
      </c>
      <c r="Z57" s="57">
        <v>1953.3</v>
      </c>
      <c r="AA57" s="57">
        <v>1614.4</v>
      </c>
      <c r="AB57" s="57">
        <v>1755.4</v>
      </c>
      <c r="AC57" s="57">
        <v>1694.9</v>
      </c>
      <c r="AD57" s="57">
        <v>1988.7</v>
      </c>
      <c r="AE57" s="57">
        <v>1785.7</v>
      </c>
      <c r="AF57" s="57">
        <v>2043</v>
      </c>
      <c r="AG57" s="57">
        <v>1917.8</v>
      </c>
      <c r="AH57" s="57">
        <v>2133.4</v>
      </c>
      <c r="AI57" s="57">
        <v>1847.5</v>
      </c>
      <c r="AJ57" s="57">
        <v>1931.1</v>
      </c>
      <c r="AK57" s="57">
        <v>1757.4</v>
      </c>
      <c r="AL57" s="57">
        <f>+AH57-200</f>
        <v>1933.4</v>
      </c>
      <c r="AM57" s="57">
        <f>+AI57</f>
        <v>1847.5</v>
      </c>
      <c r="AN57" s="57">
        <f t="shared" ref="AN57:AN58" si="88">+AJ57</f>
        <v>1931.1</v>
      </c>
      <c r="AO57" s="57">
        <f t="shared" ref="AO57:AO58" si="89">+AK57</f>
        <v>1757.4</v>
      </c>
      <c r="AP57" s="57">
        <f t="shared" ref="AP57:AP58" si="90">+AL57</f>
        <v>1933.4</v>
      </c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>
        <v>1517.1</v>
      </c>
      <c r="BL57" s="57">
        <v>1586.3</v>
      </c>
      <c r="BM57" s="57">
        <v>1412.3</v>
      </c>
      <c r="BN57" s="57">
        <v>1698.1</v>
      </c>
      <c r="BO57" s="57">
        <v>1549.6</v>
      </c>
      <c r="BP57" s="57">
        <v>1448.6</v>
      </c>
      <c r="BQ57" s="57">
        <v>1569.1</v>
      </c>
      <c r="BR57" s="57">
        <v>1553.9</v>
      </c>
      <c r="BS57" s="57">
        <v>1576</v>
      </c>
      <c r="BT57" s="57">
        <v>1685.7</v>
      </c>
      <c r="BU57" s="57">
        <v>1577.9</v>
      </c>
      <c r="BV57" s="57">
        <v>1592</v>
      </c>
      <c r="BW57" s="57">
        <v>1557.9</v>
      </c>
      <c r="BX57" s="57"/>
      <c r="BY57" s="57"/>
      <c r="BZ57" s="57"/>
      <c r="CA57" s="57"/>
      <c r="CB57" s="57"/>
      <c r="CC57" s="57"/>
      <c r="CD57" s="57"/>
      <c r="CE57" s="57"/>
      <c r="CF57" s="57"/>
      <c r="CH57" s="57">
        <v>3417</v>
      </c>
      <c r="CI57" s="57">
        <v>3424</v>
      </c>
      <c r="CJ57" s="57">
        <v>4055</v>
      </c>
      <c r="CK57" s="57">
        <v>4284</v>
      </c>
      <c r="CL57" s="57">
        <v>4497</v>
      </c>
      <c r="CM57" s="57">
        <v>4752</v>
      </c>
      <c r="CN57" s="57">
        <f>CM57*1.03</f>
        <v>4894.5600000000004</v>
      </c>
      <c r="CO57" s="57">
        <f>SUM(S57:V57)</f>
        <v>6618.4</v>
      </c>
      <c r="CP57" s="57">
        <f>SUM(W57:Z57)</f>
        <v>6892.5</v>
      </c>
      <c r="CQ57" s="57">
        <f>SUM(AA57:AD57)</f>
        <v>7053.4000000000005</v>
      </c>
      <c r="CR57" s="57">
        <f t="shared" ref="CR57:CR58" si="91">SUM(AE57:AH57)</f>
        <v>7879.9</v>
      </c>
      <c r="CS57" s="57">
        <f t="shared" ref="CS57" si="92">SUM(AI57:AL57)</f>
        <v>7469.4</v>
      </c>
      <c r="CT57" s="57">
        <f>CS57*0.95</f>
        <v>7095.9299999999994</v>
      </c>
      <c r="CU57" s="57">
        <f>CT57*0.8</f>
        <v>5676.7439999999997</v>
      </c>
      <c r="CV57" s="57">
        <f>CU57*0.95</f>
        <v>5392.9067999999997</v>
      </c>
      <c r="CW57" s="57">
        <f>+CV57*0.9</f>
        <v>4853.6161199999997</v>
      </c>
      <c r="CX57" s="57">
        <f>+CW57*0.9</f>
        <v>4368.254508</v>
      </c>
      <c r="CY57" s="57">
        <f t="shared" ref="CY57:DB57" si="93">+CX57*0.9</f>
        <v>3931.4290572</v>
      </c>
      <c r="CZ57" s="57">
        <f t="shared" si="93"/>
        <v>3538.2861514800002</v>
      </c>
      <c r="DA57" s="57">
        <f t="shared" si="93"/>
        <v>3184.457536332</v>
      </c>
      <c r="DB57" s="57">
        <f t="shared" si="93"/>
        <v>2866.0117826988003</v>
      </c>
    </row>
    <row r="58" spans="2:193">
      <c r="B58" s="52" t="s">
        <v>60</v>
      </c>
      <c r="C58" s="57"/>
      <c r="D58" s="57"/>
      <c r="E58" s="57"/>
      <c r="F58" s="57">
        <v>706</v>
      </c>
      <c r="G58" s="57">
        <v>702</v>
      </c>
      <c r="H58" s="57">
        <v>762.4</v>
      </c>
      <c r="I58" s="57">
        <v>751</v>
      </c>
      <c r="J58" s="57">
        <v>810</v>
      </c>
      <c r="K58" s="57">
        <v>741</v>
      </c>
      <c r="L58" s="57">
        <v>775</v>
      </c>
      <c r="M58" s="57">
        <v>788.8</v>
      </c>
      <c r="N58" s="57">
        <v>890</v>
      </c>
      <c r="O58" s="57">
        <v>834.2</v>
      </c>
      <c r="P58" s="57">
        <v>854.4</v>
      </c>
      <c r="Q58" s="57">
        <v>844.5</v>
      </c>
      <c r="R58" s="57">
        <v>953.6</v>
      </c>
      <c r="S58" s="57">
        <v>877.1</v>
      </c>
      <c r="T58" s="57">
        <v>951.5</v>
      </c>
      <c r="U58" s="57">
        <v>953</v>
      </c>
      <c r="V58" s="57">
        <v>1036.0999999999999</v>
      </c>
      <c r="W58" s="57">
        <v>947.3</v>
      </c>
      <c r="X58" s="57">
        <v>1040.4000000000001</v>
      </c>
      <c r="Y58" s="57">
        <v>1122.0999999999999</v>
      </c>
      <c r="Z58" s="57">
        <v>1216.7</v>
      </c>
      <c r="AA58" s="57">
        <v>1039.0999999999999</v>
      </c>
      <c r="AB58" s="57">
        <v>1187.2</v>
      </c>
      <c r="AC58" s="57">
        <v>1219.8</v>
      </c>
      <c r="AD58" s="57">
        <v>1438.1</v>
      </c>
      <c r="AE58" s="57">
        <v>1124</v>
      </c>
      <c r="AF58" s="57">
        <v>1260.5999999999999</v>
      </c>
      <c r="AG58" s="57">
        <v>1280.9000000000001</v>
      </c>
      <c r="AH58" s="57">
        <v>1355.3</v>
      </c>
      <c r="AI58" s="57">
        <v>1151.5</v>
      </c>
      <c r="AJ58" s="57">
        <v>1320.7</v>
      </c>
      <c r="AK58" s="57">
        <v>1342.8</v>
      </c>
      <c r="AL58" s="57">
        <f>+AH58-50</f>
        <v>1305.3</v>
      </c>
      <c r="AM58" s="57">
        <f t="shared" ref="AM58" si="94">+AI58</f>
        <v>1151.5</v>
      </c>
      <c r="AN58" s="57">
        <f t="shared" si="88"/>
        <v>1320.7</v>
      </c>
      <c r="AO58" s="57">
        <f t="shared" si="89"/>
        <v>1342.8</v>
      </c>
      <c r="AP58" s="57">
        <f t="shared" si="90"/>
        <v>1305.3</v>
      </c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>
        <v>1230.5</v>
      </c>
      <c r="BL58" s="57">
        <v>1402.2</v>
      </c>
      <c r="BM58" s="57">
        <v>1380.9</v>
      </c>
      <c r="BN58" s="57">
        <v>1581.4</v>
      </c>
      <c r="BO58" s="57">
        <v>1392.1</v>
      </c>
      <c r="BP58" s="57">
        <v>1390.2</v>
      </c>
      <c r="BQ58" s="57">
        <v>1465.4</v>
      </c>
      <c r="BR58" s="57">
        <v>1838</v>
      </c>
      <c r="BS58" s="57">
        <v>1672.1</v>
      </c>
      <c r="BT58" s="57">
        <v>1672.8</v>
      </c>
      <c r="BU58" s="57">
        <v>1708.9</v>
      </c>
      <c r="BV58" s="57">
        <v>1959.4</v>
      </c>
      <c r="BW58" s="57">
        <v>1610.1</v>
      </c>
      <c r="BX58" s="57"/>
      <c r="BY58" s="57"/>
      <c r="BZ58" s="57"/>
      <c r="CA58" s="57"/>
      <c r="CB58" s="57"/>
      <c r="CC58" s="57"/>
      <c r="CD58" s="57"/>
      <c r="CE58" s="57"/>
      <c r="CF58" s="57"/>
      <c r="CH58" s="57">
        <v>2235</v>
      </c>
      <c r="CI58" s="57">
        <v>2149</v>
      </c>
      <c r="CJ58" s="57">
        <v>2350</v>
      </c>
      <c r="CK58" s="57">
        <v>2691</v>
      </c>
      <c r="CL58" s="57">
        <v>3026</v>
      </c>
      <c r="CM58" s="57">
        <v>3130</v>
      </c>
      <c r="CN58" s="57">
        <f>CM58*1.02</f>
        <v>3192.6</v>
      </c>
      <c r="CO58" s="57">
        <f>SUM(S58:V58)</f>
        <v>3817.7</v>
      </c>
      <c r="CP58" s="57">
        <f>SUM(W58:Z58)</f>
        <v>4326.5</v>
      </c>
      <c r="CQ58" s="57">
        <f>SUM(AA58:AD58)</f>
        <v>4884.2000000000007</v>
      </c>
      <c r="CR58" s="57">
        <f t="shared" si="91"/>
        <v>5020.8</v>
      </c>
      <c r="CS58" s="57">
        <f>SUM(AI58:AL58)</f>
        <v>5120.3</v>
      </c>
      <c r="CT58" s="57"/>
      <c r="CU58" s="57"/>
      <c r="CV58" s="57"/>
      <c r="CW58" s="57"/>
      <c r="CX58" s="57"/>
      <c r="CY58" s="60"/>
      <c r="CZ58" s="60"/>
    </row>
    <row r="59" spans="2:193">
      <c r="B59" s="59" t="s">
        <v>253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>
        <f t="shared" ref="V59:AA59" si="95">V58+V57</f>
        <v>2754.7</v>
      </c>
      <c r="W59" s="57">
        <f t="shared" si="95"/>
        <v>2476.5</v>
      </c>
      <c r="X59" s="57">
        <f t="shared" si="95"/>
        <v>2748.6000000000004</v>
      </c>
      <c r="Y59" s="57">
        <f t="shared" si="95"/>
        <v>2823.8999999999996</v>
      </c>
      <c r="Z59" s="57">
        <f t="shared" si="95"/>
        <v>3170</v>
      </c>
      <c r="AA59" s="57">
        <f t="shared" si="95"/>
        <v>2653.5</v>
      </c>
      <c r="AB59" s="57">
        <f t="shared" ref="AB59:AD59" si="96">AB58+AB57</f>
        <v>2942.6000000000004</v>
      </c>
      <c r="AC59" s="57">
        <f t="shared" si="96"/>
        <v>2914.7</v>
      </c>
      <c r="AD59" s="57">
        <f t="shared" si="96"/>
        <v>3426.8</v>
      </c>
      <c r="AE59" s="57">
        <f>AE58+AE57</f>
        <v>2909.7</v>
      </c>
      <c r="AF59" s="57">
        <f>AF58+AF57</f>
        <v>3303.6</v>
      </c>
      <c r="AG59" s="57">
        <f>AG58+AG57</f>
        <v>3198.7</v>
      </c>
      <c r="AH59" s="57">
        <f>AH58+AH57</f>
        <v>3488.7</v>
      </c>
      <c r="AI59" s="57">
        <f>+AI58+AI57</f>
        <v>2999</v>
      </c>
      <c r="AJ59" s="57">
        <f>+AJ58+AJ57</f>
        <v>3251.8</v>
      </c>
      <c r="AK59" s="57">
        <f>+AK58+AK57</f>
        <v>3100.2</v>
      </c>
      <c r="AL59" s="57">
        <f>+AL58+AL57</f>
        <v>3238.7</v>
      </c>
      <c r="AM59" s="57">
        <f t="shared" ref="AM59:AP59" si="97">+AM58+AM57</f>
        <v>2999</v>
      </c>
      <c r="AN59" s="57">
        <f t="shared" si="97"/>
        <v>3251.8</v>
      </c>
      <c r="AO59" s="57">
        <f t="shared" si="97"/>
        <v>3100.2</v>
      </c>
      <c r="AP59" s="57">
        <f t="shared" si="97"/>
        <v>3238.7</v>
      </c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>
        <f t="shared" ref="BK59:BW59" si="98">SUM(BK57:BK58)</f>
        <v>2747.6</v>
      </c>
      <c r="BL59" s="57">
        <f t="shared" si="98"/>
        <v>2988.5</v>
      </c>
      <c r="BM59" s="57">
        <f t="shared" si="98"/>
        <v>2793.2</v>
      </c>
      <c r="BN59" s="57">
        <f t="shared" si="98"/>
        <v>3279.5</v>
      </c>
      <c r="BO59" s="57">
        <f t="shared" si="98"/>
        <v>2941.7</v>
      </c>
      <c r="BP59" s="57">
        <f t="shared" si="98"/>
        <v>2838.8</v>
      </c>
      <c r="BQ59" s="57">
        <f t="shared" si="98"/>
        <v>3034.5</v>
      </c>
      <c r="BR59" s="57">
        <f t="shared" si="98"/>
        <v>3391.9</v>
      </c>
      <c r="BS59" s="57">
        <f t="shared" si="98"/>
        <v>3248.1</v>
      </c>
      <c r="BT59" s="57">
        <f t="shared" si="98"/>
        <v>3358.5</v>
      </c>
      <c r="BU59" s="57">
        <f t="shared" si="98"/>
        <v>3286.8</v>
      </c>
      <c r="BV59" s="57">
        <f t="shared" si="98"/>
        <v>3551.4</v>
      </c>
      <c r="BW59" s="57">
        <f t="shared" si="98"/>
        <v>3168</v>
      </c>
      <c r="BX59" s="57"/>
      <c r="BY59" s="57"/>
      <c r="BZ59" s="57"/>
      <c r="CA59" s="57"/>
      <c r="CB59" s="57"/>
      <c r="CC59" s="57"/>
      <c r="CD59" s="57"/>
      <c r="CE59" s="57"/>
      <c r="CF59" s="57"/>
      <c r="CH59" s="57">
        <f t="shared" ref="CH59:CN59" si="99">CH58+CH57</f>
        <v>5652</v>
      </c>
      <c r="CI59" s="57">
        <f t="shared" si="99"/>
        <v>5573</v>
      </c>
      <c r="CJ59" s="57">
        <f t="shared" si="99"/>
        <v>6405</v>
      </c>
      <c r="CK59" s="57">
        <f t="shared" si="99"/>
        <v>6975</v>
      </c>
      <c r="CL59" s="57">
        <f t="shared" si="99"/>
        <v>7523</v>
      </c>
      <c r="CM59" s="57">
        <f t="shared" si="99"/>
        <v>7882</v>
      </c>
      <c r="CN59" s="57">
        <f t="shared" si="99"/>
        <v>8087.16</v>
      </c>
      <c r="CO59" s="57">
        <f>CO58+CO57</f>
        <v>10436.099999999999</v>
      </c>
      <c r="CP59" s="57">
        <f t="shared" ref="CP59:CV59" si="100">CP58+CP57</f>
        <v>11219</v>
      </c>
      <c r="CQ59" s="57">
        <f>CQ58+CQ57</f>
        <v>11937.600000000002</v>
      </c>
      <c r="CR59" s="57">
        <f>CR58+CR57</f>
        <v>12900.7</v>
      </c>
      <c r="CS59" s="57">
        <f>CS58+CS57</f>
        <v>12589.7</v>
      </c>
      <c r="CT59" s="57">
        <f t="shared" si="100"/>
        <v>7095.9299999999994</v>
      </c>
      <c r="CU59" s="57">
        <f t="shared" si="100"/>
        <v>5676.7439999999997</v>
      </c>
      <c r="CV59" s="57">
        <f t="shared" si="100"/>
        <v>5392.9067999999997</v>
      </c>
      <c r="CW59" s="57">
        <f>CW58+CW57</f>
        <v>4853.6161199999997</v>
      </c>
      <c r="CX59" s="57">
        <f>CX58+CX57</f>
        <v>4368.254508</v>
      </c>
      <c r="CY59" s="57">
        <f t="shared" ref="CY59:DB59" si="101">CY58+CY57</f>
        <v>3931.4290572</v>
      </c>
      <c r="CZ59" s="57">
        <f t="shared" si="101"/>
        <v>3538.2861514800002</v>
      </c>
      <c r="DA59" s="57">
        <f t="shared" si="101"/>
        <v>3184.457536332</v>
      </c>
      <c r="DB59" s="57">
        <f t="shared" si="101"/>
        <v>2866.0117826988003</v>
      </c>
    </row>
    <row r="60" spans="2:193" s="67" customFormat="1">
      <c r="B60" s="65" t="s">
        <v>254</v>
      </c>
      <c r="C60" s="66"/>
      <c r="D60" s="66"/>
      <c r="E60" s="66"/>
      <c r="F60" s="66">
        <f t="shared" ref="F60:O60" si="102">F56-F57-F58</f>
        <v>482.80799999999999</v>
      </c>
      <c r="G60" s="66">
        <f t="shared" si="102"/>
        <v>348.83663366336623</v>
      </c>
      <c r="H60" s="66">
        <f t="shared" si="102"/>
        <v>385.8000000000003</v>
      </c>
      <c r="I60" s="66">
        <f t="shared" si="102"/>
        <v>496.5333333333333</v>
      </c>
      <c r="J60" s="66">
        <f t="shared" si="102"/>
        <v>557.10000000000036</v>
      </c>
      <c r="K60" s="66">
        <f t="shared" si="102"/>
        <v>537.20000000000027</v>
      </c>
      <c r="L60" s="66">
        <f t="shared" si="102"/>
        <v>549</v>
      </c>
      <c r="M60" s="66">
        <f t="shared" si="102"/>
        <v>702.40000000000009</v>
      </c>
      <c r="N60" s="66">
        <f t="shared" si="102"/>
        <v>2301.7999999999997</v>
      </c>
      <c r="O60" s="66">
        <f t="shared" si="102"/>
        <v>1142.5</v>
      </c>
      <c r="P60" s="66">
        <f t="shared" ref="P60:U60" si="103">P56-P57-P58</f>
        <v>815.80000000000007</v>
      </c>
      <c r="Q60" s="66">
        <f t="shared" si="103"/>
        <v>2522.3999999999987</v>
      </c>
      <c r="R60" s="66">
        <f t="shared" si="103"/>
        <v>2683.5000000000005</v>
      </c>
      <c r="S60" s="66">
        <f t="shared" si="103"/>
        <v>2702.900000000001</v>
      </c>
      <c r="T60" s="66">
        <f t="shared" si="103"/>
        <v>2851.0000000000005</v>
      </c>
      <c r="U60" s="66">
        <f t="shared" si="103"/>
        <v>3039.5000000000009</v>
      </c>
      <c r="V60" s="66">
        <f t="shared" ref="V60:AA60" si="104">V56-V59</f>
        <v>1556.1999999999998</v>
      </c>
      <c r="W60" s="66">
        <f t="shared" si="104"/>
        <v>1598.9</v>
      </c>
      <c r="X60" s="66">
        <f t="shared" si="104"/>
        <v>1417.5</v>
      </c>
      <c r="Y60" s="66">
        <f t="shared" si="104"/>
        <v>1686.2000000000007</v>
      </c>
      <c r="Z60" s="66">
        <f t="shared" si="104"/>
        <v>1332.6999999999998</v>
      </c>
      <c r="AA60" s="66">
        <f t="shared" si="104"/>
        <v>1709.5</v>
      </c>
      <c r="AB60" s="66">
        <f t="shared" ref="AB60:AD60" si="105">AB56-AB59</f>
        <v>1782.1999999999998</v>
      </c>
      <c r="AC60" s="66">
        <f t="shared" si="105"/>
        <v>1752.5</v>
      </c>
      <c r="AD60" s="66">
        <f t="shared" si="105"/>
        <v>1528.2000000000007</v>
      </c>
      <c r="AE60" s="66">
        <f>AE56-AE59</f>
        <v>1749.4000000000005</v>
      </c>
      <c r="AF60" s="66">
        <f>AF56-AF59</f>
        <v>1721.1999999999985</v>
      </c>
      <c r="AG60" s="66">
        <f>AG56-AG59</f>
        <v>1611.3000000000002</v>
      </c>
      <c r="AH60" s="66">
        <f>AH56-AH59</f>
        <v>1236.9000000000005</v>
      </c>
      <c r="AI60" s="66">
        <f>+AI56-AI59</f>
        <v>1405.5</v>
      </c>
      <c r="AJ60" s="66">
        <f>+AJ56-AJ59</f>
        <v>1201.9999999999991</v>
      </c>
      <c r="AK60" s="66">
        <f>+AK56-AK59</f>
        <v>1138.6999999999998</v>
      </c>
      <c r="AL60" s="66">
        <f>+AL56-AL59</f>
        <v>810.80000000000018</v>
      </c>
      <c r="AM60" s="66">
        <f t="shared" ref="AM60:AP60" si="106">+AM56-AM59</f>
        <v>1329.2999999999993</v>
      </c>
      <c r="AN60" s="66">
        <f t="shared" si="106"/>
        <v>1109.6999999999998</v>
      </c>
      <c r="AO60" s="66">
        <f t="shared" si="106"/>
        <v>1178.6999999999998</v>
      </c>
      <c r="AP60" s="66">
        <f t="shared" si="106"/>
        <v>850.80000000000018</v>
      </c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>
        <f t="shared" ref="BK60:BW60" si="107">BK56-BK59</f>
        <v>1334.0000000000005</v>
      </c>
      <c r="BL60" s="66">
        <f t="shared" si="107"/>
        <v>1574.9000000000005</v>
      </c>
      <c r="BM60" s="66">
        <f t="shared" si="107"/>
        <v>1565.1999999999998</v>
      </c>
      <c r="BN60" s="66">
        <f t="shared" si="107"/>
        <v>1605.3999999999996</v>
      </c>
      <c r="BO60" s="66">
        <f t="shared" si="107"/>
        <v>2450.0999999999985</v>
      </c>
      <c r="BP60" s="66">
        <f t="shared" si="107"/>
        <v>2343.3000000000011</v>
      </c>
      <c r="BQ60" s="66">
        <f t="shared" si="107"/>
        <v>2397.7999999999993</v>
      </c>
      <c r="BR60" s="66">
        <f t="shared" si="107"/>
        <v>2346.8999999999992</v>
      </c>
      <c r="BS60" s="66">
        <f t="shared" si="107"/>
        <v>1886.099999999999</v>
      </c>
      <c r="BT60" s="66">
        <f t="shared" si="107"/>
        <v>1983.5999999999985</v>
      </c>
      <c r="BU60" s="66">
        <f t="shared" si="107"/>
        <v>2063.9999999999982</v>
      </c>
      <c r="BV60" s="66">
        <f t="shared" si="107"/>
        <v>2397.8999999999992</v>
      </c>
      <c r="BW60" s="66">
        <f t="shared" si="107"/>
        <v>2774.6000000000004</v>
      </c>
      <c r="BX60" s="66"/>
      <c r="BY60" s="66"/>
      <c r="BZ60" s="66"/>
      <c r="CA60" s="66"/>
      <c r="CB60" s="66"/>
      <c r="CC60" s="66"/>
      <c r="CD60" s="66"/>
      <c r="CE60" s="66"/>
      <c r="CF60" s="66"/>
      <c r="CH60" s="66">
        <f t="shared" ref="CH60:CP60" si="108">CH56-CH57-CH58</f>
        <v>3817</v>
      </c>
      <c r="CI60" s="66">
        <f t="shared" si="108"/>
        <v>3327</v>
      </c>
      <c r="CJ60" s="66">
        <f t="shared" si="108"/>
        <v>3505</v>
      </c>
      <c r="CK60" s="66">
        <f t="shared" si="108"/>
        <v>3660</v>
      </c>
      <c r="CL60" s="66">
        <f t="shared" si="108"/>
        <v>3653</v>
      </c>
      <c r="CM60" s="66">
        <f t="shared" si="108"/>
        <v>4400.4999999999982</v>
      </c>
      <c r="CN60" s="66">
        <f t="shared" si="108"/>
        <v>6336.8340000000007</v>
      </c>
      <c r="CO60" s="66">
        <f>CO56-CO57-CO58</f>
        <v>10149.600000000006</v>
      </c>
      <c r="CP60" s="66">
        <f t="shared" si="108"/>
        <v>6035.2999999999993</v>
      </c>
      <c r="CQ60" s="66">
        <f>CQ56-CQ57-CQ58</f>
        <v>5589.9999999999964</v>
      </c>
      <c r="CR60" s="66">
        <f>CR56-CR57-CR58</f>
        <v>5908.7000000000016</v>
      </c>
      <c r="CS60" s="66">
        <f>CS56-CS57-CS58</f>
        <v>4556.9999999999973</v>
      </c>
      <c r="CT60" s="66">
        <f t="shared" ref="CT60:CW60" si="109">CT56-CT57-CT58</f>
        <v>10596.731909999999</v>
      </c>
      <c r="CU60" s="66">
        <f t="shared" si="109"/>
        <v>9175.8343440000062</v>
      </c>
      <c r="CV60" s="66">
        <f t="shared" si="109"/>
        <v>8389.0590165600006</v>
      </c>
      <c r="CW60" s="66">
        <f t="shared" si="109"/>
        <v>6129.4936573725636</v>
      </c>
      <c r="CX60" s="66">
        <f>CX56-CX57-CX58</f>
        <v>3553.0022846534275</v>
      </c>
      <c r="CY60" s="66">
        <f t="shared" ref="CY60:DB60" si="110">CY56-CY57-CY58</f>
        <v>3605.7405221174549</v>
      </c>
      <c r="CZ60" s="66">
        <f t="shared" si="110"/>
        <v>3805.6903539242353</v>
      </c>
      <c r="DA60" s="66">
        <f t="shared" si="110"/>
        <v>4251.003236499937</v>
      </c>
      <c r="DB60" s="66">
        <f t="shared" si="110"/>
        <v>4682.4519064138422</v>
      </c>
    </row>
    <row r="61" spans="2:193">
      <c r="B61" s="52" t="s">
        <v>78</v>
      </c>
      <c r="C61" s="57"/>
      <c r="D61" s="57"/>
      <c r="E61" s="57"/>
      <c r="F61" s="57">
        <v>69.099999999999994</v>
      </c>
      <c r="G61" s="57">
        <v>99</v>
      </c>
      <c r="H61" s="57">
        <v>45.4</v>
      </c>
      <c r="I61" s="57">
        <v>85</v>
      </c>
      <c r="J61" s="57">
        <v>85.2</v>
      </c>
      <c r="K61" s="57">
        <v>32</v>
      </c>
      <c r="L61" s="57">
        <v>47</v>
      </c>
      <c r="M61" s="57">
        <v>-4.8</v>
      </c>
      <c r="N61" s="57">
        <v>38.9</v>
      </c>
      <c r="O61" s="57">
        <v>38.299999999999997</v>
      </c>
      <c r="P61" s="57">
        <v>1.8</v>
      </c>
      <c r="Q61" s="57">
        <v>49.8</v>
      </c>
      <c r="R61" s="57">
        <v>32.1</v>
      </c>
      <c r="S61" s="57">
        <v>20.3</v>
      </c>
      <c r="T61" s="57">
        <v>32.299999999999997</v>
      </c>
      <c r="U61" s="57">
        <v>2.5</v>
      </c>
      <c r="V61" s="57">
        <v>-48.2</v>
      </c>
      <c r="W61" s="57">
        <v>-70.7</v>
      </c>
      <c r="X61" s="57">
        <v>-24.1</v>
      </c>
      <c r="Y61" s="57">
        <f>-44-22.9</f>
        <v>-66.900000000000006</v>
      </c>
      <c r="Z61" s="57">
        <v>-67.8</v>
      </c>
      <c r="AA61" s="57">
        <v>74.5</v>
      </c>
      <c r="AB61" s="57">
        <f>-36.5+18.1-18.4</f>
        <v>-36.799999999999997</v>
      </c>
      <c r="AC61" s="57">
        <f>-30.9+9.2-21.7</f>
        <v>-43.4</v>
      </c>
      <c r="AD61" s="57">
        <v>-39.4</v>
      </c>
      <c r="AE61" s="57">
        <v>-11.2</v>
      </c>
      <c r="AF61" s="57">
        <v>-57.6</v>
      </c>
      <c r="AG61" s="57">
        <f>-22.8-60.6</f>
        <v>-83.4</v>
      </c>
      <c r="AH61" s="57">
        <v>-26.8</v>
      </c>
      <c r="AI61" s="57">
        <f>-19.2-26.8</f>
        <v>-46</v>
      </c>
      <c r="AJ61" s="57">
        <f>-15.8-0.7</f>
        <v>-16.5</v>
      </c>
      <c r="AK61" s="57">
        <f>-21.3+22</f>
        <v>0.69999999999999929</v>
      </c>
      <c r="AL61" s="57">
        <f>+AH61</f>
        <v>-26.8</v>
      </c>
      <c r="AM61" s="57">
        <f t="shared" ref="AM61:AP61" si="111">+AI61</f>
        <v>-46</v>
      </c>
      <c r="AN61" s="57">
        <f t="shared" si="111"/>
        <v>-16.5</v>
      </c>
      <c r="AO61" s="57">
        <f t="shared" si="111"/>
        <v>0.69999999999999929</v>
      </c>
      <c r="AP61" s="57">
        <f t="shared" si="111"/>
        <v>-26.8</v>
      </c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>
        <v>55.9</v>
      </c>
      <c r="BL61" s="57">
        <v>91.5</v>
      </c>
      <c r="BM61" s="57">
        <v>90.1</v>
      </c>
      <c r="BN61" s="57">
        <v>82.7</v>
      </c>
      <c r="BO61" s="57">
        <v>78.2</v>
      </c>
      <c r="BP61" s="57">
        <v>81.2</v>
      </c>
      <c r="BQ61" s="57">
        <v>83.8</v>
      </c>
      <c r="BR61" s="57">
        <v>83.4</v>
      </c>
      <c r="BS61" s="57">
        <v>-34.6</v>
      </c>
      <c r="BT61" s="57">
        <v>81.5</v>
      </c>
      <c r="BU61" s="57">
        <v>77.599999999999994</v>
      </c>
      <c r="BV61" s="57">
        <v>77.3</v>
      </c>
      <c r="BW61" s="57">
        <v>-37.700000000000003</v>
      </c>
      <c r="BX61" s="57"/>
      <c r="BY61" s="57"/>
      <c r="BZ61" s="57"/>
      <c r="CA61" s="57"/>
      <c r="CB61" s="57"/>
      <c r="CC61" s="57"/>
      <c r="CD61" s="57"/>
      <c r="CE61" s="57"/>
      <c r="CF61" s="57"/>
      <c r="CH61" s="57">
        <v>134</v>
      </c>
      <c r="CI61" s="57">
        <v>214</v>
      </c>
      <c r="CJ61" s="57">
        <v>85</v>
      </c>
      <c r="CK61" s="57">
        <v>279</v>
      </c>
      <c r="CL61" s="57">
        <v>313</v>
      </c>
      <c r="CM61" s="57">
        <v>201</v>
      </c>
      <c r="CN61" s="57">
        <v>100</v>
      </c>
      <c r="CO61" s="57">
        <f>SUM(S61:V61)</f>
        <v>6.8999999999999915</v>
      </c>
      <c r="CP61" s="57">
        <f>SUM(W61:Z61)</f>
        <v>-229.5</v>
      </c>
      <c r="CQ61" s="57">
        <f>SUM(AA61:AD61)</f>
        <v>-45.099999999999994</v>
      </c>
      <c r="CR61" s="57">
        <f t="shared" ref="CR61" si="112">SUM(AE61:AH61)</f>
        <v>-179</v>
      </c>
      <c r="CS61" s="57">
        <f>SUM(AI61:AL61)</f>
        <v>-88.6</v>
      </c>
      <c r="CT61" s="57"/>
      <c r="CU61" s="57"/>
      <c r="CV61" s="57"/>
      <c r="CW61" s="57"/>
      <c r="CX61" s="57"/>
      <c r="CY61" s="60"/>
      <c r="CZ61" s="60"/>
    </row>
    <row r="62" spans="2:193">
      <c r="B62" s="52" t="s">
        <v>81</v>
      </c>
      <c r="C62" s="57"/>
      <c r="D62" s="57"/>
      <c r="E62" s="57"/>
      <c r="F62" s="57">
        <f t="shared" ref="F62:O62" si="113">F60+F61</f>
        <v>551.90800000000002</v>
      </c>
      <c r="G62" s="57">
        <f t="shared" si="113"/>
        <v>447.83663366336623</v>
      </c>
      <c r="H62" s="57">
        <f t="shared" si="113"/>
        <v>431.20000000000027</v>
      </c>
      <c r="I62" s="57">
        <f t="shared" si="113"/>
        <v>581.5333333333333</v>
      </c>
      <c r="J62" s="57">
        <f t="shared" si="113"/>
        <v>642.30000000000041</v>
      </c>
      <c r="K62" s="57">
        <f t="shared" si="113"/>
        <v>569.20000000000027</v>
      </c>
      <c r="L62" s="57">
        <f t="shared" si="113"/>
        <v>596</v>
      </c>
      <c r="M62" s="57">
        <f t="shared" si="113"/>
        <v>697.60000000000014</v>
      </c>
      <c r="N62" s="57">
        <f t="shared" si="113"/>
        <v>2340.6999999999998</v>
      </c>
      <c r="O62" s="57">
        <f t="shared" si="113"/>
        <v>1180.8</v>
      </c>
      <c r="P62" s="57">
        <f t="shared" ref="P62:W62" si="114">P60+P61</f>
        <v>817.6</v>
      </c>
      <c r="Q62" s="57">
        <f t="shared" si="114"/>
        <v>2572.1999999999989</v>
      </c>
      <c r="R62" s="57">
        <f t="shared" si="114"/>
        <v>2715.6000000000004</v>
      </c>
      <c r="S62" s="57">
        <f t="shared" si="114"/>
        <v>2723.2000000000012</v>
      </c>
      <c r="T62" s="57">
        <f t="shared" si="114"/>
        <v>2883.3000000000006</v>
      </c>
      <c r="U62" s="57">
        <f t="shared" si="114"/>
        <v>3042.0000000000009</v>
      </c>
      <c r="V62" s="57">
        <f t="shared" si="114"/>
        <v>1507.9999999999998</v>
      </c>
      <c r="W62" s="57">
        <f t="shared" si="114"/>
        <v>1528.2</v>
      </c>
      <c r="X62" s="57">
        <f t="shared" ref="X62:AC62" si="115">X60+X61</f>
        <v>1393.4</v>
      </c>
      <c r="Y62" s="57">
        <f t="shared" si="115"/>
        <v>1619.3000000000006</v>
      </c>
      <c r="Z62" s="57">
        <f t="shared" si="115"/>
        <v>1264.8999999999999</v>
      </c>
      <c r="AA62" s="57">
        <f t="shared" si="115"/>
        <v>1784</v>
      </c>
      <c r="AB62" s="57">
        <f t="shared" si="115"/>
        <v>1745.3999999999999</v>
      </c>
      <c r="AC62" s="57">
        <f t="shared" si="115"/>
        <v>1709.1</v>
      </c>
      <c r="AD62" s="57">
        <f>AD60+AD61</f>
        <v>1488.8000000000006</v>
      </c>
      <c r="AE62" s="57">
        <f>AE60+AE61</f>
        <v>1738.2000000000005</v>
      </c>
      <c r="AF62" s="57">
        <f>AF60+AF61</f>
        <v>1663.5999999999985</v>
      </c>
      <c r="AG62" s="57">
        <f>AG60+AG61</f>
        <v>1527.9</v>
      </c>
      <c r="AH62" s="57">
        <f>AH60+AH61</f>
        <v>1210.1000000000006</v>
      </c>
      <c r="AI62" s="57">
        <f>+AI60+AI61</f>
        <v>1359.5</v>
      </c>
      <c r="AJ62" s="57">
        <f>+AJ60+AJ61</f>
        <v>1185.4999999999991</v>
      </c>
      <c r="AK62" s="57">
        <f>+AK60+AK61</f>
        <v>1139.3999999999999</v>
      </c>
      <c r="AL62" s="57">
        <f>+AL60+AL61</f>
        <v>784.00000000000023</v>
      </c>
      <c r="AM62" s="57">
        <f t="shared" ref="AM62:AP62" si="116">+AM60+AM61</f>
        <v>1283.2999999999993</v>
      </c>
      <c r="AN62" s="57">
        <f t="shared" si="116"/>
        <v>1093.1999999999998</v>
      </c>
      <c r="AO62" s="57">
        <f t="shared" si="116"/>
        <v>1179.3999999999999</v>
      </c>
      <c r="AP62" s="57">
        <f t="shared" si="116"/>
        <v>824.00000000000023</v>
      </c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>
        <f t="shared" ref="BK62:BW62" si="117">BK60-BK61</f>
        <v>1278.1000000000004</v>
      </c>
      <c r="BL62" s="57">
        <f t="shared" si="117"/>
        <v>1483.4000000000005</v>
      </c>
      <c r="BM62" s="57">
        <f t="shared" si="117"/>
        <v>1475.1</v>
      </c>
      <c r="BN62" s="57">
        <f t="shared" si="117"/>
        <v>1522.6999999999996</v>
      </c>
      <c r="BO62" s="57">
        <f t="shared" si="117"/>
        <v>2371.8999999999987</v>
      </c>
      <c r="BP62" s="57">
        <f t="shared" si="117"/>
        <v>2262.1000000000013</v>
      </c>
      <c r="BQ62" s="57">
        <f t="shared" si="117"/>
        <v>2313.9999999999991</v>
      </c>
      <c r="BR62" s="57">
        <f t="shared" si="117"/>
        <v>2263.4999999999991</v>
      </c>
      <c r="BS62" s="57">
        <f t="shared" si="117"/>
        <v>1920.6999999999989</v>
      </c>
      <c r="BT62" s="57">
        <f t="shared" si="117"/>
        <v>1902.0999999999985</v>
      </c>
      <c r="BU62" s="57">
        <f t="shared" si="117"/>
        <v>1986.3999999999983</v>
      </c>
      <c r="BV62" s="57">
        <f t="shared" si="117"/>
        <v>2320.599999999999</v>
      </c>
      <c r="BW62" s="57">
        <f t="shared" si="117"/>
        <v>2812.3</v>
      </c>
      <c r="BX62" s="57"/>
      <c r="BY62" s="57"/>
      <c r="BZ62" s="57"/>
      <c r="CA62" s="57"/>
      <c r="CB62" s="57"/>
      <c r="CC62" s="57"/>
      <c r="CD62" s="57"/>
      <c r="CE62" s="57"/>
      <c r="CF62" s="57"/>
      <c r="CH62" s="57">
        <f t="shared" ref="CH62:CM62" si="118">CH60+CH61</f>
        <v>3951</v>
      </c>
      <c r="CI62" s="57">
        <f t="shared" si="118"/>
        <v>3541</v>
      </c>
      <c r="CJ62" s="57">
        <f t="shared" si="118"/>
        <v>3590</v>
      </c>
      <c r="CK62" s="57">
        <f t="shared" si="118"/>
        <v>3939</v>
      </c>
      <c r="CL62" s="57">
        <f t="shared" si="118"/>
        <v>3966</v>
      </c>
      <c r="CM62" s="57">
        <f t="shared" si="118"/>
        <v>4601.4999999999982</v>
      </c>
      <c r="CN62" s="57">
        <f t="shared" ref="CN62" si="119">CN60+CN61</f>
        <v>6436.8340000000007</v>
      </c>
      <c r="CO62" s="57">
        <f t="shared" ref="CO62:CX62" si="120">CO60+CO61</f>
        <v>10156.500000000005</v>
      </c>
      <c r="CP62" s="57">
        <f t="shared" si="120"/>
        <v>5805.7999999999993</v>
      </c>
      <c r="CQ62" s="57">
        <f t="shared" si="120"/>
        <v>5544.899999999996</v>
      </c>
      <c r="CR62" s="57">
        <f t="shared" si="120"/>
        <v>5729.7000000000016</v>
      </c>
      <c r="CS62" s="57">
        <f t="shared" si="120"/>
        <v>4468.3999999999969</v>
      </c>
      <c r="CT62" s="57">
        <f t="shared" si="120"/>
        <v>10596.731909999999</v>
      </c>
      <c r="CU62" s="57">
        <f t="shared" si="120"/>
        <v>9175.8343440000062</v>
      </c>
      <c r="CV62" s="57">
        <f t="shared" si="120"/>
        <v>8389.0590165600006</v>
      </c>
      <c r="CW62" s="57">
        <f t="shared" si="120"/>
        <v>6129.4936573725636</v>
      </c>
      <c r="CX62" s="57">
        <f t="shared" si="120"/>
        <v>3553.0022846534275</v>
      </c>
      <c r="CY62" s="57">
        <f t="shared" ref="CY62:DB62" si="121">CY60+CY61</f>
        <v>3605.7405221174549</v>
      </c>
      <c r="CZ62" s="57">
        <f t="shared" si="121"/>
        <v>3805.6903539242353</v>
      </c>
      <c r="DA62" s="57">
        <f t="shared" si="121"/>
        <v>4251.003236499937</v>
      </c>
      <c r="DB62" s="57">
        <f t="shared" si="121"/>
        <v>4682.4519064138422</v>
      </c>
    </row>
    <row r="63" spans="2:193">
      <c r="B63" s="52" t="s">
        <v>82</v>
      </c>
      <c r="C63" s="57"/>
      <c r="D63" s="57"/>
      <c r="E63" s="57"/>
      <c r="F63" s="57">
        <v>230</v>
      </c>
      <c r="G63" s="57">
        <v>208</v>
      </c>
      <c r="H63" s="57">
        <v>205.3</v>
      </c>
      <c r="I63" s="57">
        <v>224.1</v>
      </c>
      <c r="J63" s="57">
        <v>195</v>
      </c>
      <c r="K63" s="57">
        <v>222</v>
      </c>
      <c r="L63" s="57">
        <v>219</v>
      </c>
      <c r="M63" s="57">
        <v>220.6</v>
      </c>
      <c r="N63" s="57">
        <v>226.6</v>
      </c>
      <c r="O63" s="57">
        <v>257.60000000000002</v>
      </c>
      <c r="P63" s="57">
        <v>263.10000000000002</v>
      </c>
      <c r="Q63" s="57">
        <v>263.3</v>
      </c>
      <c r="R63" s="57">
        <v>197.9</v>
      </c>
      <c r="S63" s="57">
        <v>-8</v>
      </c>
      <c r="T63" s="57">
        <v>247.5</v>
      </c>
      <c r="U63" s="57">
        <v>320</v>
      </c>
      <c r="V63" s="57">
        <v>295.89999999999998</v>
      </c>
      <c r="W63" s="57">
        <v>370.3</v>
      </c>
      <c r="X63" s="57">
        <v>346</v>
      </c>
      <c r="Y63" s="57">
        <v>127.7</v>
      </c>
      <c r="Z63" s="57">
        <v>265.7</v>
      </c>
      <c r="AA63" s="57">
        <v>486.4</v>
      </c>
      <c r="AB63" s="57">
        <v>387.6</v>
      </c>
      <c r="AC63" s="57">
        <v>368.4</v>
      </c>
      <c r="AD63" s="57">
        <v>240</v>
      </c>
      <c r="AE63" s="57">
        <v>363.3</v>
      </c>
      <c r="AF63" s="57">
        <v>334</v>
      </c>
      <c r="AG63" s="57">
        <v>273.89999999999998</v>
      </c>
      <c r="AH63" s="57">
        <v>240.5</v>
      </c>
      <c r="AI63" s="57">
        <v>332.2</v>
      </c>
      <c r="AJ63" s="57">
        <v>262.10000000000002</v>
      </c>
      <c r="AK63" s="57">
        <v>251.9</v>
      </c>
      <c r="AL63" s="57">
        <f>+AL62*0.2</f>
        <v>156.80000000000007</v>
      </c>
      <c r="AM63" s="57">
        <f t="shared" ref="AM63:AP63" si="122">+AM62*0.2</f>
        <v>256.65999999999985</v>
      </c>
      <c r="AN63" s="57">
        <f t="shared" si="122"/>
        <v>218.64</v>
      </c>
      <c r="AO63" s="57">
        <f t="shared" si="122"/>
        <v>235.88</v>
      </c>
      <c r="AP63" s="57">
        <f t="shared" si="122"/>
        <v>164.80000000000007</v>
      </c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>
        <v>183.4</v>
      </c>
      <c r="BL63" s="57">
        <v>154.5</v>
      </c>
      <c r="BM63" s="57">
        <v>180.1</v>
      </c>
      <c r="BN63" s="57">
        <v>167.4</v>
      </c>
      <c r="BO63" s="57">
        <v>251.9</v>
      </c>
      <c r="BP63" s="57">
        <v>231.7</v>
      </c>
      <c r="BQ63" s="57">
        <v>258.2</v>
      </c>
      <c r="BR63" s="57">
        <v>352.3</v>
      </c>
      <c r="BS63" s="57">
        <v>143.19999999999999</v>
      </c>
      <c r="BT63" s="57">
        <v>203.7</v>
      </c>
      <c r="BU63" s="57">
        <v>293.2</v>
      </c>
      <c r="BV63" s="57">
        <v>113.8</v>
      </c>
      <c r="BW63" s="57">
        <v>273.8</v>
      </c>
      <c r="BX63" s="57"/>
      <c r="BY63" s="57"/>
      <c r="BZ63" s="57"/>
      <c r="CA63" s="57"/>
      <c r="CB63" s="57"/>
      <c r="CC63" s="57"/>
      <c r="CD63" s="57"/>
      <c r="CE63" s="57"/>
      <c r="CF63" s="57"/>
      <c r="CH63" s="57">
        <v>850</v>
      </c>
      <c r="CI63" s="57">
        <v>779</v>
      </c>
      <c r="CJ63" s="57">
        <v>788</v>
      </c>
      <c r="CK63" s="57">
        <v>866</v>
      </c>
      <c r="CL63" s="57">
        <v>832</v>
      </c>
      <c r="CM63" s="57">
        <v>912</v>
      </c>
      <c r="CN63" s="57">
        <f>CN62*0.22</f>
        <v>1416.1034800000002</v>
      </c>
      <c r="CO63" s="57">
        <f>SUM(S63:V63)</f>
        <v>855.4</v>
      </c>
      <c r="CP63" s="57">
        <f>SUM(W63:Z63)</f>
        <v>1109.7</v>
      </c>
      <c r="CQ63" s="57">
        <f>SUM(AA63:AD63)</f>
        <v>1482.4</v>
      </c>
      <c r="CR63" s="57">
        <f>SUM(AE63:AH63)</f>
        <v>1211.6999999999998</v>
      </c>
      <c r="CS63" s="57">
        <f>SUM(AI63:AL63)</f>
        <v>1003</v>
      </c>
      <c r="CT63" s="57">
        <f t="shared" ref="CT63:CW63" si="123">CT62*0.28</f>
        <v>2967.0849347999997</v>
      </c>
      <c r="CU63" s="57">
        <f t="shared" si="123"/>
        <v>2569.2336163200021</v>
      </c>
      <c r="CV63" s="57">
        <f t="shared" si="123"/>
        <v>2348.9365246368002</v>
      </c>
      <c r="CW63" s="57">
        <f t="shared" si="123"/>
        <v>1716.258224064318</v>
      </c>
      <c r="CX63" s="57">
        <f>CX62*0.28</f>
        <v>994.84063970295983</v>
      </c>
      <c r="CY63" s="57">
        <f t="shared" ref="CY63:DB63" si="124">CY62*0.28</f>
        <v>1009.6073461928875</v>
      </c>
      <c r="CZ63" s="57">
        <f t="shared" si="124"/>
        <v>1065.593299098786</v>
      </c>
      <c r="DA63" s="57">
        <f t="shared" si="124"/>
        <v>1190.2809062199824</v>
      </c>
      <c r="DB63" s="57">
        <f t="shared" si="124"/>
        <v>1311.086533795876</v>
      </c>
    </row>
    <row r="64" spans="2:193">
      <c r="B64" s="52" t="s">
        <v>83</v>
      </c>
      <c r="C64" s="57"/>
      <c r="D64" s="57"/>
      <c r="E64" s="57"/>
      <c r="F64" s="57">
        <f t="shared" ref="F64:P64" si="125">F62-F63</f>
        <v>321.90800000000002</v>
      </c>
      <c r="G64" s="57">
        <f t="shared" si="125"/>
        <v>239.83663366336623</v>
      </c>
      <c r="H64" s="57">
        <f t="shared" si="125"/>
        <v>225.90000000000026</v>
      </c>
      <c r="I64" s="57">
        <f t="shared" si="125"/>
        <v>357.43333333333328</v>
      </c>
      <c r="J64" s="57">
        <f t="shared" si="125"/>
        <v>447.30000000000041</v>
      </c>
      <c r="K64" s="57">
        <f t="shared" si="125"/>
        <v>347.20000000000027</v>
      </c>
      <c r="L64" s="57">
        <f t="shared" si="125"/>
        <v>377</v>
      </c>
      <c r="M64" s="57">
        <f t="shared" si="125"/>
        <v>477.00000000000011</v>
      </c>
      <c r="N64" s="57">
        <f t="shared" si="125"/>
        <v>2114.1</v>
      </c>
      <c r="O64" s="57">
        <f t="shared" si="125"/>
        <v>923.19999999999993</v>
      </c>
      <c r="P64" s="57">
        <f t="shared" si="125"/>
        <v>554.5</v>
      </c>
      <c r="Q64" s="57">
        <f t="shared" ref="Q64:V64" si="126">Q62-Q63</f>
        <v>2308.8999999999987</v>
      </c>
      <c r="R64" s="57">
        <f t="shared" si="126"/>
        <v>2517.7000000000003</v>
      </c>
      <c r="S64" s="57">
        <f t="shared" si="126"/>
        <v>2731.2000000000012</v>
      </c>
      <c r="T64" s="57">
        <f t="shared" si="126"/>
        <v>2635.8000000000006</v>
      </c>
      <c r="U64" s="57">
        <f t="shared" si="126"/>
        <v>2722.0000000000009</v>
      </c>
      <c r="V64" s="57">
        <f t="shared" si="126"/>
        <v>1212.0999999999999</v>
      </c>
      <c r="W64" s="57">
        <f t="shared" ref="W64:AB64" si="127">W62-W63</f>
        <v>1157.9000000000001</v>
      </c>
      <c r="X64" s="57">
        <f t="shared" si="127"/>
        <v>1047.4000000000001</v>
      </c>
      <c r="Y64" s="57">
        <f t="shared" si="127"/>
        <v>1491.6000000000006</v>
      </c>
      <c r="Z64" s="57">
        <f t="shared" si="127"/>
        <v>999.19999999999982</v>
      </c>
      <c r="AA64" s="57">
        <f t="shared" si="127"/>
        <v>1297.5999999999999</v>
      </c>
      <c r="AB64" s="57">
        <f t="shared" si="127"/>
        <v>1357.7999999999997</v>
      </c>
      <c r="AC64" s="57">
        <f t="shared" ref="AC64:AI64" si="128">AC62-AC63</f>
        <v>1340.6999999999998</v>
      </c>
      <c r="AD64" s="57">
        <f t="shared" si="128"/>
        <v>1248.8000000000006</v>
      </c>
      <c r="AE64" s="57">
        <f>AE62-AE63</f>
        <v>1374.9000000000005</v>
      </c>
      <c r="AF64" s="57">
        <f>AF62-AF63</f>
        <v>1329.5999999999985</v>
      </c>
      <c r="AG64" s="57">
        <f>AG62-AG63</f>
        <v>1254</v>
      </c>
      <c r="AH64" s="57">
        <f t="shared" si="128"/>
        <v>969.60000000000059</v>
      </c>
      <c r="AI64" s="57">
        <f t="shared" si="128"/>
        <v>1027.3</v>
      </c>
      <c r="AJ64" s="57">
        <f t="shared" ref="AJ64:AL64" si="129">AJ62-AJ63</f>
        <v>923.39999999999907</v>
      </c>
      <c r="AK64" s="57">
        <f t="shared" si="129"/>
        <v>887.49999999999989</v>
      </c>
      <c r="AL64" s="57">
        <f t="shared" si="129"/>
        <v>627.20000000000016</v>
      </c>
      <c r="AM64" s="57">
        <f t="shared" ref="AM64:AP64" si="130">AM62-AM63</f>
        <v>1026.6399999999994</v>
      </c>
      <c r="AN64" s="57">
        <f t="shared" si="130"/>
        <v>874.55999999999983</v>
      </c>
      <c r="AO64" s="57">
        <f t="shared" si="130"/>
        <v>943.51999999999987</v>
      </c>
      <c r="AP64" s="57">
        <f t="shared" si="130"/>
        <v>659.20000000000016</v>
      </c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>
        <f t="shared" ref="BK64:BW64" si="131">BK62-BK63</f>
        <v>1094.7000000000003</v>
      </c>
      <c r="BL64" s="57">
        <f t="shared" si="131"/>
        <v>1328.9000000000005</v>
      </c>
      <c r="BM64" s="57">
        <f t="shared" si="131"/>
        <v>1295</v>
      </c>
      <c r="BN64" s="57">
        <f t="shared" si="131"/>
        <v>1355.2999999999995</v>
      </c>
      <c r="BO64" s="57">
        <f t="shared" si="131"/>
        <v>2119.9999999999986</v>
      </c>
      <c r="BP64" s="57">
        <f t="shared" si="131"/>
        <v>2030.4000000000012</v>
      </c>
      <c r="BQ64" s="57">
        <f t="shared" si="131"/>
        <v>2055.7999999999993</v>
      </c>
      <c r="BR64" s="57">
        <f t="shared" si="131"/>
        <v>1911.1999999999991</v>
      </c>
      <c r="BS64" s="57">
        <f t="shared" si="131"/>
        <v>1777.4999999999989</v>
      </c>
      <c r="BT64" s="57">
        <f t="shared" si="131"/>
        <v>1698.3999999999985</v>
      </c>
      <c r="BU64" s="57">
        <f t="shared" si="131"/>
        <v>1693.1999999999982</v>
      </c>
      <c r="BV64" s="57">
        <f t="shared" si="131"/>
        <v>2206.7999999999988</v>
      </c>
      <c r="BW64" s="57">
        <f t="shared" si="131"/>
        <v>2538.5</v>
      </c>
      <c r="BX64" s="57"/>
      <c r="BY64" s="57"/>
      <c r="BZ64" s="57"/>
      <c r="CA64" s="57"/>
      <c r="CB64" s="57"/>
      <c r="CC64" s="57"/>
      <c r="CD64" s="57"/>
      <c r="CE64" s="57"/>
      <c r="CF64" s="57"/>
      <c r="CH64" s="57">
        <f t="shared" ref="CH64:CN64" si="132">CH62-CH63</f>
        <v>3101</v>
      </c>
      <c r="CI64" s="57">
        <f t="shared" si="132"/>
        <v>2762</v>
      </c>
      <c r="CJ64" s="57">
        <f t="shared" si="132"/>
        <v>2802</v>
      </c>
      <c r="CK64" s="57">
        <f t="shared" si="132"/>
        <v>3073</v>
      </c>
      <c r="CL64" s="57">
        <f t="shared" si="132"/>
        <v>3134</v>
      </c>
      <c r="CM64" s="57">
        <f t="shared" si="132"/>
        <v>3689.4999999999982</v>
      </c>
      <c r="CN64" s="57">
        <f t="shared" si="132"/>
        <v>5020.730520000001</v>
      </c>
      <c r="CO64" s="57">
        <f>CO62-CO63</f>
        <v>9301.1000000000058</v>
      </c>
      <c r="CP64" s="57">
        <f>CP62-CP63</f>
        <v>4696.0999999999995</v>
      </c>
      <c r="CQ64" s="57">
        <f>CQ62-CQ63</f>
        <v>4062.4999999999959</v>
      </c>
      <c r="CR64" s="57">
        <f>CR62-CR63</f>
        <v>4518.0000000000018</v>
      </c>
      <c r="CS64" s="57">
        <f t="shared" ref="CS64:CV64" si="133">CS62-CS63</f>
        <v>3465.3999999999969</v>
      </c>
      <c r="CT64" s="57">
        <f t="shared" si="133"/>
        <v>7629.6469751999994</v>
      </c>
      <c r="CU64" s="57">
        <f t="shared" si="133"/>
        <v>6606.6007276800046</v>
      </c>
      <c r="CV64" s="57">
        <f t="shared" si="133"/>
        <v>6040.1224919232009</v>
      </c>
      <c r="CW64" s="57">
        <f>CW62-CW63</f>
        <v>4413.2354333082458</v>
      </c>
      <c r="CX64" s="57">
        <f>CX62-CX63</f>
        <v>2558.1616449504677</v>
      </c>
      <c r="CY64" s="57">
        <f t="shared" ref="CY64:DB64" si="134">CY62-CY63</f>
        <v>2596.1331759245677</v>
      </c>
      <c r="CZ64" s="57">
        <f t="shared" si="134"/>
        <v>2740.097054825449</v>
      </c>
      <c r="DA64" s="57">
        <f t="shared" si="134"/>
        <v>3060.7223302799548</v>
      </c>
      <c r="DB64" s="57">
        <f t="shared" si="134"/>
        <v>3371.3653726179664</v>
      </c>
      <c r="DC64" s="61">
        <f t="shared" ref="DC64:EH64" si="135">DB64*(1+$DE$74)</f>
        <v>3202.7971039870681</v>
      </c>
      <c r="DD64" s="61">
        <f t="shared" si="135"/>
        <v>3042.6572487877147</v>
      </c>
      <c r="DE64" s="61">
        <f t="shared" si="135"/>
        <v>2890.5243863483288</v>
      </c>
      <c r="DF64" s="61">
        <f t="shared" si="135"/>
        <v>2745.9981670309121</v>
      </c>
      <c r="DG64" s="61">
        <f t="shared" si="135"/>
        <v>2608.6982586793665</v>
      </c>
      <c r="DH64" s="61">
        <f t="shared" si="135"/>
        <v>2478.2633457453981</v>
      </c>
      <c r="DI64" s="61">
        <f t="shared" si="135"/>
        <v>2354.3501784581281</v>
      </c>
      <c r="DJ64" s="61">
        <f t="shared" si="135"/>
        <v>2236.6326695352218</v>
      </c>
      <c r="DK64" s="61">
        <f t="shared" si="135"/>
        <v>2124.8010360584608</v>
      </c>
      <c r="DL64" s="61">
        <f t="shared" si="135"/>
        <v>2018.5609842555377</v>
      </c>
      <c r="DM64" s="61">
        <f t="shared" si="135"/>
        <v>1917.6329350427607</v>
      </c>
      <c r="DN64" s="61">
        <f t="shared" si="135"/>
        <v>1821.7512882906226</v>
      </c>
      <c r="DO64" s="61">
        <f t="shared" si="135"/>
        <v>1730.6637238760914</v>
      </c>
      <c r="DP64" s="61">
        <f t="shared" si="135"/>
        <v>1644.1305376822868</v>
      </c>
      <c r="DQ64" s="61">
        <f t="shared" si="135"/>
        <v>1561.9240107981723</v>
      </c>
      <c r="DR64" s="61">
        <f t="shared" si="135"/>
        <v>1483.8278102582635</v>
      </c>
      <c r="DS64" s="61">
        <f t="shared" si="135"/>
        <v>1409.6364197453504</v>
      </c>
      <c r="DT64" s="61">
        <f t="shared" si="135"/>
        <v>1339.1545987580828</v>
      </c>
      <c r="DU64" s="61">
        <f t="shared" si="135"/>
        <v>1272.1968688201787</v>
      </c>
      <c r="DV64" s="61">
        <f t="shared" si="135"/>
        <v>1208.5870253791697</v>
      </c>
      <c r="DW64" s="61">
        <f t="shared" si="135"/>
        <v>1148.1576741102112</v>
      </c>
      <c r="DX64" s="61">
        <f t="shared" si="135"/>
        <v>1090.7497904047007</v>
      </c>
      <c r="DY64" s="61">
        <f t="shared" si="135"/>
        <v>1036.2123008844655</v>
      </c>
      <c r="DZ64" s="61">
        <f t="shared" si="135"/>
        <v>984.40168584024218</v>
      </c>
      <c r="EA64" s="61">
        <f t="shared" si="135"/>
        <v>935.18160154822999</v>
      </c>
      <c r="EB64" s="61">
        <f t="shared" si="135"/>
        <v>888.42252147081842</v>
      </c>
      <c r="EC64" s="61">
        <f t="shared" si="135"/>
        <v>844.00139539727752</v>
      </c>
      <c r="ED64" s="61">
        <f t="shared" si="135"/>
        <v>801.80132562741358</v>
      </c>
      <c r="EE64" s="61">
        <f t="shared" si="135"/>
        <v>761.71125934604288</v>
      </c>
      <c r="EF64" s="61">
        <f t="shared" si="135"/>
        <v>723.62569637874071</v>
      </c>
      <c r="EG64" s="61">
        <f t="shared" si="135"/>
        <v>687.4444115598036</v>
      </c>
      <c r="EH64" s="61">
        <f t="shared" si="135"/>
        <v>653.07219098181338</v>
      </c>
      <c r="EI64" s="61">
        <f t="shared" ref="EI64:FN64" si="136">EH64*(1+$DE$74)</f>
        <v>620.4185814327227</v>
      </c>
      <c r="EJ64" s="61">
        <f t="shared" si="136"/>
        <v>589.39765236108656</v>
      </c>
      <c r="EK64" s="61">
        <f t="shared" si="136"/>
        <v>559.92776974303217</v>
      </c>
      <c r="EL64" s="61">
        <f t="shared" si="136"/>
        <v>531.93138125588052</v>
      </c>
      <c r="EM64" s="61">
        <f t="shared" si="136"/>
        <v>505.33481219308646</v>
      </c>
      <c r="EN64" s="61">
        <f t="shared" si="136"/>
        <v>480.06807158343213</v>
      </c>
      <c r="EO64" s="61">
        <f t="shared" si="136"/>
        <v>456.06466800426051</v>
      </c>
      <c r="EP64" s="61">
        <f t="shared" si="136"/>
        <v>433.26143460404745</v>
      </c>
      <c r="EQ64" s="61">
        <f t="shared" si="136"/>
        <v>411.59836287384508</v>
      </c>
      <c r="ER64" s="61">
        <f t="shared" si="136"/>
        <v>391.01844473015279</v>
      </c>
      <c r="ES64" s="61">
        <f t="shared" si="136"/>
        <v>371.46752249364516</v>
      </c>
      <c r="ET64" s="61">
        <f t="shared" si="136"/>
        <v>352.89414636896288</v>
      </c>
      <c r="EU64" s="61">
        <f t="shared" si="136"/>
        <v>335.2494390505147</v>
      </c>
      <c r="EV64" s="61">
        <f t="shared" si="136"/>
        <v>318.48696709798895</v>
      </c>
      <c r="EW64" s="61">
        <f t="shared" si="136"/>
        <v>302.5626187430895</v>
      </c>
      <c r="EX64" s="61">
        <f t="shared" si="136"/>
        <v>287.43448780593502</v>
      </c>
      <c r="EY64" s="61">
        <f t="shared" si="136"/>
        <v>273.06276341563824</v>
      </c>
      <c r="EZ64" s="61">
        <f t="shared" si="136"/>
        <v>259.40962524485633</v>
      </c>
      <c r="FA64" s="61">
        <f t="shared" si="136"/>
        <v>246.4391439826135</v>
      </c>
      <c r="FB64" s="61">
        <f t="shared" si="136"/>
        <v>234.11718678348282</v>
      </c>
      <c r="FC64" s="61">
        <f t="shared" si="136"/>
        <v>222.41132744430868</v>
      </c>
      <c r="FD64" s="61">
        <f t="shared" si="136"/>
        <v>211.29076107209323</v>
      </c>
      <c r="FE64" s="61">
        <f t="shared" si="136"/>
        <v>200.72622301848855</v>
      </c>
      <c r="FF64" s="61">
        <f t="shared" si="136"/>
        <v>190.68991186756412</v>
      </c>
      <c r="FG64" s="61">
        <f t="shared" si="136"/>
        <v>181.15541627418591</v>
      </c>
      <c r="FH64" s="61">
        <f t="shared" si="136"/>
        <v>172.0976454604766</v>
      </c>
      <c r="FI64" s="61">
        <f t="shared" si="136"/>
        <v>163.49276318745277</v>
      </c>
      <c r="FJ64" s="61">
        <f t="shared" si="136"/>
        <v>155.31812502808012</v>
      </c>
      <c r="FK64" s="61">
        <f t="shared" si="136"/>
        <v>147.55221877667611</v>
      </c>
      <c r="FL64" s="61">
        <f t="shared" si="136"/>
        <v>140.1746078378423</v>
      </c>
      <c r="FM64" s="61">
        <f t="shared" si="136"/>
        <v>133.16587744595017</v>
      </c>
      <c r="FN64" s="61">
        <f t="shared" si="136"/>
        <v>126.50758357365265</v>
      </c>
      <c r="FO64" s="61">
        <f t="shared" ref="FO64:GK64" si="137">FN64*(1+$DE$74)</f>
        <v>120.18220439497001</v>
      </c>
      <c r="FP64" s="61">
        <f t="shared" si="137"/>
        <v>114.17309417522151</v>
      </c>
      <c r="FQ64" s="61">
        <f t="shared" si="137"/>
        <v>108.46443946646043</v>
      </c>
      <c r="FR64" s="61">
        <f t="shared" si="137"/>
        <v>103.04121749313741</v>
      </c>
      <c r="FS64" s="61">
        <f t="shared" si="137"/>
        <v>97.889156618480541</v>
      </c>
      <c r="FT64" s="61">
        <f t="shared" si="137"/>
        <v>92.994698787556516</v>
      </c>
      <c r="FU64" s="61">
        <f t="shared" si="137"/>
        <v>88.344963848178679</v>
      </c>
      <c r="FV64" s="61">
        <f t="shared" si="137"/>
        <v>83.927715655769745</v>
      </c>
      <c r="FW64" s="61">
        <f t="shared" si="137"/>
        <v>79.731329872981249</v>
      </c>
      <c r="FX64" s="61">
        <f t="shared" si="137"/>
        <v>75.744763379332184</v>
      </c>
      <c r="FY64" s="61">
        <f t="shared" si="137"/>
        <v>71.957525210365574</v>
      </c>
      <c r="FZ64" s="61">
        <f t="shared" si="137"/>
        <v>68.359648949847298</v>
      </c>
      <c r="GA64" s="61">
        <f t="shared" si="137"/>
        <v>64.941666502354934</v>
      </c>
      <c r="GB64" s="61">
        <f t="shared" si="137"/>
        <v>61.694583177237185</v>
      </c>
      <c r="GC64" s="61">
        <f t="shared" si="137"/>
        <v>58.609854018375323</v>
      </c>
      <c r="GD64" s="61">
        <f t="shared" si="137"/>
        <v>55.679361317456554</v>
      </c>
      <c r="GE64" s="61">
        <f t="shared" si="137"/>
        <v>52.895393251583727</v>
      </c>
      <c r="GF64" s="61">
        <f t="shared" si="137"/>
        <v>50.25062358900454</v>
      </c>
      <c r="GG64" s="61">
        <f t="shared" si="137"/>
        <v>47.738092409554312</v>
      </c>
      <c r="GH64" s="61">
        <f t="shared" si="137"/>
        <v>45.351187789076597</v>
      </c>
      <c r="GI64" s="61">
        <f t="shared" si="137"/>
        <v>43.083628399622768</v>
      </c>
      <c r="GJ64" s="61">
        <f t="shared" si="137"/>
        <v>40.929446979641625</v>
      </c>
      <c r="GK64" s="61">
        <f t="shared" si="137"/>
        <v>38.88297463065954</v>
      </c>
    </row>
    <row r="65" spans="2:109" s="68" customFormat="1">
      <c r="B65" s="68" t="s">
        <v>56</v>
      </c>
      <c r="C65" s="69"/>
      <c r="D65" s="69"/>
      <c r="E65" s="69"/>
      <c r="F65" s="69">
        <f t="shared" ref="F65:O65" si="138">F64/F66</f>
        <v>0.29554535438854207</v>
      </c>
      <c r="G65" s="69">
        <f t="shared" si="138"/>
        <v>0.22023565992962923</v>
      </c>
      <c r="H65" s="69">
        <f t="shared" si="138"/>
        <v>0.20724770642201859</v>
      </c>
      <c r="I65" s="69">
        <f t="shared" si="138"/>
        <v>0.32761992056217532</v>
      </c>
      <c r="J65" s="69">
        <f t="shared" si="138"/>
        <v>0.40905349794238721</v>
      </c>
      <c r="K65" s="69">
        <f t="shared" si="138"/>
        <v>0.31941122355105822</v>
      </c>
      <c r="L65" s="69">
        <f t="shared" si="138"/>
        <v>0.34736939095181057</v>
      </c>
      <c r="M65" s="69">
        <f t="shared" si="138"/>
        <v>0.43905995147329013</v>
      </c>
      <c r="N65" s="69">
        <f t="shared" si="138"/>
        <v>1.9411494109340122</v>
      </c>
      <c r="O65" s="69">
        <f t="shared" si="138"/>
        <v>0.84706650921799576</v>
      </c>
      <c r="P65" s="69">
        <f t="shared" ref="P65:V65" si="139">P64/P66</f>
        <v>0.50877207469820052</v>
      </c>
      <c r="Q65" s="69">
        <f t="shared" si="139"/>
        <v>2.117813888471034</v>
      </c>
      <c r="R65" s="69">
        <f t="shared" si="139"/>
        <v>2.3042440483381479</v>
      </c>
      <c r="S65" s="69">
        <f t="shared" si="139"/>
        <v>2.4963987218204564</v>
      </c>
      <c r="T65" s="69">
        <f t="shared" si="139"/>
        <v>2.40969362754061</v>
      </c>
      <c r="U65" s="69">
        <f t="shared" si="139"/>
        <v>2.4881693125175399</v>
      </c>
      <c r="V65" s="69">
        <f t="shared" si="139"/>
        <v>1.1054354299305693</v>
      </c>
      <c r="W65" s="69">
        <f t="shared" ref="W65:AB65" si="140">W64/W66</f>
        <v>1.0552687795737732</v>
      </c>
      <c r="X65" s="69">
        <f t="shared" si="140"/>
        <v>0.95460042854031091</v>
      </c>
      <c r="Y65" s="69">
        <f t="shared" si="140"/>
        <v>1.3588746375286636</v>
      </c>
      <c r="Z65" s="69">
        <f t="shared" si="140"/>
        <v>0.90717029507547786</v>
      </c>
      <c r="AA65" s="69">
        <f t="shared" si="140"/>
        <v>1.1759950553105565</v>
      </c>
      <c r="AB65" s="69">
        <f t="shared" si="140"/>
        <v>1.2301063501137424</v>
      </c>
      <c r="AC65" s="69">
        <f>AC64/AC66</f>
        <v>1.2130858000104956</v>
      </c>
      <c r="AD65" s="69">
        <f>AD64/AD66</f>
        <v>1.1256930791689996</v>
      </c>
      <c r="AE65" s="69">
        <f>+AE64/AE66</f>
        <v>1.236420863309353</v>
      </c>
      <c r="AF65" s="69">
        <f t="shared" ref="AF65:AL65" si="141">AF64/AF66</f>
        <v>1.1491789109766626</v>
      </c>
      <c r="AG65" s="69">
        <f t="shared" si="141"/>
        <v>1.125833938596263</v>
      </c>
      <c r="AH65" s="69">
        <f t="shared" si="141"/>
        <v>0.86959641255605435</v>
      </c>
      <c r="AI65" s="69">
        <f t="shared" si="141"/>
        <v>0.91970961062075252</v>
      </c>
      <c r="AJ65" s="69">
        <f t="shared" si="141"/>
        <v>0.82593917710196696</v>
      </c>
      <c r="AK65" s="69">
        <f t="shared" si="141"/>
        <v>0.79266479166089832</v>
      </c>
      <c r="AL65" s="69">
        <f t="shared" si="141"/>
        <v>0.56017955755460913</v>
      </c>
      <c r="AM65" s="69">
        <f t="shared" ref="AM65:AP65" si="142">AM64/AM66</f>
        <v>0.91693676812478231</v>
      </c>
      <c r="AN65" s="69">
        <f t="shared" si="142"/>
        <v>0.78110751571262549</v>
      </c>
      <c r="AO65" s="69">
        <f t="shared" si="142"/>
        <v>0.8426986864539614</v>
      </c>
      <c r="AP65" s="69">
        <f t="shared" si="142"/>
        <v>0.58876014722576264</v>
      </c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>
        <f t="shared" ref="BK65:BW65" si="143">BK64/BK66</f>
        <v>1.1124988694117184</v>
      </c>
      <c r="BL65" s="69">
        <f t="shared" si="143"/>
        <v>1.4372235380638747</v>
      </c>
      <c r="BM65" s="69">
        <f t="shared" si="143"/>
        <v>1.4099780718468209</v>
      </c>
      <c r="BN65" s="69">
        <f t="shared" si="143"/>
        <v>1.481723622958024</v>
      </c>
      <c r="BO65" s="69">
        <f t="shared" si="143"/>
        <v>2.3252931569474153</v>
      </c>
      <c r="BP65" s="69">
        <f t="shared" si="143"/>
        <v>2.2290287520995964</v>
      </c>
      <c r="BQ65" s="69">
        <f t="shared" si="143"/>
        <v>2.2555937254161891</v>
      </c>
      <c r="BR65" s="69">
        <f t="shared" si="143"/>
        <v>2.0942569015035204</v>
      </c>
      <c r="BS65" s="69">
        <f t="shared" si="143"/>
        <v>1.9481587023235412</v>
      </c>
      <c r="BT65" s="69">
        <f t="shared" si="143"/>
        <v>1.8655863899189775</v>
      </c>
      <c r="BU65" s="69">
        <f t="shared" si="143"/>
        <v>1.8591250517430102</v>
      </c>
      <c r="BV65" s="69">
        <f t="shared" si="143"/>
        <v>2.4262414037633775</v>
      </c>
      <c r="BW65" s="69">
        <f t="shared" si="143"/>
        <v>2.8006398940864963</v>
      </c>
      <c r="BX65" s="69"/>
      <c r="BY65" s="69"/>
      <c r="BZ65" s="69"/>
      <c r="CA65" s="69"/>
      <c r="CB65" s="69"/>
      <c r="CC65" s="69"/>
      <c r="CD65" s="69"/>
      <c r="CE65" s="69"/>
      <c r="CF65" s="69"/>
      <c r="CH65" s="69">
        <f t="shared" ref="CH65:CM65" si="144">CH64/CH66</f>
        <v>2.842346471127406</v>
      </c>
      <c r="CI65" s="69">
        <f t="shared" si="144"/>
        <v>2.5456221198156683</v>
      </c>
      <c r="CJ65" s="69">
        <f t="shared" si="144"/>
        <v>2.5920444033302497</v>
      </c>
      <c r="CK65" s="69">
        <f t="shared" si="144"/>
        <v>2.8218549127640036</v>
      </c>
      <c r="CL65" s="69">
        <f t="shared" si="144"/>
        <v>2.8752293577981654</v>
      </c>
      <c r="CM65" s="69">
        <f t="shared" si="144"/>
        <v>3.3973296500920793</v>
      </c>
      <c r="CN65" s="69">
        <f>CN64/CN66</f>
        <v>4.6034064101817682</v>
      </c>
      <c r="CO65" s="69">
        <f>CO64/CO66</f>
        <v>8.4973446654406413</v>
      </c>
      <c r="CP65" s="69">
        <f>CP64/CP66</f>
        <v>4.275411286763509</v>
      </c>
      <c r="CQ65" s="69">
        <f>CQ64/CQ66</f>
        <v>3.6749972635404955</v>
      </c>
      <c r="CR65" s="69">
        <f>CR64/CR66</f>
        <v>4.0179277124291426</v>
      </c>
      <c r="CS65" s="69">
        <f t="shared" ref="CS65:CX65" si="145">CS64/CS66</f>
        <v>3.0980730913345513</v>
      </c>
      <c r="CT65" s="69">
        <f t="shared" si="145"/>
        <v>6.82091648590327</v>
      </c>
      <c r="CU65" s="69">
        <f t="shared" si="145"/>
        <v>5.9063115194830917</v>
      </c>
      <c r="CV65" s="69">
        <f t="shared" si="145"/>
        <v>5.3998790790650091</v>
      </c>
      <c r="CW65" s="69">
        <f t="shared" si="145"/>
        <v>3.945439470669033</v>
      </c>
      <c r="CX65" s="69">
        <f t="shared" si="145"/>
        <v>2.2870005642942179</v>
      </c>
      <c r="CY65" s="69">
        <f t="shared" ref="CY65:DB65" si="146">CY64/CY66</f>
        <v>2.3209471731554276</v>
      </c>
      <c r="CZ65" s="69">
        <f t="shared" si="146"/>
        <v>2.4496511090205422</v>
      </c>
      <c r="DA65" s="69">
        <f t="shared" si="146"/>
        <v>2.7362906133453917</v>
      </c>
      <c r="DB65" s="69">
        <f t="shared" si="146"/>
        <v>3.014005985446071</v>
      </c>
    </row>
    <row r="66" spans="2:109">
      <c r="B66" s="52" t="s">
        <v>84</v>
      </c>
      <c r="C66" s="57"/>
      <c r="D66" s="57"/>
      <c r="E66" s="57"/>
      <c r="F66" s="57">
        <v>1089.2</v>
      </c>
      <c r="G66" s="57">
        <v>1089</v>
      </c>
      <c r="H66" s="57">
        <v>1090</v>
      </c>
      <c r="I66" s="57">
        <v>1091</v>
      </c>
      <c r="J66" s="57">
        <v>1093.5</v>
      </c>
      <c r="K66" s="57">
        <v>1087</v>
      </c>
      <c r="L66" s="57">
        <v>1085.3</v>
      </c>
      <c r="M66" s="57">
        <v>1086.412</v>
      </c>
      <c r="N66" s="57">
        <v>1089.097</v>
      </c>
      <c r="O66" s="57">
        <v>1089.8789999999999</v>
      </c>
      <c r="P66" s="57">
        <f>O66</f>
        <v>1089.8789999999999</v>
      </c>
      <c r="Q66" s="57">
        <v>1090.2280000000001</v>
      </c>
      <c r="R66" s="57">
        <v>1092.636</v>
      </c>
      <c r="S66" s="57">
        <v>1094.056</v>
      </c>
      <c r="T66" s="57">
        <v>1093.8320000000001</v>
      </c>
      <c r="U66" s="57">
        <v>1093.9770000000001</v>
      </c>
      <c r="V66" s="57">
        <v>1096.491</v>
      </c>
      <c r="W66" s="57">
        <v>1097.2560000000001</v>
      </c>
      <c r="X66" s="57">
        <v>1097.213</v>
      </c>
      <c r="Y66" s="57">
        <v>1097.673</v>
      </c>
      <c r="Z66" s="57">
        <v>1101.4469999999999</v>
      </c>
      <c r="AA66" s="57">
        <v>1103.4059999999999</v>
      </c>
      <c r="AB66" s="57">
        <v>1103.807</v>
      </c>
      <c r="AC66" s="57">
        <v>1105.1980000000001</v>
      </c>
      <c r="AD66" s="57">
        <v>1109.3610000000001</v>
      </c>
      <c r="AE66" s="57">
        <v>1112</v>
      </c>
      <c r="AF66" s="57">
        <v>1157</v>
      </c>
      <c r="AG66" s="57">
        <v>1113.8409999999999</v>
      </c>
      <c r="AH66" s="57">
        <v>1115</v>
      </c>
      <c r="AI66" s="57">
        <v>1116.9829999999999</v>
      </c>
      <c r="AJ66" s="57">
        <v>1118</v>
      </c>
      <c r="AK66" s="57">
        <v>1119.6410000000001</v>
      </c>
      <c r="AL66" s="57">
        <f>+AK66</f>
        <v>1119.6410000000001</v>
      </c>
      <c r="AM66" s="57">
        <f t="shared" ref="AM66:AP66" si="147">+AL66</f>
        <v>1119.6410000000001</v>
      </c>
      <c r="AN66" s="57">
        <f t="shared" si="147"/>
        <v>1119.6410000000001</v>
      </c>
      <c r="AO66" s="57">
        <f t="shared" si="147"/>
        <v>1119.6410000000001</v>
      </c>
      <c r="AP66" s="57">
        <f t="shared" si="147"/>
        <v>1119.6410000000001</v>
      </c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>
        <v>984.00099999999998</v>
      </c>
      <c r="BL66" s="57">
        <v>924.63</v>
      </c>
      <c r="BM66" s="57">
        <v>918.45399999999995</v>
      </c>
      <c r="BN66" s="57">
        <v>914.678</v>
      </c>
      <c r="BO66" s="57">
        <v>911.71299999999997</v>
      </c>
      <c r="BP66" s="57">
        <v>910.89</v>
      </c>
      <c r="BQ66" s="57">
        <v>911.423</v>
      </c>
      <c r="BR66" s="57">
        <v>912.59100000000001</v>
      </c>
      <c r="BS66" s="57">
        <v>912.4</v>
      </c>
      <c r="BT66" s="57">
        <v>910.38400000000001</v>
      </c>
      <c r="BU66" s="57">
        <v>910.75099999999998</v>
      </c>
      <c r="BV66" s="57">
        <v>909.55499999999995</v>
      </c>
      <c r="BW66" s="57">
        <v>906.4</v>
      </c>
      <c r="BX66" s="57"/>
      <c r="BY66" s="57"/>
      <c r="BZ66" s="57"/>
      <c r="CA66" s="57"/>
      <c r="CB66" s="57"/>
      <c r="CC66" s="57"/>
      <c r="CD66" s="57"/>
      <c r="CE66" s="57"/>
      <c r="CF66" s="57"/>
      <c r="CH66" s="57">
        <v>1091</v>
      </c>
      <c r="CI66" s="57">
        <v>1085</v>
      </c>
      <c r="CJ66" s="57">
        <v>1081</v>
      </c>
      <c r="CK66" s="57">
        <v>1089</v>
      </c>
      <c r="CL66" s="57">
        <v>1090</v>
      </c>
      <c r="CM66" s="57">
        <v>1086</v>
      </c>
      <c r="CN66" s="57">
        <f>AVERAGE(O66:R66)</f>
        <v>1090.6554999999998</v>
      </c>
      <c r="CO66" s="57">
        <f>AVERAGE(S66:V66)</f>
        <v>1094.5889999999999</v>
      </c>
      <c r="CP66" s="57">
        <f>AVERAGE(W66:Z66)</f>
        <v>1098.39725</v>
      </c>
      <c r="CQ66" s="57">
        <f>AVERAGE(AA66:AD66)</f>
        <v>1105.443</v>
      </c>
      <c r="CR66" s="57">
        <f>AVERAGE(AE66:AH66)</f>
        <v>1124.4602500000001</v>
      </c>
      <c r="CS66" s="57">
        <f>AVERAGE(AI66:AL66)</f>
        <v>1118.5662500000001</v>
      </c>
      <c r="CT66" s="57">
        <f t="shared" ref="CT66:CX66" si="148">CS66</f>
        <v>1118.5662500000001</v>
      </c>
      <c r="CU66" s="57">
        <f t="shared" si="148"/>
        <v>1118.5662500000001</v>
      </c>
      <c r="CV66" s="57">
        <f t="shared" si="148"/>
        <v>1118.5662500000001</v>
      </c>
      <c r="CW66" s="57">
        <f t="shared" si="148"/>
        <v>1118.5662500000001</v>
      </c>
      <c r="CX66" s="57">
        <f t="shared" si="148"/>
        <v>1118.5662500000001</v>
      </c>
      <c r="CY66" s="57">
        <f t="shared" ref="CY66" si="149">CX66</f>
        <v>1118.5662500000001</v>
      </c>
      <c r="CZ66" s="57">
        <f t="shared" ref="CZ66" si="150">CY66</f>
        <v>1118.5662500000001</v>
      </c>
      <c r="DA66" s="57">
        <f t="shared" ref="DA66" si="151">CZ66</f>
        <v>1118.5662500000001</v>
      </c>
      <c r="DB66" s="57">
        <f t="shared" ref="DB66" si="152">DA66</f>
        <v>1118.5662500000001</v>
      </c>
    </row>
    <row r="67" spans="2:109">
      <c r="M67" s="57"/>
    </row>
    <row r="68" spans="2:109" s="62" customFormat="1">
      <c r="B68" s="62" t="s">
        <v>387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1">
        <f t="shared" ref="T68:AL68" si="153">T54/P54-1</f>
        <v>0.59843101721588998</v>
      </c>
      <c r="U68" s="71">
        <f t="shared" si="153"/>
        <v>0.15215364534775344</v>
      </c>
      <c r="V68" s="71">
        <f t="shared" si="153"/>
        <v>-0.21831165519000262</v>
      </c>
      <c r="W68" s="71">
        <f t="shared" si="153"/>
        <v>-0.21628376429876006</v>
      </c>
      <c r="X68" s="71">
        <f t="shared" si="153"/>
        <v>-0.23718952785858138</v>
      </c>
      <c r="Y68" s="71">
        <f t="shared" si="153"/>
        <v>-0.18168576851211593</v>
      </c>
      <c r="Z68" s="71">
        <f t="shared" si="153"/>
        <v>0.13885423663755869</v>
      </c>
      <c r="AA68" s="71">
        <f t="shared" si="153"/>
        <v>0.12136636820802149</v>
      </c>
      <c r="AB68" s="71">
        <f t="shared" si="153"/>
        <v>0.12422020142759349</v>
      </c>
      <c r="AC68" s="71">
        <f t="shared" si="153"/>
        <v>1.6684645810859378E-2</v>
      </c>
      <c r="AD68" s="71">
        <f t="shared" si="153"/>
        <v>4.2669362992922233E-2</v>
      </c>
      <c r="AE68" s="71">
        <f t="shared" si="153"/>
        <v>6.4479081214109835E-2</v>
      </c>
      <c r="AF68" s="71">
        <f t="shared" si="153"/>
        <v>8.768939064484127E-2</v>
      </c>
      <c r="AG68" s="71">
        <f t="shared" si="153"/>
        <v>8.7235622833698789E-2</v>
      </c>
      <c r="AH68" s="71">
        <f t="shared" si="153"/>
        <v>-2.2611197310576814E-2</v>
      </c>
      <c r="AI68" s="71">
        <f t="shared" si="153"/>
        <v>-4.0553500479517668E-2</v>
      </c>
      <c r="AJ68" s="71">
        <f t="shared" si="153"/>
        <v>-0.10432126407369491</v>
      </c>
      <c r="AK68" s="71">
        <f t="shared" si="153"/>
        <v>-0.11476716383923491</v>
      </c>
      <c r="AL68" s="71">
        <f t="shared" si="153"/>
        <v>-0.11180196120582742</v>
      </c>
      <c r="AM68" s="71">
        <f t="shared" ref="AM68:AP68" si="154">AM54/AI54-1</f>
        <v>-1.3601313722690356E-2</v>
      </c>
      <c r="AN68" s="71">
        <f t="shared" si="154"/>
        <v>-1.6480671368627631E-2</v>
      </c>
      <c r="AO68" s="71">
        <f t="shared" si="154"/>
        <v>7.3495636196601044E-3</v>
      </c>
      <c r="AP68" s="71">
        <f t="shared" si="154"/>
        <v>7.4471254095918038E-3</v>
      </c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>
        <f t="shared" ref="BO68:BW68" si="155">BO54/BK54-1</f>
        <v>0.28597238860195162</v>
      </c>
      <c r="BP68" s="71">
        <f t="shared" si="155"/>
        <v>0.11790586690794269</v>
      </c>
      <c r="BQ68" s="71">
        <f t="shared" si="155"/>
        <v>0.21096260590125615</v>
      </c>
      <c r="BR68" s="71">
        <f t="shared" si="155"/>
        <v>0.21986163583729956</v>
      </c>
      <c r="BS68" s="71">
        <f t="shared" si="155"/>
        <v>3.9292640838080262E-2</v>
      </c>
      <c r="BT68" s="71">
        <f t="shared" si="155"/>
        <v>6.9636424229920335E-2</v>
      </c>
      <c r="BU68" s="71">
        <f t="shared" si="155"/>
        <v>2.1169446036005901E-2</v>
      </c>
      <c r="BV68" s="71">
        <f t="shared" si="155"/>
        <v>7.252031212291854E-2</v>
      </c>
      <c r="BW68" s="71">
        <f t="shared" si="155"/>
        <v>0.14759903608792779</v>
      </c>
      <c r="BX68" s="71">
        <f t="shared" ref="BX68" si="156">BX54/BT54-1</f>
        <v>-0.24647957745434013</v>
      </c>
      <c r="BY68" s="71">
        <f t="shared" ref="BY68" si="157">BY54/BU54-1</f>
        <v>-0.21841670850190464</v>
      </c>
      <c r="BZ68" s="71">
        <f t="shared" ref="BZ68" si="158">BZ54/BV54-1</f>
        <v>-0.28373823363960249</v>
      </c>
      <c r="CA68" s="71">
        <f t="shared" ref="CA68" si="159">CA54/BW54-1</f>
        <v>-0.32031203185618629</v>
      </c>
      <c r="CB68" s="71">
        <f t="shared" ref="CB68" si="160">CB54/BX54-1</f>
        <v>9.4967660686976485E-2</v>
      </c>
      <c r="CC68" s="71">
        <f t="shared" ref="CC68" si="161">CC54/BY54-1</f>
        <v>8.4909621523303391E-2</v>
      </c>
      <c r="CD68" s="71">
        <f t="shared" ref="CD68" si="162">CD54/BZ54-1</f>
        <v>0.1020155954829336</v>
      </c>
      <c r="CE68" s="71"/>
      <c r="CF68" s="71"/>
      <c r="CG68" s="71"/>
      <c r="CH68" s="70"/>
      <c r="CI68" s="70"/>
      <c r="CJ68" s="70"/>
      <c r="CK68" s="70"/>
      <c r="CL68" s="72">
        <f t="shared" ref="CL68:CX68" si="163">CL54/CK54-1</f>
        <v>5.7074825023450515E-2</v>
      </c>
      <c r="CM68" s="72">
        <f t="shared" si="163"/>
        <v>7.7372013651876959E-2</v>
      </c>
      <c r="CN68" s="72">
        <f t="shared" si="163"/>
        <v>0.17162226375645462</v>
      </c>
      <c r="CO68" s="72">
        <f t="shared" si="163"/>
        <v>6.0167880685474406E-2</v>
      </c>
      <c r="CP68" s="72">
        <f t="shared" si="163"/>
        <v>6.9853947544095352E-2</v>
      </c>
      <c r="CQ68" s="72">
        <f t="shared" si="163"/>
        <v>4.3833138191910148E-2</v>
      </c>
      <c r="CR68" s="72">
        <f t="shared" si="163"/>
        <v>9.0596424558550881E-2</v>
      </c>
      <c r="CS68" s="72">
        <f t="shared" si="163"/>
        <v>-7.7927571375323024E-2</v>
      </c>
      <c r="CT68" s="72">
        <f t="shared" si="163"/>
        <v>-1.7322384019330395E-3</v>
      </c>
      <c r="CU68" s="72">
        <f t="shared" si="163"/>
        <v>-0.15527651889381489</v>
      </c>
      <c r="CV68" s="72">
        <f t="shared" si="163"/>
        <v>-7.2082604288870811E-2</v>
      </c>
      <c r="CW68" s="72">
        <f t="shared" si="163"/>
        <v>-0.19806897748836205</v>
      </c>
      <c r="CX68" s="72">
        <f t="shared" si="163"/>
        <v>-0.27877832843182304</v>
      </c>
      <c r="CY68" s="72">
        <f t="shared" ref="CY68:DB68" si="164">CY54/CX54-1</f>
        <v>-4.8488165879459255E-2</v>
      </c>
      <c r="CZ68" s="72">
        <f t="shared" si="164"/>
        <v>-2.5632045541784665E-2</v>
      </c>
      <c r="DA68" s="72">
        <f t="shared" si="164"/>
        <v>1.2457047944036903E-2</v>
      </c>
      <c r="DB68" s="72">
        <f t="shared" si="164"/>
        <v>1.5197836386092067E-2</v>
      </c>
    </row>
    <row r="69" spans="2:109" s="59" customFormat="1">
      <c r="B69" s="59" t="s">
        <v>385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>
        <f t="shared" ref="BO69:BV69" si="165">+BO3/BK3-1</f>
        <v>0.39752188245992959</v>
      </c>
      <c r="BP69" s="76">
        <f t="shared" si="165"/>
        <v>0.19572192513368969</v>
      </c>
      <c r="BQ69" s="76">
        <f t="shared" si="165"/>
        <v>9.4018783984181731E-2</v>
      </c>
      <c r="BR69" s="76">
        <f t="shared" si="165"/>
        <v>0.24360566178296517</v>
      </c>
      <c r="BS69" s="76">
        <f t="shared" si="165"/>
        <v>0.18138929559134542</v>
      </c>
      <c r="BT69" s="76">
        <f t="shared" si="165"/>
        <v>0.24865831842576025</v>
      </c>
      <c r="BU69" s="76">
        <f t="shared" si="165"/>
        <v>0.44596060003614668</v>
      </c>
      <c r="BV69" s="76">
        <f t="shared" si="165"/>
        <v>0.25379392971246006</v>
      </c>
      <c r="BW69" s="76">
        <f>+BW3/BS3-1</f>
        <v>0.19891214541448621</v>
      </c>
      <c r="BX69" s="76">
        <f t="shared" ref="BX69:CD69" si="166">+BX3/BT3-1</f>
        <v>0.19999999999999996</v>
      </c>
      <c r="BY69" s="76">
        <f t="shared" si="166"/>
        <v>0.19999999999999996</v>
      </c>
      <c r="BZ69" s="76">
        <f t="shared" si="166"/>
        <v>0.19999999999999996</v>
      </c>
      <c r="CA69" s="76">
        <f t="shared" si="166"/>
        <v>0.14999999999999991</v>
      </c>
      <c r="CB69" s="76">
        <f t="shared" si="166"/>
        <v>0.14999999999999991</v>
      </c>
      <c r="CC69" s="76">
        <f t="shared" si="166"/>
        <v>0.15000000000000013</v>
      </c>
      <c r="CD69" s="76">
        <f t="shared" si="166"/>
        <v>0.14999999999999991</v>
      </c>
      <c r="CE69" s="76"/>
      <c r="CF69" s="76"/>
      <c r="CG69" s="76"/>
      <c r="CH69" s="54"/>
      <c r="CI69" s="54"/>
      <c r="CJ69" s="54"/>
      <c r="CK69" s="54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</row>
    <row r="70" spans="2:109" s="59" customFormat="1">
      <c r="B70" s="59" t="s">
        <v>503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>
        <f t="shared" ref="BO70:BV70" si="167">+BO6/BK6-1</f>
        <v>0.75643564356435644</v>
      </c>
      <c r="BP70" s="76">
        <f t="shared" si="167"/>
        <v>0.11701526286037311</v>
      </c>
      <c r="BQ70" s="76">
        <f t="shared" si="167"/>
        <v>0.33676470588235285</v>
      </c>
      <c r="BR70" s="76">
        <f t="shared" si="167"/>
        <v>0.17900499880980725</v>
      </c>
      <c r="BS70" s="76">
        <f t="shared" si="167"/>
        <v>-9.0868094701240132E-2</v>
      </c>
      <c r="BT70" s="76">
        <f t="shared" si="167"/>
        <v>0.44003036437246967</v>
      </c>
      <c r="BU70" s="76">
        <f t="shared" si="167"/>
        <v>0.304950495049505</v>
      </c>
      <c r="BV70" s="76">
        <f t="shared" si="167"/>
        <v>0.30708661417322825</v>
      </c>
      <c r="BW70" s="76">
        <f t="shared" ref="BW70:CD70" si="168">+BW6/BS6-1</f>
        <v>0.21056547619047628</v>
      </c>
      <c r="BX70" s="76">
        <f t="shared" si="168"/>
        <v>0.19999999999999996</v>
      </c>
      <c r="BY70" s="76">
        <f t="shared" si="168"/>
        <v>0.19999999999999996</v>
      </c>
      <c r="BZ70" s="76">
        <f t="shared" si="168"/>
        <v>0.19999999999999996</v>
      </c>
      <c r="CA70" s="76">
        <f t="shared" si="168"/>
        <v>0.19999999999999996</v>
      </c>
      <c r="CB70" s="76">
        <f t="shared" si="168"/>
        <v>0.19999999999999996</v>
      </c>
      <c r="CC70" s="76">
        <f t="shared" si="168"/>
        <v>0.19999999999999996</v>
      </c>
      <c r="CD70" s="76">
        <f t="shared" si="168"/>
        <v>0.19999999999999996</v>
      </c>
      <c r="CE70" s="76"/>
      <c r="CF70" s="76"/>
      <c r="CG70" s="76"/>
      <c r="CH70" s="54"/>
      <c r="CI70" s="54"/>
      <c r="CJ70" s="54"/>
      <c r="CK70" s="54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</row>
    <row r="71" spans="2:109" s="59" customFormat="1">
      <c r="B71" s="59" t="s">
        <v>504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>
        <f t="shared" ref="BO71" si="169">+BO7/BK7-1</f>
        <v>0.71846435100548445</v>
      </c>
      <c r="BP71" s="76">
        <f t="shared" ref="BP71" si="170">+BP7/BL7-1</f>
        <v>0.55787901418969366</v>
      </c>
      <c r="BQ71" s="76">
        <f t="shared" ref="BQ71" si="171">+BQ7/BM7-1</f>
        <v>0.49109414758269732</v>
      </c>
      <c r="BR71" s="76">
        <f t="shared" ref="BR71" si="172">+BR7/BN7-1</f>
        <v>0.57230597431602481</v>
      </c>
      <c r="BS71" s="76">
        <f t="shared" ref="BS71" si="173">+BS7/BO7-1</f>
        <v>0.43085106382978733</v>
      </c>
      <c r="BT71" s="76">
        <f t="shared" ref="BT71" si="174">+BT7/BP7-1</f>
        <v>0.63614573346116976</v>
      </c>
      <c r="BU71" s="76">
        <f t="shared" ref="BU71" si="175">+BU7/BQ7-1</f>
        <v>0.43131399317406149</v>
      </c>
      <c r="BV71" s="76">
        <f t="shared" ref="BV71:BW71" si="176">+BV7/BR7-1</f>
        <v>0.43501420454545459</v>
      </c>
      <c r="BW71" s="76">
        <f t="shared" si="176"/>
        <v>0.7449814126394052</v>
      </c>
      <c r="BX71" s="76">
        <f t="shared" ref="BX71:CD72" si="177">+BX7/BT7-1</f>
        <v>0.30000000000000004</v>
      </c>
      <c r="BY71" s="76">
        <f t="shared" si="177"/>
        <v>0.30000000000000004</v>
      </c>
      <c r="BZ71" s="76">
        <f t="shared" si="177"/>
        <v>0.19999999999999996</v>
      </c>
      <c r="CA71" s="76">
        <f t="shared" si="177"/>
        <v>0.19999999999999996</v>
      </c>
      <c r="CB71" s="76">
        <f t="shared" si="177"/>
        <v>0.19999999999999996</v>
      </c>
      <c r="CC71" s="76">
        <f t="shared" si="177"/>
        <v>0.14999999999999991</v>
      </c>
      <c r="CD71" s="76">
        <f t="shared" si="177"/>
        <v>0.14999999999999991</v>
      </c>
      <c r="CE71" s="76"/>
      <c r="CF71" s="76"/>
      <c r="CG71" s="76"/>
      <c r="CH71" s="54"/>
      <c r="CI71" s="54"/>
      <c r="CJ71" s="54"/>
      <c r="CK71" s="54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</row>
    <row r="72" spans="2:109" s="59" customFormat="1">
      <c r="B72" s="59" t="s">
        <v>505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>
        <f t="shared" ref="BO72" si="178">+BO8/BK8-1</f>
        <v>0.31385068762278978</v>
      </c>
      <c r="BP72" s="76">
        <f t="shared" ref="BP72" si="179">+BP8/BL8-1</f>
        <v>0.1297973264338077</v>
      </c>
      <c r="BQ72" s="76">
        <f t="shared" ref="BQ72" si="180">+BQ8/BM8-1</f>
        <v>0.29123390112172842</v>
      </c>
      <c r="BR72" s="76">
        <f t="shared" ref="BR72" si="181">+BR8/BN8-1</f>
        <v>0.17014925373134338</v>
      </c>
      <c r="BS72" s="76">
        <f t="shared" ref="BS72" si="182">+BS8/BO8-1</f>
        <v>0.16635514018691588</v>
      </c>
      <c r="BT72" s="76">
        <f t="shared" ref="BT72" si="183">+BT8/BP8-1</f>
        <v>0.36068702290076327</v>
      </c>
      <c r="BU72" s="76">
        <f t="shared" ref="BU72" si="184">+BU8/BQ8-1</f>
        <v>0.25611325611325597</v>
      </c>
      <c r="BV72" s="76">
        <f t="shared" ref="BV72" si="185">+BV8/BR8-1</f>
        <v>0.37723214285714279</v>
      </c>
      <c r="BW72" s="76">
        <f t="shared" ref="BW72" si="186">+BW8/BS8-1</f>
        <v>0.34423076923076912</v>
      </c>
      <c r="BX72" s="76">
        <f t="shared" si="177"/>
        <v>0.19999999999999996</v>
      </c>
      <c r="BY72" s="76">
        <f t="shared" si="177"/>
        <v>0.19999999999999996</v>
      </c>
      <c r="BZ72" s="76">
        <f t="shared" si="177"/>
        <v>0.19999999999999996</v>
      </c>
      <c r="CA72" s="76">
        <f t="shared" si="177"/>
        <v>0.19999999999999996</v>
      </c>
      <c r="CB72" s="76">
        <f t="shared" si="177"/>
        <v>0.19999999999999996</v>
      </c>
      <c r="CC72" s="76">
        <f t="shared" si="177"/>
        <v>0.19999999999999996</v>
      </c>
      <c r="CD72" s="76">
        <f t="shared" si="177"/>
        <v>0.19999999999999996</v>
      </c>
      <c r="CE72" s="76"/>
      <c r="CF72" s="76"/>
      <c r="CG72" s="76"/>
      <c r="CH72" s="54"/>
      <c r="CI72" s="54"/>
      <c r="CJ72" s="54"/>
      <c r="CK72" s="54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</row>
    <row r="73" spans="2:109" s="59" customFormat="1">
      <c r="B73" s="59" t="s">
        <v>56</v>
      </c>
      <c r="C73" s="54"/>
      <c r="D73" s="54"/>
      <c r="E73" s="54"/>
      <c r="F73" s="54"/>
      <c r="G73" s="54"/>
      <c r="H73" s="54"/>
      <c r="I73" s="54"/>
      <c r="J73" s="54"/>
      <c r="K73" s="76">
        <f t="shared" ref="K73:AP73" si="187">K65/G65-1</f>
        <v>0.45031564667192425</v>
      </c>
      <c r="L73" s="76">
        <f t="shared" si="187"/>
        <v>0.67610728701847322</v>
      </c>
      <c r="M73" s="76">
        <f t="shared" si="187"/>
        <v>0.34015035080861589</v>
      </c>
      <c r="N73" s="76">
        <f t="shared" si="187"/>
        <v>3.7454658637521581</v>
      </c>
      <c r="O73" s="76">
        <f t="shared" si="187"/>
        <v>1.6519622566819141</v>
      </c>
      <c r="P73" s="76">
        <f t="shared" si="187"/>
        <v>0.46464279222800253</v>
      </c>
      <c r="Q73" s="76">
        <f t="shared" si="187"/>
        <v>3.8235187048251413</v>
      </c>
      <c r="R73" s="76">
        <f t="shared" si="187"/>
        <v>0.18705136006477074</v>
      </c>
      <c r="S73" s="76">
        <f t="shared" si="187"/>
        <v>1.9471106396652482</v>
      </c>
      <c r="T73" s="76">
        <f t="shared" si="187"/>
        <v>3.7362930227057385</v>
      </c>
      <c r="U73" s="76">
        <f t="shared" si="187"/>
        <v>0.17487628448498183</v>
      </c>
      <c r="V73" s="76">
        <f t="shared" si="187"/>
        <v>-0.52026113261404561</v>
      </c>
      <c r="W73" s="76">
        <f t="shared" si="187"/>
        <v>-0.57728356037442752</v>
      </c>
      <c r="X73" s="76">
        <f t="shared" si="187"/>
        <v>-0.60384987633693554</v>
      </c>
      <c r="Y73" s="76">
        <f t="shared" si="187"/>
        <v>-0.45386568723743781</v>
      </c>
      <c r="Z73" s="76">
        <f t="shared" si="187"/>
        <v>-0.17935478589422826</v>
      </c>
      <c r="AA73" s="76">
        <f t="shared" si="187"/>
        <v>0.1144033426114861</v>
      </c>
      <c r="AB73" s="76">
        <f t="shared" si="187"/>
        <v>0.28860862968049394</v>
      </c>
      <c r="AC73" s="76">
        <f t="shared" si="187"/>
        <v>-0.10728645122357194</v>
      </c>
      <c r="AD73" s="76">
        <f t="shared" si="187"/>
        <v>0.24088397214917667</v>
      </c>
      <c r="AE73" s="76">
        <f t="shared" si="187"/>
        <v>5.1382705842108578E-2</v>
      </c>
      <c r="AF73" s="76">
        <f t="shared" si="187"/>
        <v>-6.5788977619371525E-2</v>
      </c>
      <c r="AG73" s="76">
        <f t="shared" si="187"/>
        <v>-7.1925548393590666E-2</v>
      </c>
      <c r="AH73" s="76">
        <f t="shared" si="187"/>
        <v>-0.22750132460794636</v>
      </c>
      <c r="AI73" s="76">
        <f t="shared" si="187"/>
        <v>-0.25615165684029639</v>
      </c>
      <c r="AJ73" s="76">
        <f t="shared" si="187"/>
        <v>-0.28127885987742418</v>
      </c>
      <c r="AK73" s="76">
        <f t="shared" si="187"/>
        <v>-0.29593098547977148</v>
      </c>
      <c r="AL73" s="76">
        <f t="shared" si="187"/>
        <v>-0.35581661852992075</v>
      </c>
      <c r="AM73" s="76">
        <f t="shared" si="187"/>
        <v>-3.0149108631133403E-3</v>
      </c>
      <c r="AN73" s="76">
        <f t="shared" si="187"/>
        <v>-5.4279616020450283E-2</v>
      </c>
      <c r="AO73" s="76">
        <f t="shared" si="187"/>
        <v>6.3121126760563362E-2</v>
      </c>
      <c r="AP73" s="76">
        <f t="shared" si="187"/>
        <v>5.1020408163265252E-2</v>
      </c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>
        <f t="shared" ref="BO73:BV73" si="188">+BO65/BK65-1</f>
        <v>1.0901532764496329</v>
      </c>
      <c r="BP73" s="76">
        <f t="shared" si="188"/>
        <v>0.55092697347719843</v>
      </c>
      <c r="BQ73" s="76">
        <f t="shared" si="188"/>
        <v>0.59973674091382279</v>
      </c>
      <c r="BR73" s="76">
        <f t="shared" si="188"/>
        <v>0.41339239589274546</v>
      </c>
      <c r="BS73" s="76">
        <f t="shared" si="188"/>
        <v>-0.16218791746627192</v>
      </c>
      <c r="BT73" s="76">
        <f t="shared" si="188"/>
        <v>-0.16304965193395571</v>
      </c>
      <c r="BU73" s="76">
        <f t="shared" si="188"/>
        <v>-0.17577131431327453</v>
      </c>
      <c r="BV73" s="76">
        <f t="shared" si="188"/>
        <v>0.15852138389589032</v>
      </c>
      <c r="BW73" s="76">
        <f>+BW65/BS65-1</f>
        <v>0.43758303199129145</v>
      </c>
      <c r="BX73" s="76">
        <f t="shared" ref="BX73:CD73" si="189">+BX65/BT65-1</f>
        <v>-1</v>
      </c>
      <c r="BY73" s="76">
        <f t="shared" si="189"/>
        <v>-1</v>
      </c>
      <c r="BZ73" s="76">
        <f t="shared" si="189"/>
        <v>-1</v>
      </c>
      <c r="CA73" s="76">
        <f t="shared" si="189"/>
        <v>-1</v>
      </c>
      <c r="CB73" s="76" t="e">
        <f t="shared" si="189"/>
        <v>#DIV/0!</v>
      </c>
      <c r="CC73" s="76" t="e">
        <f t="shared" si="189"/>
        <v>#DIV/0!</v>
      </c>
      <c r="CD73" s="76" t="e">
        <f t="shared" si="189"/>
        <v>#DIV/0!</v>
      </c>
      <c r="CE73" s="76"/>
      <c r="CF73" s="76"/>
      <c r="CG73" s="76"/>
      <c r="CH73" s="54"/>
      <c r="CI73" s="77">
        <f t="shared" ref="CI73:DB73" si="190">CI65/CH65-1</f>
        <v>-0.10439415262209151</v>
      </c>
      <c r="CJ73" s="77">
        <f t="shared" si="190"/>
        <v>1.8236125131542602E-2</v>
      </c>
      <c r="CK73" s="77">
        <f t="shared" si="190"/>
        <v>8.8659943146997877E-2</v>
      </c>
      <c r="CL73" s="77">
        <f t="shared" si="190"/>
        <v>1.8914666658705448E-2</v>
      </c>
      <c r="CM73" s="77">
        <f t="shared" si="190"/>
        <v>0.18158561537982321</v>
      </c>
      <c r="CN73" s="77">
        <f t="shared" si="190"/>
        <v>0.355007280514271</v>
      </c>
      <c r="CO73" s="77">
        <f t="shared" si="190"/>
        <v>0.84588192053743061</v>
      </c>
      <c r="CP73" s="77">
        <f t="shared" si="190"/>
        <v>-0.49685325768272792</v>
      </c>
      <c r="CQ73" s="77">
        <f t="shared" si="190"/>
        <v>-0.14043421391571609</v>
      </c>
      <c r="CR73" s="77">
        <f t="shared" si="190"/>
        <v>9.3314477344200064E-2</v>
      </c>
      <c r="CS73" s="77">
        <f t="shared" si="190"/>
        <v>-0.22893757352803867</v>
      </c>
      <c r="CT73" s="77">
        <f t="shared" si="190"/>
        <v>1.2016641585964121</v>
      </c>
      <c r="CU73" s="77">
        <f t="shared" si="190"/>
        <v>-0.13408828099719217</v>
      </c>
      <c r="CV73" s="77">
        <f t="shared" si="190"/>
        <v>-8.57442819850458E-2</v>
      </c>
      <c r="CW73" s="77">
        <f t="shared" si="190"/>
        <v>-0.26934669963902469</v>
      </c>
      <c r="CX73" s="77">
        <f t="shared" si="190"/>
        <v>-0.42034326434453995</v>
      </c>
      <c r="CY73" s="77">
        <f t="shared" si="190"/>
        <v>1.4843288362583307E-2</v>
      </c>
      <c r="CZ73" s="77">
        <f t="shared" si="190"/>
        <v>5.5453194865325628E-2</v>
      </c>
      <c r="DA73" s="77">
        <f t="shared" si="190"/>
        <v>0.11701237913812879</v>
      </c>
      <c r="DB73" s="77">
        <f t="shared" si="190"/>
        <v>0.10149337601284403</v>
      </c>
      <c r="DD73" s="58" t="s">
        <v>273</v>
      </c>
      <c r="DE73" s="76">
        <v>0.05</v>
      </c>
    </row>
    <row r="74" spans="2:109">
      <c r="CY74" s="53"/>
      <c r="CZ74" s="53"/>
      <c r="DA74" s="53"/>
      <c r="DB74" s="53"/>
      <c r="DD74" s="53" t="s">
        <v>245</v>
      </c>
      <c r="DE74" s="73">
        <v>-0.05</v>
      </c>
    </row>
    <row r="75" spans="2:109">
      <c r="B75" s="52" t="s">
        <v>123</v>
      </c>
      <c r="F75" s="74">
        <f t="shared" ref="F75:R75" si="191">F56/F54</f>
        <v>0.72539324245965431</v>
      </c>
      <c r="G75" s="74">
        <f t="shared" si="191"/>
        <v>0.71365107340828793</v>
      </c>
      <c r="H75" s="74">
        <f t="shared" si="191"/>
        <v>0.72475991913065463</v>
      </c>
      <c r="I75" s="74">
        <f t="shared" si="191"/>
        <v>0.73272302052168048</v>
      </c>
      <c r="J75" s="74">
        <f t="shared" si="191"/>
        <v>0.74005151506381495</v>
      </c>
      <c r="K75" s="74">
        <f t="shared" si="191"/>
        <v>0.75013167270812031</v>
      </c>
      <c r="L75" s="74">
        <f t="shared" si="191"/>
        <v>0.74846625766871167</v>
      </c>
      <c r="M75" s="74">
        <f t="shared" si="191"/>
        <v>0.75506122118009567</v>
      </c>
      <c r="N75" s="74">
        <f t="shared" si="191"/>
        <v>0.81222054008379396</v>
      </c>
      <c r="O75" s="74">
        <f t="shared" si="191"/>
        <v>0.78222379603399439</v>
      </c>
      <c r="P75" s="74">
        <f t="shared" si="191"/>
        <v>0.76181506032714963</v>
      </c>
      <c r="Q75" s="74">
        <f t="shared" si="191"/>
        <v>0.82123302764734796</v>
      </c>
      <c r="R75" s="74">
        <f t="shared" si="191"/>
        <v>0.80905231258532484</v>
      </c>
      <c r="S75" s="74">
        <v>0.75800000000000001</v>
      </c>
      <c r="T75" s="74">
        <v>0.75800000000000001</v>
      </c>
      <c r="U75" s="74">
        <v>0.75800000000000001</v>
      </c>
      <c r="V75" s="74">
        <v>0.75800000000000001</v>
      </c>
      <c r="W75" s="74">
        <f t="shared" ref="W75:AP75" si="192">W56/W54</f>
        <v>0.83310846723087617</v>
      </c>
      <c r="X75" s="74">
        <f t="shared" si="192"/>
        <v>0.81472572601936055</v>
      </c>
      <c r="Y75" s="74">
        <f t="shared" si="192"/>
        <v>0.81087738223660555</v>
      </c>
      <c r="Z75" s="74">
        <f t="shared" si="192"/>
        <v>0.75879676440849342</v>
      </c>
      <c r="AA75" s="74">
        <f t="shared" si="192"/>
        <v>0.79536961079208823</v>
      </c>
      <c r="AB75" s="74">
        <f t="shared" si="192"/>
        <v>0.82189016647241986</v>
      </c>
      <c r="AC75" s="74">
        <f t="shared" si="192"/>
        <v>0.82535191341868852</v>
      </c>
      <c r="AD75" s="74">
        <f t="shared" si="192"/>
        <v>0.80084690974915962</v>
      </c>
      <c r="AE75" s="74">
        <f t="shared" si="192"/>
        <v>0.79790039731470075</v>
      </c>
      <c r="AF75" s="74">
        <f t="shared" si="192"/>
        <v>0.80360798362333674</v>
      </c>
      <c r="AG75" s="74">
        <f t="shared" si="192"/>
        <v>0.78235552447097467</v>
      </c>
      <c r="AH75" s="74">
        <f t="shared" si="192"/>
        <v>0.78143965075322874</v>
      </c>
      <c r="AI75" s="74">
        <f t="shared" si="192"/>
        <v>0.78618092246180205</v>
      </c>
      <c r="AJ75" s="74">
        <f t="shared" si="192"/>
        <v>0.79525042406927948</v>
      </c>
      <c r="AK75" s="74">
        <f t="shared" si="192"/>
        <v>0.77885163068442809</v>
      </c>
      <c r="AL75" s="74">
        <f t="shared" si="192"/>
        <v>0.75392835865355978</v>
      </c>
      <c r="AM75" s="74">
        <f t="shared" si="192"/>
        <v>0.78323260106402215</v>
      </c>
      <c r="AN75" s="74">
        <f t="shared" si="192"/>
        <v>0.79181946915507795</v>
      </c>
      <c r="AO75" s="74">
        <f t="shared" si="192"/>
        <v>0.78046511627906967</v>
      </c>
      <c r="AP75" s="74">
        <f t="shared" si="192"/>
        <v>0.75574733885274992</v>
      </c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>
        <f t="shared" ref="BK75" si="193">BK56/BK54</f>
        <v>0.80155535044480664</v>
      </c>
      <c r="BL75" s="74">
        <f t="shared" ref="BL75:BM75" si="194">BL56/BL54</f>
        <v>0.80958716979793144</v>
      </c>
      <c r="BM75" s="74">
        <f t="shared" si="194"/>
        <v>0.79579316389132326</v>
      </c>
      <c r="BN75" s="74">
        <f t="shared" ref="BN75:BO75" si="195">BN56/BN54</f>
        <v>0.79893037633089647</v>
      </c>
      <c r="BO75" s="74">
        <f t="shared" si="195"/>
        <v>0.82338927660614203</v>
      </c>
      <c r="BP75" s="74">
        <f t="shared" ref="BP75:BV75" si="196">BP56/BP54</f>
        <v>0.8223858568866742</v>
      </c>
      <c r="BQ75" s="74">
        <f t="shared" si="196"/>
        <v>0.81907964174783621</v>
      </c>
      <c r="BR75" s="74">
        <f t="shared" si="196"/>
        <v>0.76942053468479332</v>
      </c>
      <c r="BS75" s="74">
        <f t="shared" si="196"/>
        <v>0.754408134477489</v>
      </c>
      <c r="BT75" s="74">
        <f t="shared" si="196"/>
        <v>0.79258467975252589</v>
      </c>
      <c r="BU75" s="74">
        <f t="shared" si="196"/>
        <v>0.79006585358651027</v>
      </c>
      <c r="BV75" s="74">
        <f t="shared" si="196"/>
        <v>0.74370898181136325</v>
      </c>
      <c r="BW75" s="74">
        <f>BW56/BW54</f>
        <v>0.76088654434642322</v>
      </c>
      <c r="BX75" s="74"/>
      <c r="BY75" s="74"/>
      <c r="BZ75" s="74"/>
      <c r="CA75" s="74"/>
      <c r="CB75" s="74"/>
      <c r="CC75" s="74"/>
      <c r="CD75" s="74"/>
      <c r="CE75" s="74"/>
      <c r="CF75" s="74"/>
      <c r="CL75" s="74">
        <f>CL56/CL54</f>
        <v>0.76286689419795217</v>
      </c>
      <c r="CM75" s="74">
        <f>CM56/CM54</f>
        <v>0.77818608040041815</v>
      </c>
      <c r="CN75" s="74">
        <v>0.78</v>
      </c>
      <c r="CO75" s="74">
        <f>CO56/CO54</f>
        <v>1.0500260329761235</v>
      </c>
      <c r="CP75" s="74">
        <f>CP56/CP54</f>
        <v>0.82263518056731477</v>
      </c>
      <c r="CQ75" s="74">
        <f>CQ56/CQ54</f>
        <v>0.80057367839296967</v>
      </c>
      <c r="CR75" s="74">
        <f>CR56/CR54</f>
        <v>0.78775238406352488</v>
      </c>
      <c r="CS75" s="74">
        <f>CS56/CS54</f>
        <v>0.77880780865347043</v>
      </c>
      <c r="CT75" s="74">
        <v>0.80500000000000005</v>
      </c>
      <c r="CU75" s="74">
        <v>0.8</v>
      </c>
      <c r="CV75" s="74">
        <v>0.8</v>
      </c>
      <c r="CW75" s="74">
        <v>0.79500000000000004</v>
      </c>
      <c r="CX75" s="74">
        <v>0.79500000000000004</v>
      </c>
      <c r="CY75" s="74">
        <v>0.79500000000000004</v>
      </c>
      <c r="CZ75" s="74">
        <v>0.79500000000000004</v>
      </c>
      <c r="DA75" s="74">
        <v>0.79500000000000004</v>
      </c>
      <c r="DB75" s="74">
        <v>0.79500000000000004</v>
      </c>
      <c r="DD75" s="53" t="s">
        <v>244</v>
      </c>
      <c r="DE75" s="73">
        <v>0.1</v>
      </c>
    </row>
    <row r="76" spans="2:109">
      <c r="B76" s="52" t="s">
        <v>59</v>
      </c>
      <c r="F76" s="74">
        <f t="shared" ref="F76:AP76" si="197">F57/F54</f>
        <v>0.34829412011008376</v>
      </c>
      <c r="G76" s="74">
        <f t="shared" si="197"/>
        <v>0.36335311988936692</v>
      </c>
      <c r="H76" s="74">
        <f t="shared" si="197"/>
        <v>0.36204826889057362</v>
      </c>
      <c r="I76" s="74">
        <f t="shared" si="197"/>
        <v>0.33844970713412836</v>
      </c>
      <c r="J76" s="74">
        <f t="shared" si="197"/>
        <v>0.3443984603362949</v>
      </c>
      <c r="K76" s="74">
        <f t="shared" si="197"/>
        <v>0.35412213030950829</v>
      </c>
      <c r="L76" s="74">
        <f t="shared" si="197"/>
        <v>0.36167104878761319</v>
      </c>
      <c r="M76" s="74">
        <f t="shared" si="197"/>
        <v>0.35200151363624077</v>
      </c>
      <c r="N76" s="74">
        <f t="shared" si="197"/>
        <v>0.25034327359785941</v>
      </c>
      <c r="O76" s="74">
        <f t="shared" si="197"/>
        <v>0.31558073654390933</v>
      </c>
      <c r="P76" s="74">
        <f t="shared" si="197"/>
        <v>0.36356049406266394</v>
      </c>
      <c r="Q76" s="74">
        <f t="shared" si="197"/>
        <v>0.25050429711999733</v>
      </c>
      <c r="R76" s="74">
        <f t="shared" si="197"/>
        <v>0.26340819418815725</v>
      </c>
      <c r="S76" s="74">
        <f t="shared" si="197"/>
        <v>0.24840590855202022</v>
      </c>
      <c r="T76" s="74">
        <f t="shared" si="197"/>
        <v>0.25361378384426042</v>
      </c>
      <c r="U76" s="74">
        <f t="shared" si="197"/>
        <v>0.24264002707116478</v>
      </c>
      <c r="V76" s="74">
        <f t="shared" si="197"/>
        <v>0.32983398906055078</v>
      </c>
      <c r="W76" s="74">
        <f t="shared" si="197"/>
        <v>0.31260476716137209</v>
      </c>
      <c r="X76" s="74">
        <f t="shared" si="197"/>
        <v>0.33405690818421824</v>
      </c>
      <c r="Y76" s="74">
        <f t="shared" si="197"/>
        <v>0.30596907587198846</v>
      </c>
      <c r="Z76" s="74">
        <f t="shared" si="197"/>
        <v>0.32917087967644082</v>
      </c>
      <c r="AA76" s="74">
        <f t="shared" si="197"/>
        <v>0.29430316288396685</v>
      </c>
      <c r="AB76" s="74">
        <f t="shared" si="197"/>
        <v>0.3053559935289718</v>
      </c>
      <c r="AC76" s="74">
        <f t="shared" si="197"/>
        <v>0.2997276649925727</v>
      </c>
      <c r="AD76" s="74">
        <f t="shared" si="197"/>
        <v>0.32142164468580292</v>
      </c>
      <c r="AE76" s="74">
        <f t="shared" si="197"/>
        <v>0.30581244006028224</v>
      </c>
      <c r="AF76" s="74">
        <f t="shared" si="197"/>
        <v>0.32673362333674522</v>
      </c>
      <c r="AG76" s="74">
        <f t="shared" si="197"/>
        <v>0.31193376815601565</v>
      </c>
      <c r="AH76" s="74">
        <f t="shared" si="197"/>
        <v>0.35278554065450696</v>
      </c>
      <c r="AI76" s="74">
        <f t="shared" si="197"/>
        <v>0.32976938454947874</v>
      </c>
      <c r="AJ76" s="74">
        <f t="shared" si="197"/>
        <v>0.34480849924113921</v>
      </c>
      <c r="AK76" s="74">
        <f t="shared" si="197"/>
        <v>0.32290307762976572</v>
      </c>
      <c r="AL76" s="74">
        <f t="shared" si="197"/>
        <v>0.35995680667262442</v>
      </c>
      <c r="AM76" s="74">
        <f t="shared" si="197"/>
        <v>0.33431652853678839</v>
      </c>
      <c r="AN76" s="74">
        <f t="shared" si="197"/>
        <v>0.35058639846047712</v>
      </c>
      <c r="AO76" s="74">
        <f t="shared" si="197"/>
        <v>0.32054719562243505</v>
      </c>
      <c r="AP76" s="74">
        <f t="shared" si="197"/>
        <v>0.35729597871082203</v>
      </c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>
        <f t="shared" ref="BK76" si="198">BK57/BK54</f>
        <v>0.29793209088588202</v>
      </c>
      <c r="BL76" s="74">
        <f t="shared" ref="BL76:BM76" si="199">BL57/BL54</f>
        <v>0.28142352795075126</v>
      </c>
      <c r="BM76" s="74">
        <f t="shared" si="199"/>
        <v>0.25786955886649138</v>
      </c>
      <c r="BN76" s="74">
        <f t="shared" ref="BN76:BO76" si="200">BN57/BN54</f>
        <v>0.27772598662152659</v>
      </c>
      <c r="BO76" s="74">
        <f t="shared" si="200"/>
        <v>0.23664157109478801</v>
      </c>
      <c r="BP76" s="74">
        <f t="shared" ref="BP76:BV76" si="201">BP57/BP54</f>
        <v>0.22988907050925994</v>
      </c>
      <c r="BQ76" s="74">
        <f t="shared" si="201"/>
        <v>0.23658816079129097</v>
      </c>
      <c r="BR76" s="74">
        <f t="shared" si="201"/>
        <v>0.20833668516879847</v>
      </c>
      <c r="BS76" s="74">
        <f t="shared" si="201"/>
        <v>0.23157399788409547</v>
      </c>
      <c r="BT76" s="74">
        <f t="shared" si="201"/>
        <v>0.25010014688209381</v>
      </c>
      <c r="BU76" s="74">
        <f t="shared" si="201"/>
        <v>0.23298290169211239</v>
      </c>
      <c r="BV76" s="74">
        <f t="shared" si="201"/>
        <v>0.19901243827739237</v>
      </c>
      <c r="BW76" s="74">
        <f>BW57/BW54</f>
        <v>0.19947247794522477</v>
      </c>
      <c r="BX76" s="74"/>
      <c r="BY76" s="74"/>
      <c r="BZ76" s="74"/>
      <c r="CA76" s="74"/>
      <c r="CB76" s="74"/>
      <c r="CC76" s="74"/>
      <c r="CD76" s="74"/>
      <c r="CE76" s="74"/>
      <c r="CF76" s="74"/>
      <c r="CH76" s="74">
        <f t="shared" ref="CH76:DB76" si="202">CH57/CH54</f>
        <v>0.29383437956832059</v>
      </c>
      <c r="CI76" s="74">
        <f t="shared" si="202"/>
        <v>0.30910896452107972</v>
      </c>
      <c r="CJ76" s="74">
        <f t="shared" si="202"/>
        <v>0.32220897894318634</v>
      </c>
      <c r="CK76" s="74">
        <f t="shared" si="202"/>
        <v>0.30911321163143085</v>
      </c>
      <c r="CL76" s="74">
        <f t="shared" si="202"/>
        <v>0.30696245733788396</v>
      </c>
      <c r="CM76" s="74">
        <f t="shared" si="202"/>
        <v>0.30107390629454817</v>
      </c>
      <c r="CN76" s="74">
        <f t="shared" si="202"/>
        <v>0.26468097532486495</v>
      </c>
      <c r="CO76" s="74">
        <f t="shared" si="202"/>
        <v>0.33758834028714957</v>
      </c>
      <c r="CP76" s="74">
        <f t="shared" si="202"/>
        <v>0.32861448926124021</v>
      </c>
      <c r="CQ76" s="74">
        <f t="shared" si="202"/>
        <v>0.32216426568252204</v>
      </c>
      <c r="CR76" s="74">
        <f t="shared" si="202"/>
        <v>0.33001637538582668</v>
      </c>
      <c r="CS76" s="74">
        <f t="shared" si="202"/>
        <v>0.33926219307249983</v>
      </c>
      <c r="CT76" s="74">
        <f t="shared" si="202"/>
        <v>0.32285835105295357</v>
      </c>
      <c r="CU76" s="74">
        <f t="shared" si="202"/>
        <v>0.30576476991515661</v>
      </c>
      <c r="CV76" s="74">
        <f t="shared" si="202"/>
        <v>0.3130413685118878</v>
      </c>
      <c r="CW76" s="74">
        <f t="shared" si="202"/>
        <v>0.35132352253726451</v>
      </c>
      <c r="CX76" s="74">
        <f t="shared" si="202"/>
        <v>0.43841052307265366</v>
      </c>
      <c r="CY76" s="74">
        <f t="shared" si="202"/>
        <v>0.41467636724673979</v>
      </c>
      <c r="CZ76" s="74">
        <f t="shared" si="202"/>
        <v>0.38302648277219226</v>
      </c>
      <c r="DA76" s="74">
        <f t="shared" si="202"/>
        <v>0.34048242855831989</v>
      </c>
      <c r="DB76" s="74">
        <f t="shared" si="202"/>
        <v>0.30184676791011922</v>
      </c>
      <c r="DD76" s="53" t="s">
        <v>246</v>
      </c>
      <c r="DE76" s="57">
        <f>NPV($DE$75,CS64:GN64)+Main!J5-Main!J6+CR64</f>
        <v>29474.510137954894</v>
      </c>
    </row>
    <row r="77" spans="2:109">
      <c r="B77" s="52" t="s">
        <v>60</v>
      </c>
      <c r="F77" s="74">
        <f t="shared" ref="F77:AP77" si="203">F58/F54</f>
        <v>0.22394867832214857</v>
      </c>
      <c r="G77" s="74">
        <f t="shared" si="203"/>
        <v>0.23401274326819779</v>
      </c>
      <c r="H77" s="74">
        <f t="shared" si="203"/>
        <v>0.24083901945918626</v>
      </c>
      <c r="I77" s="74">
        <f t="shared" si="203"/>
        <v>0.23734777295520623</v>
      </c>
      <c r="J77" s="74">
        <f t="shared" si="203"/>
        <v>0.23442248140537719</v>
      </c>
      <c r="K77" s="74">
        <f t="shared" si="203"/>
        <v>0.22957523933451063</v>
      </c>
      <c r="L77" s="74">
        <f t="shared" si="203"/>
        <v>0.22640958223780311</v>
      </c>
      <c r="M77" s="74">
        <f t="shared" si="203"/>
        <v>0.21320647620077304</v>
      </c>
      <c r="N77" s="74">
        <f t="shared" si="203"/>
        <v>0.15667359081787136</v>
      </c>
      <c r="O77" s="74">
        <f t="shared" si="203"/>
        <v>0.19693106704438151</v>
      </c>
      <c r="P77" s="74">
        <f t="shared" si="203"/>
        <v>0.20372931470265629</v>
      </c>
      <c r="Q77" s="74">
        <f t="shared" si="203"/>
        <v>0.14315257742444021</v>
      </c>
      <c r="R77" s="74">
        <f t="shared" si="203"/>
        <v>0.14306074380785214</v>
      </c>
      <c r="S77" s="74">
        <f t="shared" si="203"/>
        <v>0.14052036271588322</v>
      </c>
      <c r="T77" s="74">
        <f t="shared" si="203"/>
        <v>0.1419407772059372</v>
      </c>
      <c r="U77" s="74">
        <f t="shared" si="203"/>
        <v>0.14021097853433181</v>
      </c>
      <c r="V77" s="74">
        <f t="shared" si="203"/>
        <v>0.19884847903272238</v>
      </c>
      <c r="W77" s="74">
        <f t="shared" si="203"/>
        <v>0.19365059896152745</v>
      </c>
      <c r="X77" s="74">
        <f t="shared" si="203"/>
        <v>0.20346142563801703</v>
      </c>
      <c r="Y77" s="74">
        <f t="shared" si="203"/>
        <v>0.20174397698669541</v>
      </c>
      <c r="Z77" s="74">
        <f t="shared" si="203"/>
        <v>0.2050387596899225</v>
      </c>
      <c r="AA77" s="74">
        <f t="shared" si="203"/>
        <v>0.1894266703126424</v>
      </c>
      <c r="AB77" s="74">
        <f t="shared" si="203"/>
        <v>0.20651625584914851</v>
      </c>
      <c r="AC77" s="74">
        <f t="shared" si="203"/>
        <v>0.2157105467921058</v>
      </c>
      <c r="AD77" s="74">
        <f t="shared" si="203"/>
        <v>0.23243147142487713</v>
      </c>
      <c r="AE77" s="74">
        <f t="shared" si="203"/>
        <v>0.19249212220852172</v>
      </c>
      <c r="AF77" s="74">
        <f t="shared" si="203"/>
        <v>0.20160568065506657</v>
      </c>
      <c r="AG77" s="74">
        <f t="shared" si="203"/>
        <v>0.20834078821099203</v>
      </c>
      <c r="AH77" s="74">
        <f t="shared" si="203"/>
        <v>0.22411654788087243</v>
      </c>
      <c r="AI77" s="74">
        <f t="shared" si="203"/>
        <v>0.20553691275167782</v>
      </c>
      <c r="AJ77" s="74">
        <f t="shared" si="203"/>
        <v>0.23581823051513262</v>
      </c>
      <c r="AK77" s="74">
        <f t="shared" si="203"/>
        <v>0.24672485071198896</v>
      </c>
      <c r="AL77" s="74">
        <f t="shared" si="203"/>
        <v>0.24301831992850759</v>
      </c>
      <c r="AM77" s="74">
        <f t="shared" si="203"/>
        <v>0.20837103253591982</v>
      </c>
      <c r="AN77" s="74">
        <f t="shared" si="203"/>
        <v>0.23976979775607277</v>
      </c>
      <c r="AO77" s="74">
        <f t="shared" si="203"/>
        <v>0.24492476060191518</v>
      </c>
      <c r="AP77" s="74">
        <f t="shared" si="203"/>
        <v>0.24122191011235955</v>
      </c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>
        <f t="shared" ref="BK77" si="204">BK58/BK54</f>
        <v>0.24164882857760059</v>
      </c>
      <c r="BL77" s="74">
        <f t="shared" ref="BL77:BM77" si="205">BL58/BL54</f>
        <v>0.24876257384639947</v>
      </c>
      <c r="BM77" s="74">
        <f t="shared" si="205"/>
        <v>0.25213628396143734</v>
      </c>
      <c r="BN77" s="74">
        <f t="shared" ref="BN77:BO77" si="206">BN58/BN54</f>
        <v>0.25863958261779768</v>
      </c>
      <c r="BO77" s="74">
        <f t="shared" si="206"/>
        <v>0.21258952705282291</v>
      </c>
      <c r="BP77" s="74">
        <f t="shared" ref="BP77:BV77" si="207">BP58/BP54</f>
        <v>0.22062114166917934</v>
      </c>
      <c r="BQ77" s="74">
        <f t="shared" si="207"/>
        <v>0.22095232351255994</v>
      </c>
      <c r="BR77" s="74">
        <f t="shared" si="207"/>
        <v>0.24642694339420268</v>
      </c>
      <c r="BS77" s="74">
        <f t="shared" si="207"/>
        <v>0.2456947219936523</v>
      </c>
      <c r="BT77" s="74">
        <f t="shared" si="207"/>
        <v>0.24818622869096901</v>
      </c>
      <c r="BU77" s="74">
        <f t="shared" si="207"/>
        <v>0.25232554705726018</v>
      </c>
      <c r="BV77" s="74">
        <f t="shared" si="207"/>
        <v>0.24494030876929812</v>
      </c>
      <c r="BW77" s="74">
        <f>BW58/BW54</f>
        <v>0.20615613116349341</v>
      </c>
      <c r="BX77" s="74"/>
      <c r="BY77" s="74"/>
      <c r="BZ77" s="74"/>
      <c r="CA77" s="74"/>
      <c r="CB77" s="74"/>
      <c r="CC77" s="74"/>
      <c r="CD77" s="74"/>
      <c r="CE77" s="74"/>
      <c r="CF77" s="74"/>
      <c r="CY77" s="60"/>
      <c r="CZ77" s="60"/>
      <c r="DD77" s="70"/>
      <c r="DE77" s="75">
        <f>DE76/Main!$J$3</f>
        <v>31.02059002487486</v>
      </c>
    </row>
    <row r="78" spans="2:109">
      <c r="B78" s="52" t="s">
        <v>207</v>
      </c>
      <c r="F78" s="74">
        <f t="shared" ref="F78:R78" si="208">F63/F62</f>
        <v>0.41673612268711452</v>
      </c>
      <c r="G78" s="74">
        <f t="shared" si="208"/>
        <v>0.46445508108287376</v>
      </c>
      <c r="H78" s="74">
        <f t="shared" si="208"/>
        <v>0.47611317254174368</v>
      </c>
      <c r="I78" s="74">
        <f t="shared" si="208"/>
        <v>0.38536054109824602</v>
      </c>
      <c r="J78" s="74">
        <f t="shared" si="208"/>
        <v>0.30359645025688908</v>
      </c>
      <c r="K78" s="74">
        <f t="shared" si="208"/>
        <v>0.3900210822206604</v>
      </c>
      <c r="L78" s="74">
        <f t="shared" si="208"/>
        <v>0.3674496644295302</v>
      </c>
      <c r="M78" s="74">
        <f t="shared" si="208"/>
        <v>0.31622706422018343</v>
      </c>
      <c r="N78" s="74">
        <f t="shared" si="208"/>
        <v>9.680864698594438E-2</v>
      </c>
      <c r="O78" s="74">
        <f t="shared" si="208"/>
        <v>0.21815718157181574</v>
      </c>
      <c r="P78" s="74">
        <f t="shared" si="208"/>
        <v>0.32179549902152643</v>
      </c>
      <c r="Q78" s="74">
        <f t="shared" si="208"/>
        <v>0.10236373532384734</v>
      </c>
      <c r="R78" s="74">
        <f t="shared" si="208"/>
        <v>7.2875239357784644E-2</v>
      </c>
      <c r="S78" s="74">
        <v>0.22</v>
      </c>
      <c r="T78" s="74">
        <v>0.22</v>
      </c>
      <c r="U78" s="74">
        <v>0.22</v>
      </c>
      <c r="V78" s="74">
        <v>0.22</v>
      </c>
      <c r="W78" s="74">
        <f t="shared" ref="W78:AP78" si="209">W63/W62</f>
        <v>0.24231121580944903</v>
      </c>
      <c r="X78" s="74">
        <f t="shared" si="209"/>
        <v>0.24831347782402755</v>
      </c>
      <c r="Y78" s="74">
        <f t="shared" si="209"/>
        <v>7.8861236336688664E-2</v>
      </c>
      <c r="Z78" s="74">
        <f t="shared" si="209"/>
        <v>0.21005613091944028</v>
      </c>
      <c r="AA78" s="74">
        <f t="shared" si="209"/>
        <v>0.27264573991031388</v>
      </c>
      <c r="AB78" s="74">
        <f t="shared" si="209"/>
        <v>0.22206943966998971</v>
      </c>
      <c r="AC78" s="74">
        <f t="shared" si="209"/>
        <v>0.21555204493593119</v>
      </c>
      <c r="AD78" s="74">
        <f t="shared" si="209"/>
        <v>0.16120365394948946</v>
      </c>
      <c r="AE78" s="74">
        <f t="shared" si="209"/>
        <v>0.20900931998619257</v>
      </c>
      <c r="AF78" s="74">
        <f t="shared" si="209"/>
        <v>0.20076941572493406</v>
      </c>
      <c r="AG78" s="74">
        <f t="shared" si="209"/>
        <v>0.17926565874730019</v>
      </c>
      <c r="AH78" s="74">
        <f t="shared" si="209"/>
        <v>0.19874390546235837</v>
      </c>
      <c r="AI78" s="74">
        <f t="shared" si="209"/>
        <v>0.24435454211107024</v>
      </c>
      <c r="AJ78" s="74">
        <f t="shared" si="209"/>
        <v>0.22108814846056535</v>
      </c>
      <c r="AK78" s="74">
        <f t="shared" si="209"/>
        <v>0.22108127084430404</v>
      </c>
      <c r="AL78" s="74">
        <f t="shared" si="209"/>
        <v>0.20000000000000004</v>
      </c>
      <c r="AM78" s="74">
        <f t="shared" si="209"/>
        <v>0.2</v>
      </c>
      <c r="AN78" s="74">
        <f t="shared" si="209"/>
        <v>0.2</v>
      </c>
      <c r="AO78" s="74">
        <f t="shared" si="209"/>
        <v>0.2</v>
      </c>
      <c r="AP78" s="74">
        <f t="shared" si="209"/>
        <v>0.20000000000000004</v>
      </c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>
        <f t="shared" ref="BK78" si="210">BK63/BK62</f>
        <v>0.14349424927626941</v>
      </c>
      <c r="BL78" s="74">
        <f t="shared" ref="BL78:BM78" si="211">BL63/BL62</f>
        <v>0.10415262235405147</v>
      </c>
      <c r="BM78" s="74">
        <f t="shared" si="211"/>
        <v>0.12209341739543082</v>
      </c>
      <c r="BN78" s="74">
        <f t="shared" ref="BN78:BO78" si="212">BN63/BN62</f>
        <v>0.10993629736652002</v>
      </c>
      <c r="BO78" s="74">
        <f t="shared" si="212"/>
        <v>0.10620177916438304</v>
      </c>
      <c r="BP78" s="74">
        <f t="shared" ref="BP78:BV78" si="213">BP63/BP62</f>
        <v>0.10242694841076869</v>
      </c>
      <c r="BQ78" s="74">
        <f t="shared" si="213"/>
        <v>0.11158167675021612</v>
      </c>
      <c r="BR78" s="74">
        <f t="shared" si="213"/>
        <v>0.1556439142920257</v>
      </c>
      <c r="BS78" s="74">
        <f t="shared" si="213"/>
        <v>7.4556151403134305E-2</v>
      </c>
      <c r="BT78" s="74">
        <f t="shared" si="213"/>
        <v>0.10709216129541041</v>
      </c>
      <c r="BU78" s="74">
        <f t="shared" si="213"/>
        <v>0.14760370519532837</v>
      </c>
      <c r="BV78" s="74">
        <f t="shared" si="213"/>
        <v>4.9039041627165408E-2</v>
      </c>
      <c r="BW78" s="74">
        <f>BW63/BW62</f>
        <v>9.7358034349109265E-2</v>
      </c>
      <c r="BX78" s="74"/>
      <c r="BY78" s="74"/>
      <c r="BZ78" s="74"/>
      <c r="CA78" s="74"/>
      <c r="CB78" s="74"/>
      <c r="CC78" s="74"/>
      <c r="CD78" s="74"/>
      <c r="CE78" s="74"/>
      <c r="CF78" s="74"/>
      <c r="CY78" s="60"/>
      <c r="CZ78" s="60"/>
    </row>
    <row r="80" spans="2:109">
      <c r="B80" s="52" t="s">
        <v>188</v>
      </c>
      <c r="Z80" s="57">
        <f>4498-6662+1155.8</f>
        <v>-1008.2</v>
      </c>
      <c r="AA80" s="57">
        <f>+Z80+AA64</f>
        <v>289.39999999999986</v>
      </c>
      <c r="AE80" s="57">
        <f>+AE82-AE95</f>
        <v>1939.5</v>
      </c>
      <c r="AF80" s="57">
        <f t="shared" ref="AF80" si="214">+AF82-AF95</f>
        <v>2544.1999999999989</v>
      </c>
      <c r="AG80" s="57">
        <f t="shared" ref="AG80" si="215">+AG82-AG95</f>
        <v>2923.8999999999996</v>
      </c>
      <c r="AH80" s="57">
        <f>+AH82-AH95</f>
        <v>3939.9000000000015</v>
      </c>
      <c r="AI80" s="57">
        <f>+AI82-AI95</f>
        <v>4031.9000000000005</v>
      </c>
      <c r="AJ80" s="57">
        <f>+AJ82-AJ95</f>
        <v>4299.8</v>
      </c>
      <c r="AK80" s="57">
        <f>+AK82-AK95</f>
        <v>6604.2000000000007</v>
      </c>
      <c r="AL80" s="57">
        <f>+AK80+AL64</f>
        <v>7231.4000000000005</v>
      </c>
      <c r="AM80" s="57">
        <f>+AL80+AM64</f>
        <v>8258.0400000000009</v>
      </c>
      <c r="AN80" s="57">
        <f>+AM80+AN64</f>
        <v>9132.6</v>
      </c>
      <c r="AO80" s="57">
        <f>+AN80+AO64</f>
        <v>10076.120000000001</v>
      </c>
      <c r="AP80" s="57">
        <f>+AO80+AP64</f>
        <v>10735.320000000002</v>
      </c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>
        <f t="shared" ref="BS80" si="216">+BS82-BS95</f>
        <v>-9920.7000000000007</v>
      </c>
      <c r="BT80" s="57">
        <f t="shared" ref="BT80" si="217">+BT82-BT95</f>
        <v>-9768.9999999999982</v>
      </c>
      <c r="BU80" s="57">
        <f>+BU82-BU95</f>
        <v>-9909.6000000000022</v>
      </c>
      <c r="BV80" s="57">
        <f>+BV82-BV95</f>
        <v>-9763.5</v>
      </c>
      <c r="BW80" s="57">
        <f>+BW82-BW95</f>
        <v>-11213.199999999999</v>
      </c>
      <c r="BX80" s="57"/>
      <c r="BY80" s="57"/>
      <c r="BZ80" s="57"/>
      <c r="CA80" s="57"/>
      <c r="CB80" s="57"/>
      <c r="CC80" s="57"/>
      <c r="CD80" s="57"/>
      <c r="CE80" s="57"/>
      <c r="CF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</row>
    <row r="82" spans="2:102" s="55" customFormat="1">
      <c r="B82" s="55" t="s">
        <v>175</v>
      </c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>
        <f>5993.2+733.8+1779.5</f>
        <v>8506.5</v>
      </c>
      <c r="AE82" s="57">
        <f>6506.4+206.7+1898.7</f>
        <v>8611.7999999999993</v>
      </c>
      <c r="AF82" s="57">
        <f>6113.5+216.3+2943</f>
        <v>9272.7999999999993</v>
      </c>
      <c r="AG82" s="57">
        <f>6597.7+186.6+3219.6</f>
        <v>10003.9</v>
      </c>
      <c r="AH82" s="57">
        <f>5922.5+974.6+4029.8</f>
        <v>10926.900000000001</v>
      </c>
      <c r="AI82" s="57">
        <f>4122.2+802.4+4521.1</f>
        <v>9445.7000000000007</v>
      </c>
      <c r="AJ82" s="57">
        <f>4345.8+915.7+4547.6</f>
        <v>9809.1</v>
      </c>
      <c r="AK82" s="57">
        <f>5319.2+1580.7+5224.3</f>
        <v>12124.2</v>
      </c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>
        <f>3002.4+49+3232.4</f>
        <v>6283.8</v>
      </c>
      <c r="BT82" s="57">
        <f>3220+51.2+3474.9</f>
        <v>6746.1</v>
      </c>
      <c r="BU82" s="57">
        <f>3788.2+37.1+3350.5</f>
        <v>7175.7999999999993</v>
      </c>
      <c r="BV82" s="57">
        <f>3818.5+90.1+3212.6</f>
        <v>7121.2</v>
      </c>
      <c r="BW82" s="57">
        <f>2459.2+109.1+2727.3</f>
        <v>5295.6</v>
      </c>
      <c r="BX82" s="57"/>
      <c r="BY82" s="57"/>
      <c r="BZ82" s="57"/>
      <c r="CA82" s="57"/>
      <c r="CB82" s="57"/>
      <c r="CC82" s="57"/>
      <c r="CD82" s="57"/>
      <c r="CE82" s="57"/>
      <c r="CF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</row>
    <row r="83" spans="2:102" s="55" customFormat="1">
      <c r="B83" s="56" t="s">
        <v>289</v>
      </c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>
        <v>3493.8</v>
      </c>
      <c r="AE83" s="57">
        <v>3694.3</v>
      </c>
      <c r="AF83" s="57">
        <v>3833.6</v>
      </c>
      <c r="AG83" s="57">
        <v>3533.2</v>
      </c>
      <c r="AH83" s="57">
        <v>3597.7</v>
      </c>
      <c r="AI83" s="57">
        <v>3402.1</v>
      </c>
      <c r="AJ83" s="57">
        <v>3181.7</v>
      </c>
      <c r="AK83" s="57">
        <v>3268.2</v>
      </c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>
        <v>5592.8</v>
      </c>
      <c r="BT83" s="57">
        <v>5829.4</v>
      </c>
      <c r="BU83" s="57">
        <v>5914.3</v>
      </c>
      <c r="BV83" s="57">
        <v>6672.8</v>
      </c>
      <c r="BW83" s="57">
        <v>6322.5</v>
      </c>
      <c r="BX83" s="57"/>
      <c r="BY83" s="57"/>
      <c r="BZ83" s="57"/>
      <c r="CA83" s="57"/>
      <c r="CB83" s="57"/>
      <c r="CC83" s="57"/>
      <c r="CD83" s="57"/>
      <c r="CE83" s="57"/>
      <c r="CF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</row>
    <row r="84" spans="2:102" s="55" customFormat="1">
      <c r="B84" s="56" t="s">
        <v>290</v>
      </c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>
        <v>664.3</v>
      </c>
      <c r="AE84" s="57">
        <v>488.8</v>
      </c>
      <c r="AF84" s="57">
        <v>612.9</v>
      </c>
      <c r="AG84" s="57">
        <v>564.4</v>
      </c>
      <c r="AH84" s="57">
        <v>640.20000000000005</v>
      </c>
      <c r="AI84" s="57">
        <v>529.20000000000005</v>
      </c>
      <c r="AJ84" s="57">
        <v>590</v>
      </c>
      <c r="AK84" s="57">
        <v>527.29999999999995</v>
      </c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>
        <v>1065.8</v>
      </c>
      <c r="BT84" s="57">
        <v>1073.4000000000001</v>
      </c>
      <c r="BU84" s="57">
        <v>1110.7</v>
      </c>
      <c r="BV84" s="57">
        <v>1454.4</v>
      </c>
      <c r="BW84" s="57">
        <v>1483.2</v>
      </c>
      <c r="BX84" s="57"/>
      <c r="BY84" s="57"/>
      <c r="BZ84" s="57"/>
      <c r="CA84" s="57"/>
      <c r="CB84" s="57"/>
      <c r="CC84" s="57"/>
      <c r="CD84" s="57"/>
      <c r="CE84" s="57"/>
      <c r="CF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</row>
    <row r="85" spans="2:102" s="55" customFormat="1">
      <c r="B85" s="56" t="s">
        <v>291</v>
      </c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>
        <v>2517.6999999999998</v>
      </c>
      <c r="AE85" s="57">
        <v>2767.2</v>
      </c>
      <c r="AF85" s="57">
        <v>2870.2</v>
      </c>
      <c r="AG85" s="57">
        <v>2513.3000000000002</v>
      </c>
      <c r="AH85" s="57">
        <v>2299.8000000000002</v>
      </c>
      <c r="AI85" s="57">
        <v>2424.1999999999998</v>
      </c>
      <c r="AJ85" s="57">
        <v>2320.8000000000002</v>
      </c>
      <c r="AK85" s="57">
        <v>2553.4</v>
      </c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>
        <v>3660.8</v>
      </c>
      <c r="BT85" s="57">
        <v>3824.9</v>
      </c>
      <c r="BU85" s="57">
        <v>3907.4</v>
      </c>
      <c r="BV85" s="57">
        <v>3886</v>
      </c>
      <c r="BW85" s="57">
        <v>3893</v>
      </c>
      <c r="BX85" s="57"/>
      <c r="BY85" s="57"/>
      <c r="BZ85" s="57"/>
      <c r="CA85" s="57"/>
      <c r="CB85" s="57"/>
      <c r="CC85" s="57"/>
      <c r="CD85" s="57"/>
      <c r="CE85" s="57"/>
      <c r="CF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</row>
    <row r="86" spans="2:102" s="55" customFormat="1">
      <c r="B86" s="56" t="s">
        <v>292</v>
      </c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>
        <v>828.3</v>
      </c>
      <c r="AE86" s="57">
        <v>550.1</v>
      </c>
      <c r="AF86" s="57">
        <v>436.5</v>
      </c>
      <c r="AG86" s="57">
        <v>378.4</v>
      </c>
      <c r="AH86" s="57">
        <v>158.5</v>
      </c>
      <c r="AI86" s="57">
        <v>324</v>
      </c>
      <c r="AJ86" s="57">
        <v>0</v>
      </c>
      <c r="AK86" s="57">
        <v>0</v>
      </c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>
        <v>3233.7</v>
      </c>
      <c r="BT86" s="57">
        <v>3296.6</v>
      </c>
      <c r="BU86" s="57">
        <v>3050.6</v>
      </c>
      <c r="BV86" s="57">
        <v>2530.6</v>
      </c>
      <c r="BW86" s="57">
        <v>2697.7</v>
      </c>
      <c r="BX86" s="57"/>
      <c r="BY86" s="57"/>
      <c r="BZ86" s="57"/>
      <c r="CA86" s="57"/>
      <c r="CB86" s="57"/>
      <c r="CC86" s="57"/>
      <c r="CD86" s="57"/>
      <c r="CE86" s="57"/>
      <c r="CF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</row>
    <row r="87" spans="2:102" s="55" customFormat="1">
      <c r="B87" s="56" t="s">
        <v>293</v>
      </c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>
        <v>608.9</v>
      </c>
      <c r="AE87" s="57">
        <v>1140.8</v>
      </c>
      <c r="AF87" s="57">
        <v>867.3</v>
      </c>
      <c r="AG87" s="57">
        <v>799.1</v>
      </c>
      <c r="AH87" s="57">
        <v>654.9</v>
      </c>
      <c r="AI87" s="57">
        <v>998.5</v>
      </c>
      <c r="AJ87" s="57">
        <v>953.3</v>
      </c>
      <c r="AK87" s="57">
        <v>790.1</v>
      </c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</row>
    <row r="88" spans="2:102" s="55" customFormat="1">
      <c r="B88" s="56" t="s">
        <v>294</v>
      </c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>
        <v>4818.8</v>
      </c>
      <c r="AE88" s="57">
        <v>4731.3</v>
      </c>
      <c r="AF88" s="57">
        <v>4955.3999999999996</v>
      </c>
      <c r="AG88" s="57">
        <v>5221.8999999999996</v>
      </c>
      <c r="AH88" s="57">
        <v>5128.1000000000004</v>
      </c>
      <c r="AI88" s="57">
        <v>5266.7</v>
      </c>
      <c r="AJ88" s="57">
        <v>5142.8</v>
      </c>
      <c r="AK88" s="57">
        <v>5031.1000000000004</v>
      </c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>
        <f>3877.4+8087.8</f>
        <v>11965.2</v>
      </c>
      <c r="BT88" s="57">
        <f>3884.2+7985.4</f>
        <v>11869.599999999999</v>
      </c>
      <c r="BU88" s="57">
        <f>3884.1+7887.7</f>
        <v>11771.8</v>
      </c>
      <c r="BV88" s="57">
        <f>3892+7691.9</f>
        <v>11583.9</v>
      </c>
      <c r="BW88" s="57">
        <f>3892+7482.4</f>
        <v>11374.4</v>
      </c>
      <c r="BX88" s="57"/>
      <c r="BY88" s="57"/>
      <c r="BZ88" s="57"/>
      <c r="CA88" s="57"/>
      <c r="CB88" s="57"/>
      <c r="CC88" s="57"/>
      <c r="CD88" s="57"/>
      <c r="CE88" s="57"/>
      <c r="CF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</row>
    <row r="89" spans="2:102" s="55" customFormat="1">
      <c r="B89" s="56" t="s">
        <v>392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>
        <v>2649.9</v>
      </c>
      <c r="BT89" s="57">
        <v>2674.9</v>
      </c>
      <c r="BU89" s="57">
        <v>2625.6</v>
      </c>
      <c r="BV89" s="57">
        <v>2489.3000000000002</v>
      </c>
      <c r="BW89" s="57">
        <v>2464.9</v>
      </c>
      <c r="BX89" s="57"/>
      <c r="BY89" s="57"/>
      <c r="BZ89" s="57"/>
      <c r="CA89" s="57"/>
      <c r="CB89" s="57"/>
      <c r="CC89" s="57"/>
      <c r="CD89" s="57"/>
      <c r="CE89" s="57"/>
      <c r="CF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</row>
    <row r="90" spans="2:102" s="55" customFormat="1">
      <c r="B90" s="56" t="s">
        <v>295</v>
      </c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>
        <v>1622.4</v>
      </c>
      <c r="AE90" s="57">
        <v>1743.3</v>
      </c>
      <c r="AF90" s="57">
        <v>1976.9</v>
      </c>
      <c r="AG90" s="57">
        <v>2215.8000000000002</v>
      </c>
      <c r="AH90" s="57">
        <v>2493.4</v>
      </c>
      <c r="AI90" s="57">
        <v>2093.1999999999998</v>
      </c>
      <c r="AJ90" s="57">
        <v>2195</v>
      </c>
      <c r="AK90" s="57">
        <v>2387.8000000000002</v>
      </c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>
        <v>0</v>
      </c>
      <c r="BT90" s="57">
        <v>0</v>
      </c>
      <c r="BU90" s="57">
        <v>0</v>
      </c>
      <c r="BV90" s="57">
        <v>0</v>
      </c>
      <c r="BW90" s="57">
        <v>0</v>
      </c>
      <c r="BX90" s="57"/>
      <c r="BY90" s="57"/>
      <c r="BZ90" s="57"/>
      <c r="CA90" s="57"/>
      <c r="CB90" s="57"/>
      <c r="CC90" s="57"/>
      <c r="CD90" s="57"/>
      <c r="CE90" s="57"/>
      <c r="CF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</row>
    <row r="91" spans="2:102" s="55" customFormat="1">
      <c r="B91" s="56" t="s">
        <v>296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>
        <v>7940.7</v>
      </c>
      <c r="AE91" s="57">
        <v>7967.7</v>
      </c>
      <c r="AF91" s="57">
        <v>7953.7</v>
      </c>
      <c r="AG91" s="57">
        <v>7812.2</v>
      </c>
      <c r="AH91" s="57">
        <v>7760.3</v>
      </c>
      <c r="AI91" s="57">
        <v>7754.6</v>
      </c>
      <c r="AJ91" s="57">
        <v>7619.9</v>
      </c>
      <c r="AK91" s="57">
        <v>7638.9</v>
      </c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>
        <v>8630.1</v>
      </c>
      <c r="BT91" s="57">
        <v>8855.5</v>
      </c>
      <c r="BU91" s="57">
        <v>8920.4</v>
      </c>
      <c r="BV91" s="57">
        <v>8985.1</v>
      </c>
      <c r="BW91" s="57">
        <v>9102.7000000000007</v>
      </c>
      <c r="BX91" s="57"/>
      <c r="BY91" s="57"/>
      <c r="BZ91" s="57"/>
      <c r="CA91" s="57"/>
      <c r="CB91" s="57"/>
      <c r="CC91" s="57"/>
      <c r="CD91" s="57"/>
      <c r="CE91" s="57"/>
      <c r="CF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</row>
    <row r="92" spans="2:102" s="55" customFormat="1">
      <c r="B92" s="56" t="s">
        <v>393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>
        <v>3756.2</v>
      </c>
      <c r="BT92" s="57">
        <v>3638.6</v>
      </c>
      <c r="BU92" s="57">
        <v>3710.4</v>
      </c>
      <c r="BV92" s="57">
        <v>4082.7</v>
      </c>
      <c r="BW92" s="57">
        <v>4285.3</v>
      </c>
      <c r="BX92" s="57"/>
      <c r="BY92" s="57"/>
      <c r="BZ92" s="57"/>
      <c r="CA92" s="57"/>
      <c r="CB92" s="57"/>
      <c r="CC92" s="57"/>
      <c r="CD92" s="57"/>
      <c r="CE92" s="57"/>
      <c r="CF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</row>
    <row r="93" spans="2:102" s="55" customFormat="1">
      <c r="B93" s="56" t="s">
        <v>297</v>
      </c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>
        <f>SUM(AD82:AD91)</f>
        <v>31001.4</v>
      </c>
      <c r="AE93" s="57">
        <f>SUM(AE82:AE91)</f>
        <v>31695.3</v>
      </c>
      <c r="AF93" s="57">
        <f t="shared" ref="AF93" si="218">SUM(AF82:AF91)</f>
        <v>32779.299999999996</v>
      </c>
      <c r="AG93" s="57">
        <f>SUM(AG82:AG91)</f>
        <v>33042.199999999997</v>
      </c>
      <c r="AH93" s="57">
        <f>SUM(AH82:AH91)</f>
        <v>33659.80000000001</v>
      </c>
      <c r="AI93" s="57">
        <f>SUM(AI82:AI91)</f>
        <v>32238.200000000004</v>
      </c>
      <c r="AJ93" s="57">
        <f>SUM(AJ82:AJ91)</f>
        <v>31812.6</v>
      </c>
      <c r="AK93" s="57">
        <f>SUM(AK82:AK91)</f>
        <v>34321</v>
      </c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>
        <f t="shared" ref="BS93" si="219">SUM(BS82:BS92)</f>
        <v>46838.299999999996</v>
      </c>
      <c r="BT93" s="57">
        <f t="shared" ref="BT93" si="220">SUM(BT82:BT92)</f>
        <v>47808.999999999993</v>
      </c>
      <c r="BU93" s="57">
        <f>SUM(BU82:BU92)</f>
        <v>48187</v>
      </c>
      <c r="BV93" s="57">
        <f>SUM(BV82:BV92)</f>
        <v>48806</v>
      </c>
      <c r="BW93" s="57">
        <f>SUM(BW82:BW92)</f>
        <v>46919.3</v>
      </c>
      <c r="BX93" s="57"/>
      <c r="BY93" s="57"/>
      <c r="BZ93" s="57"/>
      <c r="CA93" s="57"/>
      <c r="CB93" s="57"/>
      <c r="CC93" s="57"/>
      <c r="CD93" s="57"/>
      <c r="CE93" s="57"/>
      <c r="CF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</row>
    <row r="95" spans="2:102" s="55" customFormat="1">
      <c r="B95" s="56" t="s">
        <v>176</v>
      </c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>
        <f>156+6770.5</f>
        <v>6926.5</v>
      </c>
      <c r="AE95" s="57">
        <f>1539.9+5132.4</f>
        <v>6672.2999999999993</v>
      </c>
      <c r="AF95" s="57">
        <f>1528.5+5200.1</f>
        <v>6728.6</v>
      </c>
      <c r="AG95" s="57">
        <f>1628.7+5451.3</f>
        <v>7080</v>
      </c>
      <c r="AH95" s="57">
        <f>1522.3+5464.7</f>
        <v>6987</v>
      </c>
      <c r="AI95" s="57">
        <f>10.6+5403.2</f>
        <v>5413.8</v>
      </c>
      <c r="AJ95" s="57">
        <f>9.1+5500.2</f>
        <v>5509.3</v>
      </c>
      <c r="AK95" s="57">
        <f>9.1+5510.9</f>
        <v>5520</v>
      </c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>
        <f>4.9+16199.6</f>
        <v>16204.5</v>
      </c>
      <c r="BT95" s="57">
        <f>1778.5+14736.6</f>
        <v>16515.099999999999</v>
      </c>
      <c r="BU95" s="57">
        <f>1563+15522.4</f>
        <v>17085.400000000001</v>
      </c>
      <c r="BV95" s="57">
        <f>1538.3+15346.4</f>
        <v>16884.7</v>
      </c>
      <c r="BW95" s="57">
        <f>1355.9+15152.9</f>
        <v>16508.8</v>
      </c>
      <c r="BX95" s="57"/>
      <c r="BY95" s="57"/>
      <c r="BZ95" s="57"/>
      <c r="CA95" s="57"/>
      <c r="CB95" s="57"/>
      <c r="CC95" s="57"/>
      <c r="CD95" s="57"/>
      <c r="CE95" s="57"/>
      <c r="CF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</row>
    <row r="96" spans="2:102" s="55" customFormat="1">
      <c r="B96" s="56" t="s">
        <v>298</v>
      </c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>
        <v>1072.2</v>
      </c>
      <c r="AE96" s="57">
        <v>1183.2</v>
      </c>
      <c r="AF96" s="57">
        <v>1187.5999999999999</v>
      </c>
      <c r="AG96" s="57">
        <v>1154.3</v>
      </c>
      <c r="AH96" s="57">
        <v>1125.2</v>
      </c>
      <c r="AI96" s="57">
        <v>1246.3</v>
      </c>
      <c r="AJ96" s="57">
        <v>1201.5999999999999</v>
      </c>
      <c r="AK96" s="57">
        <v>1328.7</v>
      </c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>
        <v>1639.6</v>
      </c>
      <c r="BT96" s="57">
        <v>1597.8</v>
      </c>
      <c r="BU96" s="57">
        <v>1566.8</v>
      </c>
      <c r="BV96" s="57">
        <v>1670.6</v>
      </c>
      <c r="BW96" s="57">
        <v>1433.3</v>
      </c>
      <c r="BX96" s="57"/>
      <c r="BY96" s="57"/>
      <c r="BZ96" s="57"/>
      <c r="CA96" s="57"/>
      <c r="CB96" s="57"/>
      <c r="CC96" s="57"/>
      <c r="CD96" s="57"/>
      <c r="CE96" s="57"/>
      <c r="CF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</row>
    <row r="97" spans="2:102" s="55" customFormat="1">
      <c r="B97" s="56" t="s">
        <v>299</v>
      </c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>
        <v>851.8</v>
      </c>
      <c r="AE97" s="57">
        <v>524</v>
      </c>
      <c r="AF97" s="57">
        <v>584.70000000000005</v>
      </c>
      <c r="AG97" s="57">
        <v>689.3</v>
      </c>
      <c r="AH97" s="57">
        <v>804.7</v>
      </c>
      <c r="AI97" s="57">
        <v>533.79999999999995</v>
      </c>
      <c r="AJ97" s="57">
        <v>602.9</v>
      </c>
      <c r="AK97" s="57">
        <v>772.7</v>
      </c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>
        <v>649.9</v>
      </c>
      <c r="BT97" s="57">
        <v>755.5</v>
      </c>
      <c r="BU97" s="57">
        <v>836.6</v>
      </c>
      <c r="BV97" s="57">
        <v>958.1</v>
      </c>
      <c r="BW97" s="57">
        <v>693.1</v>
      </c>
      <c r="BX97" s="57"/>
      <c r="BY97" s="57"/>
      <c r="BZ97" s="57"/>
      <c r="CA97" s="57"/>
      <c r="CB97" s="57"/>
      <c r="CC97" s="57"/>
      <c r="CD97" s="57"/>
      <c r="CE97" s="57"/>
      <c r="CF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</row>
    <row r="98" spans="2:102" s="55" customFormat="1">
      <c r="B98" s="56" t="s">
        <v>300</v>
      </c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>
        <v>1372.6</v>
      </c>
      <c r="AE98" s="57">
        <v>1489.5</v>
      </c>
      <c r="AF98" s="57">
        <v>1807.6</v>
      </c>
      <c r="AG98" s="57">
        <v>1882.3</v>
      </c>
      <c r="AH98" s="57">
        <v>1771.3</v>
      </c>
      <c r="AI98" s="57">
        <v>1619.8</v>
      </c>
      <c r="AJ98" s="57">
        <v>1628.6</v>
      </c>
      <c r="AK98" s="57">
        <v>1695.6</v>
      </c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>
        <v>5821.4</v>
      </c>
      <c r="BT98" s="57">
        <v>7035.8</v>
      </c>
      <c r="BU98" s="57">
        <v>7185.6</v>
      </c>
      <c r="BV98" s="57">
        <v>6845.8</v>
      </c>
      <c r="BW98" s="57">
        <v>6768.7</v>
      </c>
      <c r="BX98" s="57"/>
      <c r="BY98" s="57"/>
      <c r="BZ98" s="57"/>
      <c r="CA98" s="57"/>
      <c r="CB98" s="57"/>
      <c r="CC98" s="57"/>
      <c r="CD98" s="57"/>
      <c r="CE98" s="57"/>
      <c r="CF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</row>
    <row r="99" spans="2:102" s="55" customFormat="1">
      <c r="B99" s="56" t="s">
        <v>301</v>
      </c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>
        <v>540</v>
      </c>
      <c r="AE99" s="57">
        <v>0</v>
      </c>
      <c r="AF99" s="57">
        <v>542.29999999999995</v>
      </c>
      <c r="AG99" s="57">
        <v>0</v>
      </c>
      <c r="AH99" s="57">
        <v>542.29999999999995</v>
      </c>
      <c r="AI99" s="57">
        <v>0</v>
      </c>
      <c r="AJ99" s="57">
        <v>543.6</v>
      </c>
      <c r="AK99" s="57">
        <v>0</v>
      </c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>
        <v>0</v>
      </c>
      <c r="BT99" s="57">
        <v>770.8</v>
      </c>
      <c r="BU99" s="57">
        <v>0</v>
      </c>
      <c r="BV99" s="57">
        <v>885.5</v>
      </c>
      <c r="BW99" s="57">
        <v>0</v>
      </c>
      <c r="BX99" s="57"/>
      <c r="BY99" s="57"/>
      <c r="BZ99" s="57"/>
      <c r="CA99" s="57"/>
      <c r="CB99" s="57"/>
      <c r="CC99" s="57"/>
      <c r="CD99" s="57"/>
      <c r="CE99" s="57"/>
      <c r="CF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</row>
    <row r="100" spans="2:102" s="55" customFormat="1">
      <c r="B100" s="56" t="s">
        <v>82</v>
      </c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>
        <v>457.5</v>
      </c>
      <c r="AE100" s="57">
        <v>315.2</v>
      </c>
      <c r="AF100" s="57">
        <v>183.1</v>
      </c>
      <c r="AG100" s="57">
        <v>144.4</v>
      </c>
      <c r="AH100" s="57">
        <v>261.60000000000002</v>
      </c>
      <c r="AI100" s="57">
        <v>388.8</v>
      </c>
      <c r="AJ100" s="57">
        <v>33.5</v>
      </c>
      <c r="AK100" s="57">
        <v>338.2</v>
      </c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>
        <v>791.6</v>
      </c>
      <c r="BT100" s="57">
        <v>529.9</v>
      </c>
      <c r="BU100" s="57">
        <v>203.5</v>
      </c>
      <c r="BV100" s="57">
        <v>126.9</v>
      </c>
      <c r="BW100" s="57">
        <v>598.29999999999995</v>
      </c>
      <c r="BX100" s="57"/>
      <c r="BY100" s="57"/>
      <c r="BZ100" s="57"/>
      <c r="CA100" s="57"/>
      <c r="CB100" s="57"/>
      <c r="CC100" s="57"/>
      <c r="CD100" s="57"/>
      <c r="CE100" s="57"/>
      <c r="CF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</row>
    <row r="101" spans="2:102" s="55" customFormat="1">
      <c r="B101" s="56" t="s">
        <v>302</v>
      </c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>
        <v>2651.3</v>
      </c>
      <c r="AE101" s="57">
        <v>2600</v>
      </c>
      <c r="AF101" s="57">
        <v>2786.7</v>
      </c>
      <c r="AG101" s="57">
        <v>2720.3</v>
      </c>
      <c r="AH101" s="57">
        <v>2903.5</v>
      </c>
      <c r="AI101" s="57">
        <v>2754.4</v>
      </c>
      <c r="AJ101" s="57">
        <v>2590.4</v>
      </c>
      <c r="AK101" s="57">
        <v>2816.4</v>
      </c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>
        <v>2806.8</v>
      </c>
      <c r="BT101" s="57">
        <v>2624.9</v>
      </c>
      <c r="BU101" s="57">
        <v>2326.5</v>
      </c>
      <c r="BV101" s="57">
        <v>3027.5</v>
      </c>
      <c r="BW101" s="57">
        <v>2536.6999999999998</v>
      </c>
      <c r="BX101" s="57"/>
      <c r="BY101" s="57"/>
      <c r="BZ101" s="57"/>
      <c r="CA101" s="57"/>
      <c r="CB101" s="57"/>
      <c r="CC101" s="57"/>
      <c r="CD101" s="57"/>
      <c r="CE101" s="57"/>
      <c r="CF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</row>
    <row r="102" spans="2:102" s="55" customFormat="1">
      <c r="B102" s="56" t="s">
        <v>303</v>
      </c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>
        <v>1887.4</v>
      </c>
      <c r="AE102" s="57">
        <v>1866.4</v>
      </c>
      <c r="AF102" s="57">
        <v>1848.6</v>
      </c>
      <c r="AG102" s="57">
        <v>1805.9</v>
      </c>
      <c r="AH102" s="57">
        <v>3068.5</v>
      </c>
      <c r="AI102" s="57">
        <v>2766.5</v>
      </c>
      <c r="AJ102" s="57">
        <v>2714.5</v>
      </c>
      <c r="AK102" s="57">
        <v>2702.4</v>
      </c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>
        <v>3969.8</v>
      </c>
      <c r="BT102" s="57">
        <v>3918.5</v>
      </c>
      <c r="BU102" s="57">
        <v>3878.8</v>
      </c>
      <c r="BV102" s="57">
        <v>1954.1</v>
      </c>
      <c r="BW102" s="57">
        <v>1940.3</v>
      </c>
      <c r="BX102" s="57"/>
      <c r="BY102" s="57"/>
      <c r="BZ102" s="57"/>
      <c r="CA102" s="57"/>
      <c r="CB102" s="57"/>
      <c r="CC102" s="57"/>
      <c r="CD102" s="57"/>
      <c r="CE102" s="57"/>
      <c r="CF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</row>
    <row r="103" spans="2:102" s="55" customFormat="1">
      <c r="B103" s="56" t="s">
        <v>82</v>
      </c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>
        <v>1234.8</v>
      </c>
      <c r="AE103" s="57">
        <v>1224.3</v>
      </c>
      <c r="AF103" s="57">
        <v>1283</v>
      </c>
      <c r="AG103" s="57">
        <v>1058.8</v>
      </c>
      <c r="AH103" s="57">
        <v>1086.3</v>
      </c>
      <c r="AI103" s="57">
        <v>1158.3</v>
      </c>
      <c r="AJ103" s="57">
        <v>1207.5</v>
      </c>
      <c r="AK103" s="57">
        <v>1275.0999999999999</v>
      </c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>
        <f>3917.5+2200.6</f>
        <v>6118.1</v>
      </c>
      <c r="BT103" s="57">
        <f>3738+1857.3</f>
        <v>5595.3</v>
      </c>
      <c r="BU103" s="57">
        <f>3768.5+1632.5</f>
        <v>5401</v>
      </c>
      <c r="BV103" s="57">
        <f>3920+1733.7</f>
        <v>5653.7</v>
      </c>
      <c r="BW103" s="57">
        <f>1286.1+3978.1</f>
        <v>5264.2</v>
      </c>
      <c r="BX103" s="57"/>
      <c r="BY103" s="57"/>
      <c r="BZ103" s="57"/>
      <c r="CA103" s="57"/>
      <c r="CB103" s="57"/>
      <c r="CC103" s="57"/>
      <c r="CD103" s="57"/>
      <c r="CE103" s="57"/>
      <c r="CF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</row>
    <row r="104" spans="2:102" s="55" customFormat="1">
      <c r="B104" s="56" t="s">
        <v>304</v>
      </c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>
        <v>1594.5</v>
      </c>
      <c r="AE104" s="57">
        <v>1886.2</v>
      </c>
      <c r="AF104" s="57">
        <v>1550.1</v>
      </c>
      <c r="AG104" s="57">
        <v>1449</v>
      </c>
      <c r="AH104" s="57">
        <v>1573.8</v>
      </c>
      <c r="AI104" s="57">
        <v>1533.9</v>
      </c>
      <c r="AJ104" s="57">
        <v>1472.8</v>
      </c>
      <c r="AK104" s="57">
        <v>1815</v>
      </c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>
        <v>1737.3</v>
      </c>
      <c r="BT104" s="57">
        <v>1801.9</v>
      </c>
      <c r="BU104" s="57">
        <v>1748.7</v>
      </c>
      <c r="BV104" s="57">
        <v>1644.3</v>
      </c>
      <c r="BW104" s="57">
        <v>1713.9</v>
      </c>
      <c r="BX104" s="57"/>
      <c r="BY104" s="57"/>
      <c r="BZ104" s="57"/>
      <c r="CA104" s="57"/>
      <c r="CB104" s="57"/>
      <c r="CC104" s="57"/>
      <c r="CD104" s="57"/>
      <c r="CE104" s="57"/>
      <c r="CF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</row>
    <row r="105" spans="2:102" s="55" customFormat="1">
      <c r="B105" s="56" t="s">
        <v>305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>
        <v>12412.8</v>
      </c>
      <c r="AE105" s="57">
        <v>13934.2</v>
      </c>
      <c r="AF105" s="57">
        <v>14277</v>
      </c>
      <c r="AG105" s="57">
        <v>15057.9</v>
      </c>
      <c r="AH105" s="57">
        <v>13535.6</v>
      </c>
      <c r="AI105" s="57">
        <v>14822.6</v>
      </c>
      <c r="AJ105" s="57">
        <v>14307.9</v>
      </c>
      <c r="AK105" s="57">
        <v>16056.9</v>
      </c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>
        <v>7099.3</v>
      </c>
      <c r="BT105" s="57">
        <v>6663.5</v>
      </c>
      <c r="BU105" s="57">
        <v>7954.1</v>
      </c>
      <c r="BV105" s="57">
        <v>9154.7999999999993</v>
      </c>
      <c r="BW105" s="57">
        <v>9462</v>
      </c>
      <c r="BX105" s="57"/>
      <c r="BY105" s="57"/>
      <c r="BZ105" s="57"/>
      <c r="CA105" s="57"/>
      <c r="CB105" s="57"/>
      <c r="CC105" s="57"/>
      <c r="CD105" s="57"/>
      <c r="CE105" s="57"/>
      <c r="CF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</row>
    <row r="106" spans="2:102" s="55" customFormat="1">
      <c r="B106" s="56" t="s">
        <v>306</v>
      </c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>
        <f>SUM(AD95:AD105)</f>
        <v>31001.4</v>
      </c>
      <c r="AE106" s="57">
        <f>SUM(AE95:AE105)</f>
        <v>31695.3</v>
      </c>
      <c r="AF106" s="57">
        <f t="shared" ref="AF106" si="221">SUM(AF95:AF105)</f>
        <v>32779.300000000003</v>
      </c>
      <c r="AG106" s="57">
        <f>SUM(AG95:AG105)</f>
        <v>33042.199999999997</v>
      </c>
      <c r="AH106" s="57">
        <f>SUM(AH95:AH105)</f>
        <v>33659.799999999996</v>
      </c>
      <c r="AI106" s="57">
        <f>SUM(AI95:AI105)</f>
        <v>32238.199999999997</v>
      </c>
      <c r="AJ106" s="57">
        <f>SUM(AJ95:AJ105)</f>
        <v>31812.6</v>
      </c>
      <c r="AK106" s="57">
        <f>SUM(AK95:AK105)</f>
        <v>34321</v>
      </c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>
        <f t="shared" ref="BS106" si="222">SUM(BS95:BS105)</f>
        <v>46838.3</v>
      </c>
      <c r="BT106" s="57">
        <f t="shared" ref="BT106" si="223">SUM(BT95:BT105)</f>
        <v>47809.000000000007</v>
      </c>
      <c r="BU106" s="57">
        <f>SUM(BU95:BU105)</f>
        <v>48187</v>
      </c>
      <c r="BV106" s="57">
        <f>SUM(BV95:BV105)</f>
        <v>48806</v>
      </c>
      <c r="BW106" s="57">
        <f>SUM(BW95:BW105)</f>
        <v>46919.299999999996</v>
      </c>
      <c r="BX106" s="57"/>
      <c r="BY106" s="57"/>
      <c r="BZ106" s="57"/>
      <c r="CA106" s="57"/>
      <c r="CB106" s="57"/>
      <c r="CC106" s="57"/>
      <c r="CD106" s="57"/>
      <c r="CE106" s="57"/>
      <c r="CF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</row>
    <row r="108" spans="2:102">
      <c r="B108" s="56" t="s">
        <v>394</v>
      </c>
      <c r="BS108" s="57">
        <f>BS64</f>
        <v>1777.4999999999989</v>
      </c>
      <c r="BW108" s="57">
        <f>BW64</f>
        <v>2538.5</v>
      </c>
    </row>
    <row r="109" spans="2:102">
      <c r="B109" s="56" t="s">
        <v>395</v>
      </c>
      <c r="BS109" s="57">
        <v>1355.3</v>
      </c>
      <c r="BW109" s="57">
        <v>1902.9</v>
      </c>
    </row>
    <row r="110" spans="2:102">
      <c r="B110" s="56" t="s">
        <v>396</v>
      </c>
      <c r="BS110" s="57">
        <v>350.3</v>
      </c>
      <c r="BW110" s="57">
        <v>435.7</v>
      </c>
    </row>
    <row r="111" spans="2:102">
      <c r="B111" s="56" t="s">
        <v>392</v>
      </c>
      <c r="BS111" s="57">
        <v>-119.1</v>
      </c>
      <c r="BW111" s="57">
        <v>-506.6</v>
      </c>
    </row>
    <row r="112" spans="2:102">
      <c r="B112" s="56" t="s">
        <v>397</v>
      </c>
      <c r="BS112" s="57">
        <v>85.5</v>
      </c>
      <c r="BW112" s="57">
        <v>101</v>
      </c>
    </row>
    <row r="113" spans="2:102">
      <c r="B113" s="56" t="s">
        <v>398</v>
      </c>
      <c r="BS113" s="57">
        <v>-302.2</v>
      </c>
      <c r="BW113" s="57">
        <v>426.1</v>
      </c>
    </row>
    <row r="114" spans="2:102">
      <c r="B114" s="56" t="s">
        <v>399</v>
      </c>
      <c r="BS114" s="57">
        <v>299.3</v>
      </c>
      <c r="BW114" s="57">
        <v>153</v>
      </c>
    </row>
    <row r="115" spans="2:102">
      <c r="B115" s="56" t="s">
        <v>78</v>
      </c>
      <c r="BS115" s="57">
        <v>-102.8</v>
      </c>
      <c r="BW115" s="57">
        <v>-45.5</v>
      </c>
    </row>
    <row r="116" spans="2:102">
      <c r="B116" s="56" t="s">
        <v>400</v>
      </c>
      <c r="BS116" s="57">
        <v>131.1</v>
      </c>
      <c r="BW116" s="57">
        <v>32.6</v>
      </c>
    </row>
    <row r="117" spans="2:102" s="55" customFormat="1">
      <c r="B117" s="56" t="s">
        <v>307</v>
      </c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>
        <v>1176.0999999999999</v>
      </c>
      <c r="AF117" s="57">
        <f>3216.4-AE117</f>
        <v>2040.3000000000002</v>
      </c>
      <c r="AG117" s="57">
        <f>5289.8-AF117-AE117</f>
        <v>2073.4</v>
      </c>
      <c r="AH117" s="58">
        <f>7234.5-AG117-AF117-AE117</f>
        <v>1944.7000000000003</v>
      </c>
      <c r="AI117" s="58">
        <v>852.5</v>
      </c>
      <c r="AJ117" s="58">
        <f>2158.5-AI117</f>
        <v>1306</v>
      </c>
      <c r="AK117" s="57">
        <f>3702.8-AJ117-AI117</f>
        <v>1544.3000000000002</v>
      </c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>
        <f>SUM(BS109:BS116)</f>
        <v>1697.3999999999999</v>
      </c>
      <c r="BT117" s="57"/>
      <c r="BU117" s="57"/>
      <c r="BV117" s="57"/>
      <c r="BW117" s="57">
        <f>SUM(BW109:BW116)</f>
        <v>2499.1999999999998</v>
      </c>
      <c r="BX117" s="57"/>
      <c r="BY117" s="57"/>
      <c r="BZ117" s="57"/>
      <c r="CA117" s="57"/>
      <c r="CB117" s="57"/>
      <c r="CC117" s="57"/>
      <c r="CD117" s="57"/>
      <c r="CE117" s="57"/>
      <c r="CF117" s="57"/>
      <c r="CH117" s="57"/>
      <c r="CI117" s="57"/>
      <c r="CJ117" s="57"/>
      <c r="CK117" s="57"/>
      <c r="CL117" s="57"/>
      <c r="CM117" s="57"/>
      <c r="CN117" s="57"/>
      <c r="CO117" s="57">
        <v>7295.6</v>
      </c>
      <c r="CP117" s="57">
        <v>4335.5</v>
      </c>
      <c r="CQ117" s="57">
        <v>6856.8</v>
      </c>
      <c r="CR117" s="57"/>
      <c r="CS117" s="57"/>
      <c r="CT117" s="57"/>
      <c r="CU117" s="57"/>
      <c r="CV117" s="57"/>
      <c r="CW117" s="57"/>
      <c r="CX117" s="57"/>
    </row>
    <row r="118" spans="2:102">
      <c r="BS118" s="57"/>
    </row>
    <row r="119" spans="2:102">
      <c r="B119" s="56" t="s">
        <v>401</v>
      </c>
      <c r="BS119" s="57">
        <v>-300.3</v>
      </c>
      <c r="BW119" s="57">
        <v>-365.4</v>
      </c>
    </row>
    <row r="120" spans="2:102">
      <c r="B120" s="56" t="s">
        <v>398</v>
      </c>
      <c r="BS120" s="57">
        <f>4-19.4+284.8-291.5</f>
        <v>-22.099999999999966</v>
      </c>
      <c r="BW120" s="57">
        <f>26.7-14.6+81.4-116.7</f>
        <v>-23.200000000000003</v>
      </c>
    </row>
    <row r="121" spans="2:102">
      <c r="B121" s="56" t="s">
        <v>402</v>
      </c>
      <c r="BS121" s="57">
        <f>-747.4-191.8</f>
        <v>-939.2</v>
      </c>
      <c r="BW121" s="57">
        <v>-491.8</v>
      </c>
    </row>
    <row r="122" spans="2:102">
      <c r="B122" s="56" t="s">
        <v>78</v>
      </c>
      <c r="BS122" s="57">
        <v>-21.9</v>
      </c>
      <c r="BW122" s="57">
        <v>-133.4</v>
      </c>
    </row>
    <row r="123" spans="2:102">
      <c r="B123" s="56" t="s">
        <v>403</v>
      </c>
      <c r="BS123" s="57">
        <f>SUM(BS119:BS122)</f>
        <v>-1283.5</v>
      </c>
      <c r="BW123" s="57">
        <f>SUM(BW119:BW122)</f>
        <v>-1013.8</v>
      </c>
    </row>
    <row r="124" spans="2:102">
      <c r="BS124" s="57"/>
    </row>
    <row r="125" spans="2:102">
      <c r="B125" s="56" t="s">
        <v>301</v>
      </c>
      <c r="BS125" s="57">
        <v>-774.8</v>
      </c>
      <c r="BW125" s="57">
        <v>-885.5</v>
      </c>
    </row>
    <row r="126" spans="2:102">
      <c r="B126" s="56" t="s">
        <v>406</v>
      </c>
      <c r="BS126" s="57">
        <v>-3.7</v>
      </c>
      <c r="BW126" s="58">
        <f>499.7-710.1</f>
        <v>-210.40000000000003</v>
      </c>
    </row>
    <row r="127" spans="2:102">
      <c r="B127" s="59" t="s">
        <v>405</v>
      </c>
      <c r="BS127" s="57">
        <v>0</v>
      </c>
      <c r="BW127" s="57">
        <v>-1500</v>
      </c>
    </row>
    <row r="128" spans="2:102">
      <c r="B128" s="59" t="s">
        <v>78</v>
      </c>
      <c r="BS128" s="57">
        <v>-279.89999999999998</v>
      </c>
      <c r="BW128" s="57">
        <v>-282.39999999999998</v>
      </c>
    </row>
    <row r="129" spans="2:75">
      <c r="B129" s="59" t="s">
        <v>404</v>
      </c>
      <c r="BS129" s="57">
        <f>SUM(BS125:BS128)</f>
        <v>-1058.4000000000001</v>
      </c>
      <c r="BW129" s="57">
        <f>SUM(BW125:BW128)</f>
        <v>-2878.3</v>
      </c>
    </row>
    <row r="131" spans="2:75">
      <c r="B131" s="59" t="s">
        <v>407</v>
      </c>
      <c r="BS131" s="57">
        <v>-10.199999999999999</v>
      </c>
      <c r="BW131" s="57">
        <v>33.6</v>
      </c>
    </row>
    <row r="132" spans="2:75">
      <c r="B132" s="59" t="s">
        <v>408</v>
      </c>
      <c r="BS132" s="57">
        <f>+BS131+BS129+BS123+BS117</f>
        <v>-654.7000000000005</v>
      </c>
      <c r="BW132" s="57">
        <f>+BW131+BW129+BW123+BW117</f>
        <v>-1359.3000000000002</v>
      </c>
    </row>
    <row r="134" spans="2:75">
      <c r="B134" s="91" t="s">
        <v>507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RowHeight="12.75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>
      <c r="A1" s="17" t="s">
        <v>6</v>
      </c>
    </row>
    <row r="2" spans="1:5">
      <c r="B2" s="1" t="s">
        <v>50</v>
      </c>
      <c r="C2" s="1" t="s">
        <v>7</v>
      </c>
    </row>
    <row r="3" spans="1:5">
      <c r="B3" s="1" t="s">
        <v>48</v>
      </c>
      <c r="C3" s="1" t="s">
        <v>85</v>
      </c>
    </row>
    <row r="4" spans="1:5">
      <c r="B4" s="1" t="s">
        <v>3</v>
      </c>
      <c r="C4" s="1" t="s">
        <v>86</v>
      </c>
    </row>
    <row r="5" spans="1:5">
      <c r="B5" s="1" t="s">
        <v>1</v>
      </c>
      <c r="C5" s="1" t="s">
        <v>87</v>
      </c>
    </row>
    <row r="6" spans="1:5">
      <c r="B6" s="1" t="s">
        <v>4</v>
      </c>
      <c r="C6" s="1" t="s">
        <v>88</v>
      </c>
    </row>
    <row r="7" spans="1:5">
      <c r="C7" s="1" t="s">
        <v>8</v>
      </c>
    </row>
    <row r="8" spans="1:5">
      <c r="C8" s="1" t="s">
        <v>29</v>
      </c>
    </row>
    <row r="9" spans="1:5">
      <c r="C9" s="1" t="s">
        <v>30</v>
      </c>
    </row>
    <row r="12" spans="1:5">
      <c r="B12" s="1" t="s">
        <v>165</v>
      </c>
      <c r="C12" s="19"/>
      <c r="D12" s="19" t="s">
        <v>166</v>
      </c>
      <c r="E12" s="19" t="s">
        <v>167</v>
      </c>
    </row>
    <row r="13" spans="1:5">
      <c r="C13" s="48">
        <v>40165</v>
      </c>
      <c r="D13" s="40">
        <v>117723</v>
      </c>
      <c r="E13" s="40">
        <v>53829</v>
      </c>
    </row>
    <row r="14" spans="1:5">
      <c r="C14" s="48">
        <f t="shared" ref="C14:C20" si="0">C13-7</f>
        <v>40158</v>
      </c>
      <c r="D14" s="40">
        <v>116406</v>
      </c>
      <c r="E14" s="40">
        <v>52891</v>
      </c>
    </row>
    <row r="15" spans="1:5">
      <c r="C15" s="48">
        <f t="shared" si="0"/>
        <v>40151</v>
      </c>
      <c r="D15" s="40">
        <v>128647</v>
      </c>
      <c r="E15" s="40">
        <v>56775</v>
      </c>
    </row>
    <row r="16" spans="1:5">
      <c r="C16" s="48">
        <f t="shared" si="0"/>
        <v>40144</v>
      </c>
      <c r="D16" s="40">
        <v>104242</v>
      </c>
      <c r="E16" s="40">
        <v>44896</v>
      </c>
    </row>
    <row r="17" spans="3:5">
      <c r="C17" s="48">
        <f t="shared" si="0"/>
        <v>40137</v>
      </c>
      <c r="D17" s="40">
        <v>116685</v>
      </c>
      <c r="E17" s="40">
        <v>53770</v>
      </c>
    </row>
    <row r="18" spans="3:5">
      <c r="C18" s="48">
        <f t="shared" si="0"/>
        <v>40130</v>
      </c>
      <c r="D18" s="40">
        <v>113476</v>
      </c>
      <c r="E18" s="40">
        <v>51112</v>
      </c>
    </row>
    <row r="19" spans="3:5">
      <c r="C19" s="48">
        <f t="shared" si="0"/>
        <v>40123</v>
      </c>
      <c r="D19" s="40">
        <v>122441</v>
      </c>
      <c r="E19" s="40">
        <v>54445</v>
      </c>
    </row>
    <row r="20" spans="3:5">
      <c r="C20" s="48">
        <f t="shared" si="0"/>
        <v>40116</v>
      </c>
      <c r="D20" s="40">
        <v>114922</v>
      </c>
      <c r="E20" s="40">
        <v>51865</v>
      </c>
    </row>
    <row r="21" spans="3:5">
      <c r="C21" s="48">
        <v>39234</v>
      </c>
      <c r="D21" s="40">
        <v>118958</v>
      </c>
      <c r="E21" s="40">
        <v>50496</v>
      </c>
    </row>
    <row r="22" spans="3:5">
      <c r="C22" s="48">
        <f>C21-7</f>
        <v>39227</v>
      </c>
      <c r="D22" s="40">
        <v>123390</v>
      </c>
      <c r="E22" s="40">
        <v>53736</v>
      </c>
    </row>
    <row r="23" spans="3:5">
      <c r="C23" s="48">
        <f>C21-365</f>
        <v>38869</v>
      </c>
      <c r="D23" s="40">
        <v>132085</v>
      </c>
      <c r="E23" s="40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RowHeight="12.75"/>
  <cols>
    <col min="1" max="1" width="6.140625" customWidth="1"/>
    <col min="2" max="2" width="12" bestFit="1" customWidth="1"/>
  </cols>
  <sheetData>
    <row r="1" spans="1:3">
      <c r="A1" s="15" t="s">
        <v>6</v>
      </c>
    </row>
    <row r="2" spans="1:3">
      <c r="B2" t="s">
        <v>50</v>
      </c>
      <c r="C2" t="s">
        <v>14</v>
      </c>
    </row>
    <row r="3" spans="1:3">
      <c r="B3" t="s">
        <v>3</v>
      </c>
      <c r="C3" t="s">
        <v>234</v>
      </c>
    </row>
    <row r="4" spans="1:3">
      <c r="B4" t="s">
        <v>2</v>
      </c>
      <c r="C4" t="s">
        <v>283</v>
      </c>
    </row>
    <row r="5" spans="1:3">
      <c r="B5" t="s">
        <v>92</v>
      </c>
    </row>
    <row r="6" spans="1:3">
      <c r="C6" s="23" t="s">
        <v>235</v>
      </c>
    </row>
    <row r="7" spans="1:3">
      <c r="C7" t="s">
        <v>236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RowHeight="12.75"/>
  <cols>
    <col min="1" max="1" width="5" style="1" bestFit="1" customWidth="1"/>
    <col min="2" max="2" width="12.28515625" style="1" customWidth="1"/>
    <col min="3" max="16384" width="9.140625" style="1"/>
  </cols>
  <sheetData>
    <row r="1" spans="1:8">
      <c r="A1" s="17" t="s">
        <v>6</v>
      </c>
    </row>
    <row r="2" spans="1:8">
      <c r="A2" s="17"/>
      <c r="B2" s="1" t="s">
        <v>50</v>
      </c>
      <c r="C2" s="1" t="s">
        <v>15</v>
      </c>
    </row>
    <row r="3" spans="1:8">
      <c r="A3" s="17"/>
    </row>
    <row r="4" spans="1:8">
      <c r="B4" s="1" t="s">
        <v>9</v>
      </c>
    </row>
    <row r="5" spans="1:8">
      <c r="B5" s="1" t="s">
        <v>10</v>
      </c>
    </row>
    <row r="6" spans="1:8">
      <c r="B6" s="1" t="s">
        <v>11</v>
      </c>
    </row>
    <row r="8" spans="1:8">
      <c r="B8" s="1" t="s">
        <v>31</v>
      </c>
    </row>
    <row r="9" spans="1:8">
      <c r="B9" s="1" t="s">
        <v>32</v>
      </c>
    </row>
    <row r="11" spans="1:8">
      <c r="B11" s="34">
        <v>38338</v>
      </c>
    </row>
    <row r="12" spans="1:8">
      <c r="B12" s="1" t="s">
        <v>44</v>
      </c>
    </row>
    <row r="13" spans="1:8">
      <c r="B13" s="1" t="s">
        <v>42</v>
      </c>
    </row>
    <row r="14" spans="1:8">
      <c r="B14" s="1" t="s">
        <v>43</v>
      </c>
    </row>
    <row r="16" spans="1:8">
      <c r="C16" s="19">
        <v>2004</v>
      </c>
      <c r="D16" s="19">
        <v>2005</v>
      </c>
      <c r="E16" s="19">
        <v>2006</v>
      </c>
      <c r="F16" s="19">
        <v>2007</v>
      </c>
      <c r="G16" s="19">
        <v>2008</v>
      </c>
      <c r="H16" s="19"/>
    </row>
    <row r="17" spans="2:8">
      <c r="B17" s="1" t="s">
        <v>45</v>
      </c>
      <c r="C17" s="19">
        <v>660</v>
      </c>
      <c r="D17" s="19">
        <v>810</v>
      </c>
      <c r="E17" s="19"/>
      <c r="F17" s="19"/>
      <c r="G17" s="19">
        <v>1200</v>
      </c>
      <c r="H17" s="19"/>
    </row>
    <row r="18" spans="2:8">
      <c r="C18" s="19"/>
      <c r="D18" s="19"/>
      <c r="E18" s="19"/>
      <c r="F18" s="19"/>
      <c r="G18" s="19"/>
      <c r="H18" s="19"/>
    </row>
    <row r="19" spans="2:8">
      <c r="C19" s="19" t="s">
        <v>3</v>
      </c>
      <c r="D19" s="19" t="s">
        <v>89</v>
      </c>
      <c r="E19" s="19"/>
      <c r="F19" s="19"/>
      <c r="G19" s="19"/>
      <c r="H19" s="19"/>
    </row>
    <row r="20" spans="2:8">
      <c r="C20" s="19"/>
      <c r="D20" s="19"/>
      <c r="E20" s="19"/>
      <c r="F20" s="19"/>
      <c r="G20" s="19"/>
      <c r="H20" s="19"/>
    </row>
    <row r="21" spans="2:8">
      <c r="C21" s="19"/>
      <c r="D21" s="19"/>
      <c r="E21" s="19"/>
      <c r="F21" s="19"/>
      <c r="G21" s="19"/>
      <c r="H21" s="19"/>
    </row>
    <row r="22" spans="2:8">
      <c r="C22" s="19"/>
      <c r="D22" s="19"/>
      <c r="E22" s="19"/>
      <c r="F22" s="19"/>
      <c r="G22" s="19"/>
      <c r="H22" s="19"/>
    </row>
    <row r="23" spans="2:8">
      <c r="C23" s="19"/>
      <c r="D23" s="19"/>
      <c r="E23" s="19"/>
      <c r="F23" s="19"/>
      <c r="G23" s="19"/>
      <c r="H23" s="19"/>
    </row>
    <row r="24" spans="2:8">
      <c r="C24" s="19"/>
      <c r="D24" s="19" t="s">
        <v>166</v>
      </c>
      <c r="E24" s="19" t="s">
        <v>167</v>
      </c>
      <c r="F24" s="19"/>
      <c r="G24" s="19"/>
      <c r="H24" s="19"/>
    </row>
    <row r="25" spans="2:8">
      <c r="B25" s="1" t="s">
        <v>165</v>
      </c>
      <c r="C25" s="35">
        <v>39234</v>
      </c>
      <c r="D25" s="20">
        <v>62826</v>
      </c>
      <c r="E25" s="20">
        <v>31426</v>
      </c>
      <c r="F25" s="19"/>
    </row>
    <row r="26" spans="2:8">
      <c r="C26" s="35">
        <f>C25-7</f>
        <v>39227</v>
      </c>
      <c r="D26" s="20">
        <v>69314</v>
      </c>
      <c r="E26" s="20">
        <v>35541</v>
      </c>
      <c r="F26" s="19"/>
    </row>
    <row r="27" spans="2:8">
      <c r="C27" s="35">
        <v>38869</v>
      </c>
      <c r="D27" s="20">
        <v>70448</v>
      </c>
      <c r="E27" s="20">
        <v>34206</v>
      </c>
      <c r="F27" s="19"/>
    </row>
    <row r="28" spans="2:8">
      <c r="C28" s="19"/>
      <c r="D28" s="19"/>
      <c r="E28" s="19"/>
      <c r="F28" s="19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15" t="s">
        <v>6</v>
      </c>
    </row>
    <row r="2" spans="1:3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15" t="s">
        <v>6</v>
      </c>
    </row>
    <row r="2" spans="1:3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15" t="s">
        <v>6</v>
      </c>
    </row>
    <row r="2" spans="1:3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Main</vt:lpstr>
      <vt:lpstr>Model</vt:lpstr>
      <vt:lpstr>Zyprexa</vt:lpstr>
      <vt:lpstr>Cymbalta</vt:lpstr>
      <vt:lpstr>Strattera</vt:lpstr>
      <vt:lpstr>Forteo</vt:lpstr>
      <vt:lpstr>Evista</vt:lpstr>
      <vt:lpstr>Cialis</vt:lpstr>
      <vt:lpstr>Gemzar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2022-08-02T02:14:19Z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