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F5C09D3-894F-47F4-9B2C-65D035140C39}" xr6:coauthVersionLast="47" xr6:coauthVersionMax="47" xr10:uidLastSave="{00000000-0000-0000-0000-000000000000}"/>
  <bookViews>
    <workbookView xWindow="-26700" yWindow="540" windowWidth="26490" windowHeight="19650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5" i="1" l="1"/>
  <c r="K6" i="2"/>
  <c r="K5" i="2"/>
  <c r="AZ87" i="1"/>
  <c r="AZ82" i="1"/>
  <c r="AZ80" i="1"/>
  <c r="AZ78" i="1"/>
  <c r="AZ73" i="1"/>
  <c r="AZ52" i="1"/>
  <c r="AZ47" i="1"/>
  <c r="AZ44" i="1"/>
  <c r="BS44" i="1" s="1"/>
  <c r="BS49" i="1"/>
  <c r="BS48" i="1"/>
  <c r="BS29" i="1"/>
  <c r="BS26" i="1"/>
  <c r="BS24" i="1"/>
  <c r="BS23" i="1"/>
  <c r="BS21" i="1"/>
  <c r="BS20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BB48" i="1"/>
  <c r="BA48" i="1"/>
  <c r="BA52" i="1"/>
  <c r="BB52" i="1" s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BB29" i="1"/>
  <c r="BA29" i="1"/>
  <c r="BA28" i="1"/>
  <c r="BB28" i="1" s="1"/>
  <c r="BA27" i="1"/>
  <c r="BB27" i="1" s="1"/>
  <c r="BS27" i="1" s="1"/>
  <c r="BT27" i="1" s="1"/>
  <c r="BU27" i="1" s="1"/>
  <c r="BV27" i="1" s="1"/>
  <c r="BW27" i="1" s="1"/>
  <c r="BX27" i="1" s="1"/>
  <c r="BY27" i="1" s="1"/>
  <c r="BB26" i="1"/>
  <c r="BA26" i="1"/>
  <c r="BA25" i="1"/>
  <c r="BB25" i="1" s="1"/>
  <c r="BS25" i="1" s="1"/>
  <c r="BB24" i="1"/>
  <c r="BA24" i="1"/>
  <c r="BB23" i="1"/>
  <c r="BA23" i="1"/>
  <c r="BA22" i="1"/>
  <c r="BB22" i="1" s="1"/>
  <c r="BS22" i="1" s="1"/>
  <c r="BB21" i="1"/>
  <c r="BA21" i="1"/>
  <c r="BB20" i="1"/>
  <c r="BA20" i="1"/>
  <c r="BA19" i="1"/>
  <c r="BB17" i="1"/>
  <c r="BA17" i="1"/>
  <c r="BB18" i="1"/>
  <c r="BA18" i="1"/>
  <c r="BB16" i="1"/>
  <c r="BA16" i="1"/>
  <c r="BB15" i="1"/>
  <c r="BA15" i="1"/>
  <c r="BB14" i="1"/>
  <c r="BA14" i="1"/>
  <c r="BB13" i="1"/>
  <c r="BA13" i="1"/>
  <c r="BB12" i="1"/>
  <c r="BB3" i="1" s="1"/>
  <c r="BA12" i="1"/>
  <c r="BB11" i="1"/>
  <c r="BA11" i="1"/>
  <c r="BB10" i="1"/>
  <c r="BA10" i="1"/>
  <c r="BB9" i="1"/>
  <c r="BA9" i="1"/>
  <c r="BB8" i="1"/>
  <c r="BA8" i="1"/>
  <c r="BB7" i="1"/>
  <c r="BA7" i="1"/>
  <c r="BB44" i="1"/>
  <c r="BA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X51" i="1" s="1"/>
  <c r="X53" i="1" s="1"/>
  <c r="X55" i="1" s="1"/>
  <c r="X56" i="1" s="1"/>
  <c r="AB45" i="1"/>
  <c r="AB59" i="1" s="1"/>
  <c r="Y52" i="1"/>
  <c r="Y50" i="1"/>
  <c r="Y47" i="1"/>
  <c r="AC45" i="1"/>
  <c r="AC59" i="1" s="1"/>
  <c r="Z52" i="1"/>
  <c r="AA52" i="1"/>
  <c r="AD52" i="1"/>
  <c r="Z50" i="1"/>
  <c r="Z47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BB19" i="1" l="1"/>
  <c r="BS19" i="1" s="1"/>
  <c r="BS28" i="1"/>
  <c r="AY51" i="1"/>
  <c r="AY53" i="1" s="1"/>
  <c r="BA45" i="1"/>
  <c r="BB45" i="1"/>
  <c r="AZ3" i="1"/>
  <c r="AZ64" i="1" s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AT64" i="1"/>
  <c r="AY72" i="1"/>
  <c r="AQ64" i="1"/>
  <c r="Z53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55" i="1"/>
  <c r="Z56" i="1" s="1"/>
  <c r="Z70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BT19" i="1" l="1"/>
  <c r="BU19" i="1" s="1"/>
  <c r="BV19" i="1" s="1"/>
  <c r="BW19" i="1" s="1"/>
  <c r="BX19" i="1" s="1"/>
  <c r="BY19" i="1" s="1"/>
  <c r="AZ59" i="1"/>
  <c r="BB47" i="1"/>
  <c r="BB59" i="1"/>
  <c r="BA59" i="1"/>
  <c r="BA47" i="1"/>
  <c r="BA46" i="1" s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70" i="1" l="1"/>
  <c r="BB54" i="1"/>
  <c r="BB70" i="1" s="1"/>
  <c r="BA54" i="1"/>
  <c r="BA70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BA55" i="1" l="1"/>
  <c r="BA56" i="1" s="1"/>
  <c r="AZ55" i="1"/>
  <c r="AZ56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Z72" i="1" l="1"/>
  <c r="BA72" i="1" s="1"/>
  <c r="BB72" i="1" s="1"/>
  <c r="AW56" i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raises to 10.71-10.91 (incl 60c - 11.31-11.51)
Q124: raises to 11.13-11.33 from 10.97-11.17 including 0.08 IPR&amp;D - 11.21-11.41</t>
      </text>
    </comment>
  </commentList>
</comments>
</file>

<file path=xl/sharedStrings.xml><?xml version="1.0" encoding="utf-8"?>
<sst xmlns="http://schemas.openxmlformats.org/spreadsheetml/2006/main" count="615" uniqueCount="432">
  <si>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</si>
  <si>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</si>
  <si>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</si>
  <si>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</si>
  <si>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</si>
  <si>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</si>
  <si>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</si>
  <si>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</si>
  <si>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</si>
  <si>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</si>
  <si>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</si>
  <si>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</si>
  <si>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</si>
  <si>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</si>
  <si>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</si>
  <si>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</si>
  <si>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</si>
  <si>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</si>
  <si>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</si>
  <si>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</si>
  <si>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</si>
  <si>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</si>
  <si>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</si>
  <si>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</si>
  <si>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</si>
  <si>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</si>
  <si>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</si>
  <si>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</si>
  <si>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</si>
  <si>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</si>
  <si>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</si>
  <si>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</si>
  <si>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</si>
  <si>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</si>
  <si>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</si>
  <si>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</si>
  <si>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</si>
  <si>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</si>
  <si>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</si>
  <si>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</si>
  <si>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</si>
  <si>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</si>
  <si>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</si>
  <si>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</si>
  <si>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</si>
  <si>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</si>
  <si>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</si>
  <si>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</si>
  <si>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</si>
  <si>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</si>
  <si>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</si>
  <si>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</si>
  <si>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</si>
  <si>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</si>
  <si>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</si>
  <si>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</si>
  <si>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</si>
  <si>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</si>
  <si>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</si>
  <si>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</si>
  <si>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</si>
  <si>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</si>
  <si>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</si>
  <si>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</si>
  <si>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</si>
  <si>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</si>
  <si>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</si>
  <si>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</si>
  <si>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</si>
  <si>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</si>
  <si>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</si>
  <si>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</si>
  <si>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</si>
  <si>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</si>
  <si>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</si>
  <si>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</si>
  <si>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</si>
  <si>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</si>
  <si>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</si>
  <si>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</si>
  <si>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</si>
  <si>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</si>
  <si>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</si>
  <si>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</si>
  <si>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</si>
  <si>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</si>
  <si>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</si>
  <si>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</si>
  <si>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</si>
  <si>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</si>
  <si>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</si>
  <si>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</si>
  <si>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</si>
  <si>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</si>
  <si>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</si>
  <si>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</si>
  <si>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</si>
  <si>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</si>
  <si>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</si>
  <si>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</si>
  <si>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</si>
  <si>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</si>
  <si>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</si>
  <si>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</si>
  <si>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</si>
  <si>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</si>
  <si>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</si>
  <si>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</si>
  <si>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</si>
  <si>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</si>
  <si>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</si>
  <si>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</si>
  <si>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</si>
  <si>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</si>
  <si>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</si>
  <si>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</si>
  <si>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</si>
  <si>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</si>
  <si>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</si>
  <si>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</si>
  <si>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</si>
  <si>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</si>
  <si>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</si>
  <si>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</si>
  <si>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</si>
  <si>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</si>
  <si>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</si>
  <si>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</si>
  <si>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</si>
  <si>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</si>
  <si>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</si>
  <si>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</si>
  <si>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</si>
  <si>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</si>
  <si>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</si>
  <si>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</si>
  <si>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</si>
  <si>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</si>
  <si>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</si>
  <si>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</si>
  <si>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</si>
  <si>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</si>
  <si>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</si>
  <si>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</si>
  <si>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</si>
  <si>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</si>
  <si>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</si>
  <si>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</si>
  <si>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</si>
  <si>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</si>
  <si>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</si>
  <si>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</si>
  <si>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</si>
  <si>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</si>
  <si>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</si>
  <si>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</si>
  <si>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</si>
  <si>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</si>
  <si>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</si>
  <si>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</si>
  <si>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</si>
  <si>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</si>
  <si>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</si>
  <si>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</si>
  <si>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</si>
  <si>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</si>
  <si>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</si>
  <si>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</si>
  <si>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</si>
  <si>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</si>
  <si>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</si>
  <si>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</si>
  <si>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</si>
  <si>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</si>
  <si>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</si>
  <si>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</si>
  <si>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</si>
  <si>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</si>
  <si>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</si>
  <si>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</si>
  <si>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</si>
  <si>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</si>
  <si>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</si>
  <si>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</si>
  <si>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</si>
  <si>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</si>
  <si>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</si>
  <si>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</si>
  <si>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</si>
  <si>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</si>
  <si>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</si>
  <si>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</si>
  <si>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</si>
  <si>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</si>
  <si>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</si>
  <si>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</si>
  <si>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</si>
  <si>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</si>
  <si>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</si>
  <si>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</si>
  <si>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</si>
  <si>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</si>
  <si>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</si>
  <si>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</si>
  <si>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</si>
  <si>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</si>
  <si>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</si>
  <si>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</si>
  <si>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</si>
  <si>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</si>
  <si>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</si>
  <si>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</si>
  <si>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</si>
  <si>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</si>
  <si>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</si>
  <si>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</si>
  <si>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</si>
  <si>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</si>
  <si>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</si>
  <si>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</si>
  <si>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</si>
  <si>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</si>
  <si>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</si>
  <si>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</si>
  <si>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</si>
  <si>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</si>
  <si>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</si>
  <si>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</si>
  <si>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</si>
  <si>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</si>
  <si>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</si>
  <si>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</si>
  <si>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</si>
  <si>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</si>
  <si>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</si>
  <si>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</si>
  <si>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</si>
  <si>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</si>
  <si>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</si>
  <si>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</si>
  <si>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</si>
  <si>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</si>
  <si>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</si>
  <si>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</si>
  <si>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</si>
  <si>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</si>
  <si>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</si>
  <si>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</si>
  <si>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</si>
  <si>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</si>
  <si>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</si>
  <si>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</si>
  <si>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</si>
  <si>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</si>
  <si>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</si>
  <si>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</si>
  <si>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</si>
  <si>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</si>
  <si>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</si>
  <si>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</si>
  <si>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</si>
  <si>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</si>
  <si>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</si>
  <si>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</si>
  <si>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</si>
  <si>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</si>
  <si>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</si>
  <si>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</si>
  <si>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</si>
  <si>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</si>
  <si>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</si>
  <si>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</si>
  <si>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</si>
  <si>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</si>
  <si>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</si>
  <si>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</si>
  <si>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</si>
  <si>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</si>
  <si>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</si>
  <si>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</si>
  <si>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</si>
  <si>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</si>
  <si>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</si>
  <si>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</si>
  <si>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</si>
  <si>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</si>
  <si>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</si>
  <si>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</si>
  <si>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</si>
  <si>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</si>
  <si>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</si>
  <si>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</si>
  <si>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</si>
  <si>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</si>
  <si>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</si>
  <si>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</si>
  <si>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</si>
  <si>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</si>
  <si>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</si>
  <si>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</si>
  <si>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</si>
  <si>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</si>
  <si>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</si>
  <si>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</si>
  <si>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</si>
  <si>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</si>
  <si>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</si>
  <si>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</si>
  <si>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</si>
  <si>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</si>
  <si>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</si>
  <si>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</si>
  <si>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</si>
  <si>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</si>
  <si>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</si>
  <si>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</si>
  <si>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</si>
  <si>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</si>
  <si>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</si>
  <si>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</si>
  <si>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</si>
  <si>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</si>
  <si>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</si>
  <si>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</si>
  <si>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</si>
  <si>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</si>
  <si>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</si>
  <si>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</si>
  <si>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</si>
  <si>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</si>
  <si>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</si>
  <si>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</si>
  <si>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</si>
  <si>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</si>
  <si>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</si>
  <si>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</si>
  <si>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</si>
  <si>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</si>
  <si>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</si>
  <si>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</si>
  <si>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</si>
  <si>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</si>
  <si>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</si>
  <si>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</si>
  <si>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</si>
  <si>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</si>
  <si>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</si>
  <si>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</si>
  <si>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</si>
  <si>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</si>
  <si>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</si>
  <si>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</si>
  <si>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</si>
  <si>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</si>
  <si>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</si>
  <si>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</si>
  <si>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</si>
  <si>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</si>
  <si>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</si>
  <si>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</si>
  <si>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</si>
  <si>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</si>
  <si>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</si>
  <si>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</si>
  <si>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</si>
  <si>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</si>
  <si>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</si>
  <si>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</si>
  <si>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</si>
  <si>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</si>
  <si>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</si>
  <si>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</si>
  <si>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</si>
  <si>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</si>
  <si>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</si>
  <si>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</si>
  <si>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</si>
  <si>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</si>
  <si>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</si>
  <si>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</si>
  <si>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</si>
  <si>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</si>
  <si>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</si>
  <si>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</si>
  <si>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</si>
  <si>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</si>
  <si>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</si>
  <si>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</si>
  <si>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</si>
  <si>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</si>
  <si>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</si>
  <si>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</si>
  <si>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</si>
  <si>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</si>
  <si>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</si>
  <si>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</si>
  <si>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</si>
  <si>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</si>
  <si>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</si>
  <si>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</si>
  <si>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</si>
  <si>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</si>
  <si>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</si>
  <si>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</si>
  <si>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</si>
  <si>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</si>
  <si>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</si>
  <si>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</si>
  <si>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</si>
  <si>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</si>
  <si>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</si>
  <si>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</si>
  <si>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</si>
  <si>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</si>
  <si>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</si>
  <si>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</si>
  <si>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</si>
  <si>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</si>
  <si>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</si>
  <si>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</si>
  <si>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</si>
  <si>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</si>
  <si>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</si>
  <si>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ovarian cancer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</si>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</sst>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19" fillId="0" borderId="1" xfId="0" applyFont="1" applyBorder="1"/>
    <xf numFmtId="0" fontId="19" fillId="0" borderId="3" xfId="0" applyFont="1" applyBorder="1"/>
    <xf numFmtId="0" fontId="19" fillId="0" borderId="6" xfId="0" applyFont="1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0" applyNumberFormat="1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4" fontId="19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3" fontId="20" fillId="0" borderId="0" xfId="0" applyNumberFormat="1" applyFont="1"/>
    <xf numFmtId="3" fontId="20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22" fillId="0" borderId="0" xfId="1" applyFont="1"/>
    <xf numFmtId="0" fontId="22" fillId="0" borderId="1" xfId="1" applyFont="1" applyBorder="1"/>
    <xf numFmtId="0" fontId="18" fillId="0" borderId="0" xfId="0" applyFont="1" applyAlignment="1">
      <alignment horizontal="right"/>
    </xf>
    <xf numFmtId="3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0" fontId="16" fillId="0" borderId="0" xfId="0" applyFont="1"/>
    <xf numFmtId="3" fontId="16" fillId="0" borderId="0" xfId="0" quotePrefix="1" applyNumberFormat="1" applyFont="1" applyAlignment="1">
      <alignment horizontal="right"/>
    </xf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9" fontId="16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7" xfId="0" applyFont="1" applyBorder="1" applyAlignment="1">
      <alignment horizontal="center"/>
    </xf>
    <xf numFmtId="0" fontId="13" fillId="0" borderId="0" xfId="0" applyFont="1"/>
    <xf numFmtId="3" fontId="13" fillId="0" borderId="0" xfId="0" quotePrefix="1" applyNumberFormat="1" applyFont="1" applyAlignment="1">
      <alignment horizontal="right"/>
    </xf>
    <xf numFmtId="9" fontId="13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3" fontId="19" fillId="2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11" fillId="0" borderId="0" xfId="0" quotePrefix="1" applyNumberFormat="1" applyFont="1" applyAlignment="1">
      <alignment horizontal="right"/>
    </xf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1" xfId="0" applyFont="1" applyBorder="1"/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1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/>
    <xf numFmtId="0" fontId="6" fillId="0" borderId="1" xfId="0" applyFont="1" applyBorder="1"/>
    <xf numFmtId="3" fontId="5" fillId="0" borderId="0" xfId="0" applyNumberFormat="1" applyFont="1"/>
    <xf numFmtId="0" fontId="5" fillId="0" borderId="1" xfId="0" applyFont="1" applyBorder="1"/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3" fillId="0" borderId="0" xfId="0" applyFont="1"/>
    <xf numFmtId="9" fontId="3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3" fontId="1" fillId="0" borderId="0" xfId="0" quotePrefix="1" applyNumberFormat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39771</xdr:colOff>
      <xdr:row>0</xdr:row>
      <xdr:rowOff>0</xdr:rowOff>
    </xdr:from>
    <xdr:to>
      <xdr:col>52</xdr:col>
      <xdr:colOff>39771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996771" y="0"/>
          <a:ext cx="0" cy="195703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222</v>
      </c>
      <c r="F22" s="41" t="s">
        <v>221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defaultColWidth="9.140625" defaultRowHeight="12.75" x14ac:dyDescent="0.2"/>
  <cols>
    <col min="1" max="1" width="5.42578125" style="89" bestFit="1" customWidth="1"/>
    <col min="2" max="2" width="12.140625" style="89" bestFit="1" customWidth="1"/>
    <col min="3" max="16384" width="9.140625" style="89"/>
  </cols>
  <sheetData>
    <row r="1" spans="1:3" x14ac:dyDescent="0.2">
      <c r="A1" s="20" t="s">
        <v>74</v>
      </c>
    </row>
    <row r="2" spans="1:3" x14ac:dyDescent="0.2">
      <c r="B2" s="89" t="s">
        <v>147</v>
      </c>
      <c r="C2" s="89" t="s">
        <v>418</v>
      </c>
    </row>
    <row r="3" spans="1:3" x14ac:dyDescent="0.2">
      <c r="B3" s="89" t="s">
        <v>190</v>
      </c>
      <c r="C3" s="89" t="s">
        <v>419</v>
      </c>
    </row>
    <row r="4" spans="1:3" x14ac:dyDescent="0.2">
      <c r="B4" s="89" t="s">
        <v>27</v>
      </c>
      <c r="C4" s="89" t="s">
        <v>420</v>
      </c>
    </row>
    <row r="5" spans="1:3" x14ac:dyDescent="0.2">
      <c r="B5" s="89" t="s">
        <v>294</v>
      </c>
      <c r="C5" s="89" t="s">
        <v>421</v>
      </c>
    </row>
    <row r="6" spans="1:3" x14ac:dyDescent="0.2">
      <c r="B6" s="89" t="s">
        <v>36</v>
      </c>
      <c r="C6" s="89" t="s">
        <v>316</v>
      </c>
    </row>
    <row r="7" spans="1:3" x14ac:dyDescent="0.2">
      <c r="B7" s="89" t="s">
        <v>229</v>
      </c>
    </row>
    <row r="8" spans="1:3" x14ac:dyDescent="0.2">
      <c r="C8" s="86" t="s">
        <v>422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zoomScale="145" zoomScaleNormal="145" workbookViewId="0">
      <selection activeCell="B12" sqref="B12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195</v>
      </c>
    </row>
    <row r="3" spans="2:12" x14ac:dyDescent="0.2">
      <c r="B3" s="21" t="s">
        <v>73</v>
      </c>
      <c r="C3" s="46" t="s">
        <v>230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1771</v>
      </c>
      <c r="L3" s="95" t="s">
        <v>329</v>
      </c>
    </row>
    <row r="4" spans="2:12" x14ac:dyDescent="0.2">
      <c r="B4" s="21" t="s">
        <v>210</v>
      </c>
      <c r="C4" s="57" t="s">
        <v>270</v>
      </c>
      <c r="D4" s="64">
        <v>33581</v>
      </c>
      <c r="E4" s="57" t="s">
        <v>271</v>
      </c>
      <c r="F4" s="10">
        <v>1</v>
      </c>
      <c r="G4" s="57" t="s">
        <v>187</v>
      </c>
      <c r="H4" s="58" t="s">
        <v>272</v>
      </c>
      <c r="J4" s="1" t="s">
        <v>49</v>
      </c>
      <c r="K4" s="15">
        <f>+K3*K2</f>
        <v>345345</v>
      </c>
      <c r="L4" s="2"/>
    </row>
    <row r="5" spans="2:12" x14ac:dyDescent="0.2">
      <c r="B5" s="21" t="s">
        <v>160</v>
      </c>
      <c r="C5" s="57" t="s">
        <v>267</v>
      </c>
      <c r="D5" s="19">
        <v>41591</v>
      </c>
      <c r="E5" s="57" t="s">
        <v>268</v>
      </c>
      <c r="F5" s="34" t="s">
        <v>162</v>
      </c>
      <c r="G5" s="38" t="s">
        <v>188</v>
      </c>
      <c r="H5" s="60">
        <v>46566</v>
      </c>
      <c r="J5" s="1" t="s">
        <v>50</v>
      </c>
      <c r="K5" s="94">
        <f>Model!AZ73</f>
        <v>13429</v>
      </c>
      <c r="L5" s="95" t="s">
        <v>329</v>
      </c>
    </row>
    <row r="6" spans="2:12" x14ac:dyDescent="0.2">
      <c r="B6" s="21" t="s">
        <v>163</v>
      </c>
      <c r="C6" s="57" t="s">
        <v>260</v>
      </c>
      <c r="D6" s="19">
        <v>43578</v>
      </c>
      <c r="E6" s="38" t="s">
        <v>224</v>
      </c>
      <c r="F6" s="59" t="s">
        <v>261</v>
      </c>
      <c r="G6" s="57" t="s">
        <v>187</v>
      </c>
      <c r="H6" s="58" t="s">
        <v>72</v>
      </c>
      <c r="J6" s="1" t="s">
        <v>51</v>
      </c>
      <c r="K6" s="15">
        <f>Model!AZ82</f>
        <v>70634</v>
      </c>
      <c r="L6" s="95" t="s">
        <v>329</v>
      </c>
    </row>
    <row r="7" spans="2:12" x14ac:dyDescent="0.2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273</v>
      </c>
      <c r="J7" s="1" t="s">
        <v>52</v>
      </c>
      <c r="K7" s="15">
        <f>+K4-K5+K6</f>
        <v>402550</v>
      </c>
    </row>
    <row r="8" spans="2:12" x14ac:dyDescent="0.2">
      <c r="B8" s="61" t="s">
        <v>274</v>
      </c>
      <c r="C8" s="57" t="s">
        <v>275</v>
      </c>
      <c r="D8" s="19">
        <v>32534</v>
      </c>
      <c r="E8" s="9"/>
      <c r="F8" s="57" t="s">
        <v>276</v>
      </c>
      <c r="G8" s="57" t="s">
        <v>277</v>
      </c>
      <c r="H8" s="11"/>
    </row>
    <row r="9" spans="2:12" x14ac:dyDescent="0.2">
      <c r="B9" s="21" t="s">
        <v>179</v>
      </c>
      <c r="C9" s="57" t="s">
        <v>254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255</v>
      </c>
    </row>
    <row r="10" spans="2:12" x14ac:dyDescent="0.2">
      <c r="B10" s="61" t="s">
        <v>278</v>
      </c>
      <c r="C10" s="57" t="s">
        <v>280</v>
      </c>
      <c r="D10" s="19">
        <v>37461</v>
      </c>
      <c r="E10" s="9"/>
      <c r="F10" s="84" t="s">
        <v>341</v>
      </c>
      <c r="G10" s="38" t="s">
        <v>188</v>
      </c>
      <c r="H10" s="11"/>
    </row>
    <row r="11" spans="2:12" x14ac:dyDescent="0.2">
      <c r="B11" s="77" t="s">
        <v>6</v>
      </c>
      <c r="C11" s="57" t="s">
        <v>279</v>
      </c>
      <c r="D11" s="9"/>
      <c r="E11" s="9"/>
      <c r="F11" s="84" t="s">
        <v>341</v>
      </c>
      <c r="G11" s="38" t="s">
        <v>188</v>
      </c>
      <c r="H11" s="11"/>
    </row>
    <row r="12" spans="2:12" x14ac:dyDescent="0.2">
      <c r="B12" s="61" t="s">
        <v>282</v>
      </c>
      <c r="C12" s="57" t="s">
        <v>283</v>
      </c>
      <c r="D12" s="9"/>
      <c r="E12" s="9"/>
      <c r="F12" s="9"/>
      <c r="G12" s="57" t="s">
        <v>285</v>
      </c>
      <c r="H12" s="11"/>
    </row>
    <row r="13" spans="2:12" x14ac:dyDescent="0.2">
      <c r="B13" s="61" t="s">
        <v>281</v>
      </c>
      <c r="C13" s="57" t="s">
        <v>206</v>
      </c>
      <c r="D13" s="9"/>
      <c r="E13" s="9"/>
      <c r="F13" s="9"/>
      <c r="G13" s="9"/>
      <c r="H13" s="11"/>
      <c r="J13" s="89" t="s">
        <v>400</v>
      </c>
    </row>
    <row r="14" spans="2:12" x14ac:dyDescent="0.2">
      <c r="B14" s="61" t="s">
        <v>269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322</v>
      </c>
    </row>
    <row r="15" spans="2:12" x14ac:dyDescent="0.2">
      <c r="B15" s="39" t="s">
        <v>208</v>
      </c>
      <c r="C15" s="38" t="s">
        <v>209</v>
      </c>
      <c r="D15" s="9"/>
      <c r="E15" s="57" t="s">
        <v>284</v>
      </c>
      <c r="F15" s="10">
        <v>1</v>
      </c>
      <c r="G15" s="57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337</v>
      </c>
      <c r="C17" s="84" t="s">
        <v>65</v>
      </c>
      <c r="D17" s="9"/>
      <c r="E17" s="84" t="s">
        <v>338</v>
      </c>
      <c r="F17" s="10"/>
      <c r="G17" s="38"/>
      <c r="H17" s="11"/>
    </row>
    <row r="18" spans="2:10" x14ac:dyDescent="0.2">
      <c r="B18" s="39" t="s">
        <v>212</v>
      </c>
      <c r="C18" s="38" t="s">
        <v>213</v>
      </c>
      <c r="D18" s="9"/>
      <c r="E18" s="9"/>
      <c r="F18" s="10"/>
      <c r="G18" s="57" t="s">
        <v>285</v>
      </c>
      <c r="H18" s="11"/>
    </row>
    <row r="19" spans="2:10" x14ac:dyDescent="0.2">
      <c r="B19" s="21" t="s">
        <v>339</v>
      </c>
      <c r="C19" s="84" t="s">
        <v>340</v>
      </c>
      <c r="D19" s="36"/>
      <c r="E19" s="68" t="s">
        <v>317</v>
      </c>
      <c r="F19" s="67" t="s">
        <v>316</v>
      </c>
      <c r="G19" s="9"/>
      <c r="H19" s="11"/>
    </row>
    <row r="20" spans="2:10" x14ac:dyDescent="0.2">
      <c r="B20" s="61" t="s">
        <v>289</v>
      </c>
      <c r="C20" s="57" t="s">
        <v>290</v>
      </c>
      <c r="D20" s="9"/>
      <c r="E20" s="57" t="s">
        <v>291</v>
      </c>
      <c r="F20" s="10"/>
      <c r="G20" s="57"/>
      <c r="H20" s="11"/>
    </row>
    <row r="21" spans="2:10" x14ac:dyDescent="0.2">
      <c r="B21" s="39" t="s">
        <v>214</v>
      </c>
      <c r="C21" s="38" t="s">
        <v>215</v>
      </c>
      <c r="D21" s="9"/>
      <c r="E21" s="9"/>
      <c r="F21" s="10"/>
      <c r="G21" s="57" t="s">
        <v>285</v>
      </c>
      <c r="H21" s="11"/>
      <c r="J21" s="88"/>
    </row>
    <row r="22" spans="2:10" x14ac:dyDescent="0.2">
      <c r="B22" s="39" t="s">
        <v>211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2">
      <c r="B23" s="6"/>
      <c r="C23" s="7"/>
      <c r="D23" s="7" t="s">
        <v>56</v>
      </c>
      <c r="E23" s="7"/>
      <c r="F23" s="7"/>
      <c r="G23" s="7"/>
      <c r="H23" s="8"/>
    </row>
    <row r="24" spans="2:10" x14ac:dyDescent="0.2">
      <c r="B24" s="39" t="s">
        <v>207</v>
      </c>
      <c r="C24" s="38" t="s">
        <v>206</v>
      </c>
      <c r="D24" s="84" t="s">
        <v>354</v>
      </c>
      <c r="E24" s="84" t="s">
        <v>355</v>
      </c>
      <c r="F24" s="10">
        <v>1</v>
      </c>
      <c r="G24" s="9"/>
      <c r="H24" s="11"/>
    </row>
    <row r="25" spans="2:10" x14ac:dyDescent="0.2">
      <c r="B25" s="66" t="s">
        <v>318</v>
      </c>
      <c r="C25" s="68" t="s">
        <v>319</v>
      </c>
      <c r="D25" s="84" t="s">
        <v>395</v>
      </c>
      <c r="E25" s="84" t="s">
        <v>396</v>
      </c>
      <c r="F25" s="67"/>
      <c r="G25" s="9"/>
      <c r="H25" s="11"/>
    </row>
    <row r="26" spans="2:10" x14ac:dyDescent="0.2">
      <c r="B26" s="83" t="s">
        <v>351</v>
      </c>
      <c r="C26" s="84" t="s">
        <v>352</v>
      </c>
      <c r="D26" s="84" t="s">
        <v>64</v>
      </c>
      <c r="E26" s="84" t="s">
        <v>353</v>
      </c>
      <c r="F26" s="67"/>
      <c r="G26" s="9"/>
      <c r="H26" s="11"/>
    </row>
    <row r="27" spans="2:10" x14ac:dyDescent="0.2">
      <c r="B27" s="66" t="s">
        <v>320</v>
      </c>
      <c r="C27" s="68" t="s">
        <v>321</v>
      </c>
      <c r="D27" s="84" t="s">
        <v>395</v>
      </c>
      <c r="E27" s="68"/>
      <c r="F27" s="67"/>
      <c r="G27" s="9"/>
      <c r="H27" s="11"/>
    </row>
    <row r="28" spans="2:10" x14ac:dyDescent="0.2">
      <c r="B28" s="83" t="s">
        <v>392</v>
      </c>
      <c r="C28" s="84" t="s">
        <v>393</v>
      </c>
      <c r="D28" s="92" t="s">
        <v>395</v>
      </c>
      <c r="E28" s="84" t="s">
        <v>394</v>
      </c>
      <c r="F28" s="9"/>
      <c r="G28" s="9"/>
      <c r="H28" s="11"/>
    </row>
    <row r="29" spans="2:10" x14ac:dyDescent="0.2">
      <c r="B29" s="35" t="s">
        <v>168</v>
      </c>
      <c r="C29" s="36" t="s">
        <v>170</v>
      </c>
      <c r="D29" s="36" t="s">
        <v>64</v>
      </c>
      <c r="E29" s="36" t="s">
        <v>169</v>
      </c>
      <c r="F29" s="10">
        <v>1</v>
      </c>
      <c r="G29" s="9"/>
      <c r="H29" s="11"/>
    </row>
    <row r="30" spans="2:10" x14ac:dyDescent="0.2">
      <c r="B30" s="35" t="s">
        <v>175</v>
      </c>
      <c r="C30" s="36" t="s">
        <v>176</v>
      </c>
      <c r="D30" s="36" t="s">
        <v>64</v>
      </c>
      <c r="E30" s="36" t="s">
        <v>161</v>
      </c>
      <c r="F30" s="10">
        <v>1</v>
      </c>
      <c r="G30" s="9"/>
      <c r="H30" s="11"/>
    </row>
    <row r="31" spans="2:10" x14ac:dyDescent="0.2">
      <c r="B31" s="75" t="s">
        <v>327</v>
      </c>
      <c r="C31" s="38" t="s">
        <v>176</v>
      </c>
      <c r="D31" s="38" t="s">
        <v>64</v>
      </c>
      <c r="E31" s="38" t="s">
        <v>177</v>
      </c>
      <c r="F31" s="10">
        <v>1</v>
      </c>
      <c r="G31" s="9"/>
      <c r="H31" s="11"/>
    </row>
    <row r="32" spans="2:10" x14ac:dyDescent="0.2">
      <c r="B32" s="83" t="s">
        <v>382</v>
      </c>
      <c r="C32" s="38"/>
      <c r="D32" s="38"/>
      <c r="E32" s="84" t="s">
        <v>161</v>
      </c>
      <c r="F32" s="10"/>
      <c r="G32" s="9"/>
      <c r="H32" s="11"/>
    </row>
    <row r="33" spans="2:8" x14ac:dyDescent="0.2">
      <c r="B33" s="39" t="s">
        <v>181</v>
      </c>
      <c r="C33" s="38" t="s">
        <v>184</v>
      </c>
      <c r="D33" s="84" t="s">
        <v>64</v>
      </c>
      <c r="E33" s="38" t="s">
        <v>182</v>
      </c>
      <c r="F33" s="10">
        <v>1</v>
      </c>
      <c r="G33" s="9"/>
      <c r="H33" s="11"/>
    </row>
    <row r="34" spans="2:8" x14ac:dyDescent="0.2">
      <c r="B34" s="39" t="s">
        <v>193</v>
      </c>
      <c r="C34" s="38" t="s">
        <v>176</v>
      </c>
      <c r="D34" s="38" t="s">
        <v>64</v>
      </c>
      <c r="E34" s="38" t="s">
        <v>195</v>
      </c>
      <c r="F34" s="38" t="s">
        <v>194</v>
      </c>
      <c r="G34" s="9"/>
      <c r="H34" s="11"/>
    </row>
    <row r="35" spans="2:8" x14ac:dyDescent="0.2">
      <c r="B35" s="83" t="s">
        <v>397</v>
      </c>
      <c r="C35" s="84" t="s">
        <v>398</v>
      </c>
      <c r="D35" s="38" t="s">
        <v>64</v>
      </c>
      <c r="E35" s="38" t="s">
        <v>198</v>
      </c>
      <c r="F35" s="10">
        <v>1</v>
      </c>
      <c r="G35" s="9"/>
      <c r="H35" s="11"/>
    </row>
    <row r="36" spans="2:8" x14ac:dyDescent="0.2">
      <c r="B36" s="39" t="s">
        <v>225</v>
      </c>
      <c r="C36" s="38" t="s">
        <v>206</v>
      </c>
      <c r="D36" s="38" t="s">
        <v>183</v>
      </c>
      <c r="E36" s="38" t="s">
        <v>226</v>
      </c>
      <c r="F36" s="10">
        <v>1</v>
      </c>
      <c r="G36" s="9"/>
      <c r="H36" s="11"/>
    </row>
    <row r="37" spans="2:8" x14ac:dyDescent="0.2">
      <c r="B37" s="83" t="s">
        <v>383</v>
      </c>
      <c r="C37" s="84" t="s">
        <v>196</v>
      </c>
      <c r="D37" s="84" t="s">
        <v>183</v>
      </c>
      <c r="E37" s="84" t="s">
        <v>384</v>
      </c>
      <c r="F37" s="10"/>
      <c r="G37" s="9"/>
      <c r="H37" s="11"/>
    </row>
    <row r="38" spans="2:8" x14ac:dyDescent="0.2">
      <c r="B38" s="83" t="s">
        <v>385</v>
      </c>
      <c r="C38" s="84" t="s">
        <v>196</v>
      </c>
      <c r="D38" s="84" t="s">
        <v>64</v>
      </c>
      <c r="E38" s="84" t="s">
        <v>386</v>
      </c>
      <c r="F38" s="10"/>
      <c r="G38" s="9"/>
      <c r="H38" s="11"/>
    </row>
    <row r="39" spans="2:8" x14ac:dyDescent="0.2">
      <c r="B39" s="91" t="s">
        <v>408</v>
      </c>
      <c r="C39" s="92" t="s">
        <v>409</v>
      </c>
      <c r="D39" s="84"/>
      <c r="E39" s="84"/>
      <c r="F39" s="93" t="s">
        <v>410</v>
      </c>
      <c r="G39" s="9"/>
      <c r="H39" s="11"/>
    </row>
    <row r="40" spans="2:8" x14ac:dyDescent="0.2">
      <c r="B40" s="91" t="s">
        <v>411</v>
      </c>
      <c r="C40" s="92" t="s">
        <v>412</v>
      </c>
      <c r="D40" s="84"/>
      <c r="E40" s="92" t="s">
        <v>413</v>
      </c>
      <c r="F40" s="93" t="s">
        <v>414</v>
      </c>
      <c r="G40" s="9"/>
      <c r="H40" s="11"/>
    </row>
    <row r="41" spans="2:8" x14ac:dyDescent="0.2">
      <c r="B41" s="91" t="s">
        <v>415</v>
      </c>
      <c r="C41" s="92"/>
      <c r="D41" s="92" t="s">
        <v>183</v>
      </c>
      <c r="E41" s="92" t="s">
        <v>416</v>
      </c>
      <c r="F41" s="93" t="s">
        <v>417</v>
      </c>
      <c r="G41" s="9"/>
      <c r="H41" s="11"/>
    </row>
    <row r="42" spans="2:8" x14ac:dyDescent="0.2">
      <c r="B42" s="83" t="s">
        <v>364</v>
      </c>
      <c r="C42" s="84" t="s">
        <v>46</v>
      </c>
      <c r="D42" s="84" t="s">
        <v>64</v>
      </c>
      <c r="E42" s="84" t="s">
        <v>365</v>
      </c>
      <c r="F42" s="10"/>
      <c r="G42" s="9"/>
      <c r="H42" s="11"/>
    </row>
    <row r="43" spans="2:8" x14ac:dyDescent="0.2">
      <c r="B43" s="83" t="s">
        <v>366</v>
      </c>
      <c r="C43" s="84" t="s">
        <v>46</v>
      </c>
      <c r="D43" s="84" t="s">
        <v>64</v>
      </c>
      <c r="E43" s="84" t="s">
        <v>367</v>
      </c>
      <c r="F43" s="10"/>
      <c r="G43" s="9"/>
      <c r="H43" s="11"/>
    </row>
    <row r="44" spans="2:8" x14ac:dyDescent="0.2">
      <c r="B44" s="83" t="s">
        <v>368</v>
      </c>
      <c r="C44" s="84" t="s">
        <v>369</v>
      </c>
      <c r="D44" s="84" t="s">
        <v>183</v>
      </c>
      <c r="E44" s="84" t="s">
        <v>370</v>
      </c>
      <c r="F44" s="87" t="s">
        <v>371</v>
      </c>
      <c r="G44" s="9"/>
      <c r="H44" s="11"/>
    </row>
    <row r="45" spans="2:8" x14ac:dyDescent="0.2">
      <c r="B45" s="83" t="s">
        <v>376</v>
      </c>
      <c r="C45" s="84" t="s">
        <v>46</v>
      </c>
      <c r="D45" s="84" t="s">
        <v>64</v>
      </c>
      <c r="E45" s="84" t="s">
        <v>377</v>
      </c>
      <c r="F45" s="87" t="s">
        <v>378</v>
      </c>
      <c r="G45" s="9"/>
      <c r="H45" s="11"/>
    </row>
    <row r="46" spans="2:8" x14ac:dyDescent="0.2">
      <c r="B46" s="83" t="s">
        <v>379</v>
      </c>
      <c r="C46" s="84" t="s">
        <v>380</v>
      </c>
      <c r="D46" s="84" t="s">
        <v>64</v>
      </c>
      <c r="E46" s="84" t="s">
        <v>381</v>
      </c>
      <c r="F46" s="87"/>
      <c r="G46" s="9"/>
      <c r="H46" s="11"/>
    </row>
    <row r="47" spans="2:8" x14ac:dyDescent="0.2">
      <c r="B47" s="83" t="s">
        <v>372</v>
      </c>
      <c r="C47" s="84" t="s">
        <v>373</v>
      </c>
      <c r="D47" s="84" t="s">
        <v>64</v>
      </c>
      <c r="E47" s="84" t="s">
        <v>374</v>
      </c>
      <c r="F47" s="87" t="s">
        <v>375</v>
      </c>
      <c r="G47" s="9"/>
      <c r="H47" s="11"/>
    </row>
    <row r="48" spans="2:8" x14ac:dyDescent="0.2">
      <c r="B48" s="83" t="s">
        <v>359</v>
      </c>
      <c r="C48" s="84" t="s">
        <v>176</v>
      </c>
      <c r="D48" s="9"/>
      <c r="E48" s="9"/>
      <c r="F48" s="9"/>
      <c r="G48" s="9"/>
      <c r="H48" s="11"/>
    </row>
    <row r="49" spans="2:8" x14ac:dyDescent="0.2">
      <c r="B49" s="83" t="s">
        <v>360</v>
      </c>
      <c r="C49" s="84" t="s">
        <v>363</v>
      </c>
      <c r="D49" s="84" t="s">
        <v>64</v>
      </c>
      <c r="E49" s="84" t="s">
        <v>361</v>
      </c>
      <c r="F49" s="84" t="s">
        <v>362</v>
      </c>
      <c r="G49" s="9"/>
      <c r="H49" s="11"/>
    </row>
    <row r="50" spans="2:8" x14ac:dyDescent="0.2">
      <c r="B50" s="83" t="s">
        <v>357</v>
      </c>
      <c r="C50" s="84" t="s">
        <v>358</v>
      </c>
      <c r="D50" s="9"/>
      <c r="E50" s="9"/>
      <c r="F50" s="9"/>
      <c r="G50" s="9"/>
      <c r="H50" s="11"/>
    </row>
    <row r="51" spans="2:8" x14ac:dyDescent="0.2">
      <c r="B51" s="4" t="s">
        <v>40</v>
      </c>
      <c r="C51" s="9" t="s">
        <v>41</v>
      </c>
      <c r="D51" s="9"/>
      <c r="E51" s="9"/>
      <c r="F51" s="9"/>
      <c r="G51" s="9"/>
      <c r="H51" s="11"/>
    </row>
    <row r="52" spans="2:8" x14ac:dyDescent="0.2">
      <c r="B52" s="91" t="s">
        <v>426</v>
      </c>
      <c r="C52" s="92" t="s">
        <v>427</v>
      </c>
      <c r="D52" s="92" t="s">
        <v>183</v>
      </c>
      <c r="E52" s="92" t="s">
        <v>428</v>
      </c>
      <c r="F52" s="9"/>
      <c r="G52" s="9"/>
      <c r="H52" s="11"/>
    </row>
    <row r="53" spans="2:8" x14ac:dyDescent="0.2">
      <c r="B53" s="91" t="s">
        <v>429</v>
      </c>
      <c r="C53" s="92" t="s">
        <v>431</v>
      </c>
      <c r="D53" s="92" t="s">
        <v>183</v>
      </c>
      <c r="E53" s="92" t="s">
        <v>430</v>
      </c>
      <c r="F53" s="9"/>
      <c r="G53" s="9"/>
      <c r="H53" s="11"/>
    </row>
    <row r="54" spans="2:8" x14ac:dyDescent="0.2">
      <c r="B54" s="61" t="s">
        <v>286</v>
      </c>
      <c r="C54" s="57" t="s">
        <v>287</v>
      </c>
      <c r="D54" s="57" t="s">
        <v>183</v>
      </c>
      <c r="E54" s="57" t="s">
        <v>288</v>
      </c>
      <c r="F54" s="10">
        <v>1</v>
      </c>
      <c r="G54" s="9"/>
      <c r="H54" s="11"/>
    </row>
    <row r="55" spans="2:8" x14ac:dyDescent="0.2">
      <c r="B55" s="4" t="s">
        <v>42</v>
      </c>
      <c r="C55" s="9" t="s">
        <v>65</v>
      </c>
      <c r="D55" s="9" t="s">
        <v>64</v>
      </c>
      <c r="E55" s="9" t="s">
        <v>43</v>
      </c>
      <c r="F55" s="10">
        <v>1</v>
      </c>
      <c r="G55" s="9"/>
      <c r="H55" s="11"/>
    </row>
    <row r="56" spans="2:8" x14ac:dyDescent="0.2">
      <c r="B56" s="83" t="s">
        <v>390</v>
      </c>
      <c r="C56" s="84" t="s">
        <v>196</v>
      </c>
      <c r="D56" s="84" t="s">
        <v>183</v>
      </c>
      <c r="E56" s="84" t="s">
        <v>391</v>
      </c>
      <c r="F56" s="9"/>
      <c r="G56" s="9"/>
      <c r="H56" s="11"/>
    </row>
    <row r="57" spans="2:8" x14ac:dyDescent="0.2">
      <c r="B57" s="83" t="s">
        <v>387</v>
      </c>
      <c r="C57" s="84" t="s">
        <v>196</v>
      </c>
      <c r="D57" s="9"/>
      <c r="E57" s="84" t="s">
        <v>388</v>
      </c>
      <c r="F57" s="84" t="s">
        <v>389</v>
      </c>
      <c r="G57" s="9"/>
      <c r="H57" s="11"/>
    </row>
    <row r="58" spans="2:8" x14ac:dyDescent="0.2">
      <c r="B58" s="4" t="s">
        <v>44</v>
      </c>
      <c r="C58" s="9" t="s">
        <v>45</v>
      </c>
      <c r="D58" s="9"/>
      <c r="E58" s="9"/>
      <c r="F58" s="9"/>
      <c r="G58" s="9"/>
      <c r="H58" s="11"/>
    </row>
    <row r="59" spans="2:8" x14ac:dyDescent="0.2">
      <c r="B59" s="5" t="s">
        <v>47</v>
      </c>
      <c r="C59" s="12"/>
      <c r="D59" s="12"/>
      <c r="E59" s="12"/>
      <c r="F59" s="12"/>
      <c r="G59" s="12"/>
      <c r="H59" s="13"/>
    </row>
    <row r="61" spans="2:8" x14ac:dyDescent="0.2">
      <c r="E61" s="85" t="s">
        <v>346</v>
      </c>
    </row>
    <row r="62" spans="2:8" x14ac:dyDescent="0.2">
      <c r="E62" s="85" t="s">
        <v>349</v>
      </c>
    </row>
    <row r="63" spans="2:8" x14ac:dyDescent="0.2">
      <c r="E63" s="85" t="s">
        <v>350</v>
      </c>
    </row>
    <row r="64" spans="2:8" x14ac:dyDescent="0.2">
      <c r="E64" s="56" t="s">
        <v>253</v>
      </c>
    </row>
    <row r="66" spans="5:5" x14ac:dyDescent="0.2">
      <c r="E66" s="86" t="s">
        <v>70</v>
      </c>
    </row>
    <row r="67" spans="5:5" x14ac:dyDescent="0.2">
      <c r="E67" s="85" t="s">
        <v>356</v>
      </c>
    </row>
    <row r="68" spans="5:5" x14ac:dyDescent="0.2">
      <c r="E68" s="85" t="s">
        <v>399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tabSelected="1" zoomScale="190" zoomScaleNormal="190" workbookViewId="0">
      <pane xSplit="2" ySplit="2" topLeftCell="AR33" activePane="bottomRight" state="frozen"/>
      <selection pane="topRight" activeCell="C1" sqref="C1"/>
      <selection pane="bottomLeft" activeCell="A3" sqref="A3"/>
      <selection pane="bottomRight" activeCell="AZ46" sqref="AZ46"/>
    </sheetView>
  </sheetViews>
  <sheetFormatPr defaultColWidth="9.140625" defaultRowHeight="12.75" x14ac:dyDescent="0.2"/>
  <cols>
    <col min="1" max="1" width="5" style="1" bestFit="1" customWidth="1"/>
    <col min="2" max="2" width="19.42578125" style="1" customWidth="1"/>
    <col min="3" max="76" width="9.140625" style="2"/>
    <col min="77" max="79" width="9.140625" style="1"/>
    <col min="80" max="80" width="12.28515625" style="1" bestFit="1" customWidth="1"/>
    <col min="81" max="16384" width="9.140625" style="1"/>
  </cols>
  <sheetData>
    <row r="1" spans="1:77" x14ac:dyDescent="0.2">
      <c r="A1" s="20" t="s">
        <v>74</v>
      </c>
    </row>
    <row r="2" spans="1:77" x14ac:dyDescent="0.2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236</v>
      </c>
      <c r="AV2" s="44" t="s">
        <v>237</v>
      </c>
      <c r="AW2" s="44" t="s">
        <v>238</v>
      </c>
      <c r="AX2" s="44" t="s">
        <v>239</v>
      </c>
      <c r="AY2" s="78" t="s">
        <v>328</v>
      </c>
      <c r="AZ2" s="78" t="s">
        <v>329</v>
      </c>
      <c r="BA2" s="78" t="s">
        <v>331</v>
      </c>
      <c r="BB2" s="78" t="s">
        <v>330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2">
      <c r="B3" s="55" t="s">
        <v>251</v>
      </c>
      <c r="S3" s="22"/>
      <c r="T3" s="22"/>
      <c r="U3" s="22"/>
      <c r="V3" s="22"/>
      <c r="W3" s="22"/>
      <c r="X3" s="22"/>
      <c r="Y3" s="71"/>
      <c r="Z3" s="71"/>
      <c r="AA3" s="71">
        <f t="shared" ref="AA3:AF3" si="1">+AA5+AA8+AA12</f>
        <v>4709</v>
      </c>
      <c r="AB3" s="71">
        <f t="shared" si="1"/>
        <v>5185</v>
      </c>
      <c r="AC3" s="71">
        <f t="shared" si="1"/>
        <v>5124</v>
      </c>
      <c r="AD3" s="71">
        <f t="shared" si="1"/>
        <v>4918</v>
      </c>
      <c r="AE3" s="71">
        <f t="shared" si="1"/>
        <v>4446</v>
      </c>
      <c r="AF3" s="71">
        <f t="shared" si="1"/>
        <v>4918</v>
      </c>
      <c r="AG3" s="71">
        <f t="shared" ref="AG3:AL3" si="2">+AG5+AG8+AG12</f>
        <v>5041</v>
      </c>
      <c r="AH3" s="71">
        <f t="shared" si="2"/>
        <v>5166</v>
      </c>
      <c r="AI3" s="71">
        <f t="shared" si="2"/>
        <v>5089</v>
      </c>
      <c r="AJ3" s="71">
        <f t="shared" si="2"/>
        <v>5316</v>
      </c>
      <c r="AK3" s="71">
        <f t="shared" si="2"/>
        <v>5790</v>
      </c>
      <c r="AL3" s="71">
        <f t="shared" si="2"/>
        <v>5958</v>
      </c>
      <c r="AM3" s="71">
        <f t="shared" ref="AM3:AS3" si="3">+AM5+AM8+AM12</f>
        <v>5744</v>
      </c>
      <c r="AN3" s="71">
        <f t="shared" si="3"/>
        <v>6120</v>
      </c>
      <c r="AO3" s="71">
        <f t="shared" si="3"/>
        <v>6674</v>
      </c>
      <c r="AP3" s="71">
        <f t="shared" si="3"/>
        <v>6746</v>
      </c>
      <c r="AQ3" s="71">
        <f t="shared" si="3"/>
        <v>6141</v>
      </c>
      <c r="AR3" s="71">
        <f t="shared" si="3"/>
        <v>7207</v>
      </c>
      <c r="AS3" s="71">
        <f t="shared" si="3"/>
        <v>7651</v>
      </c>
      <c r="AT3" s="71">
        <f t="shared" ref="AT3:BB3" si="4">+AT5+AT8+AT12</f>
        <v>7925</v>
      </c>
      <c r="AU3" s="71">
        <f t="shared" si="4"/>
        <v>5587</v>
      </c>
      <c r="AV3" s="71">
        <f t="shared" si="4"/>
        <v>6813</v>
      </c>
      <c r="AW3" s="71">
        <f t="shared" si="4"/>
        <v>6783</v>
      </c>
      <c r="AX3" s="71">
        <f t="shared" si="4"/>
        <v>6953</v>
      </c>
      <c r="AY3" s="71">
        <f t="shared" si="4"/>
        <v>5371</v>
      </c>
      <c r="AZ3" s="71">
        <f t="shared" si="4"/>
        <v>6971</v>
      </c>
      <c r="BA3" s="71">
        <f t="shared" si="4"/>
        <v>6117.7</v>
      </c>
      <c r="BB3" s="71">
        <f t="shared" si="4"/>
        <v>6361.2</v>
      </c>
      <c r="BC3" s="71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5">+BP5+BP8+BP12</f>
        <v>25284</v>
      </c>
      <c r="BQ3" s="16">
        <f t="shared" si="5"/>
        <v>28924</v>
      </c>
      <c r="BR3" s="16">
        <f t="shared" si="5"/>
        <v>26136</v>
      </c>
      <c r="BS3" s="16">
        <f t="shared" si="5"/>
        <v>24820.9</v>
      </c>
      <c r="BT3" s="16">
        <f t="shared" si="5"/>
        <v>27141.86</v>
      </c>
      <c r="BU3" s="16">
        <f t="shared" si="5"/>
        <v>26052.833600000002</v>
      </c>
      <c r="BV3" s="16">
        <f t="shared" si="5"/>
        <v>25311.792848000005</v>
      </c>
      <c r="BW3" s="16">
        <f t="shared" si="5"/>
        <v>23264.219145440002</v>
      </c>
      <c r="BX3" s="16">
        <f t="shared" si="5"/>
        <v>22558.6819758032</v>
      </c>
      <c r="BY3" s="16">
        <f t="shared" si="5"/>
        <v>16753.883032617559</v>
      </c>
    </row>
    <row r="4" spans="1:77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v>2814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9194.6</v>
      </c>
      <c r="BT5" s="16">
        <f>+BS5*0.9</f>
        <v>8275.1400000000012</v>
      </c>
      <c r="BU5" s="16">
        <f>+BT5*0.8</f>
        <v>6620.112000000001</v>
      </c>
      <c r="BV5" s="16">
        <f>+BU5*0.8</f>
        <v>5296.0896000000012</v>
      </c>
      <c r="BW5" s="16">
        <f t="shared" ref="BW5:BY5" si="6">+BV5*0.5</f>
        <v>2648.0448000000006</v>
      </c>
      <c r="BX5" s="16">
        <f t="shared" si="6"/>
        <v>1324.0224000000003</v>
      </c>
      <c r="BY5" s="16">
        <f t="shared" si="6"/>
        <v>662.01120000000014</v>
      </c>
    </row>
    <row r="6" spans="1:77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231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249</v>
      </c>
      <c r="AT6" s="72" t="s">
        <v>324</v>
      </c>
      <c r="AU6" s="73" t="s">
        <v>325</v>
      </c>
      <c r="AV6" s="82" t="s">
        <v>336</v>
      </c>
      <c r="AW6" s="82" t="s">
        <v>335</v>
      </c>
      <c r="AX6" s="82" t="s">
        <v>342</v>
      </c>
      <c r="AY6" s="80" t="s">
        <v>334</v>
      </c>
      <c r="AZ6" s="90" t="s">
        <v>401</v>
      </c>
      <c r="BA6" s="82" t="s">
        <v>343</v>
      </c>
      <c r="BB6" s="82" t="s">
        <v>344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7">SUM(AA6:AD6)</f>
        <v>0</v>
      </c>
      <c r="BN6" s="16">
        <f t="shared" ref="BN6:BN43" si="8">SUM(AE6:AH6)</f>
        <v>0</v>
      </c>
      <c r="BO6" s="47" t="s">
        <v>240</v>
      </c>
      <c r="BP6" s="47" t="s">
        <v>241</v>
      </c>
      <c r="BQ6" s="47" t="s">
        <v>242</v>
      </c>
      <c r="BR6" s="82" t="s">
        <v>345</v>
      </c>
      <c r="BS6" s="16"/>
      <c r="BT6" s="16"/>
      <c r="BU6" s="16"/>
      <c r="BV6" s="16"/>
      <c r="BW6" s="16"/>
      <c r="BX6" s="16"/>
    </row>
    <row r="7" spans="1:77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v>833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7"/>
        <v>3590</v>
      </c>
      <c r="BN7" s="16">
        <f t="shared" si="8"/>
        <v>4674</v>
      </c>
      <c r="BO7" s="16">
        <f t="shared" ref="BO7:BO43" si="9">SUM(AI7:AL7)</f>
        <v>5314</v>
      </c>
      <c r="BP7" s="16">
        <f t="shared" ref="BP7:BP44" si="10">SUM(AM7:AP7)</f>
        <v>5408</v>
      </c>
      <c r="BQ7" s="16">
        <f t="shared" ref="BQ7:BQ44" si="11">SUM(AQ7:AT7)</f>
        <v>4568</v>
      </c>
      <c r="BR7" s="16">
        <f t="shared" ref="BR7:BR26" si="12">SUM(AU7:AX7)</f>
        <v>3596</v>
      </c>
      <c r="BS7" s="16">
        <f t="shared" ref="BS7:BS29" si="13">SUM(AY7:BB7)</f>
        <v>3391.45</v>
      </c>
      <c r="BT7" s="16">
        <f t="shared" ref="BT7:BY7" si="14">+BS7*0.9</f>
        <v>3052.3049999999998</v>
      </c>
      <c r="BU7" s="16">
        <f t="shared" si="14"/>
        <v>2747.0744999999997</v>
      </c>
      <c r="BV7" s="16">
        <f t="shared" si="14"/>
        <v>2472.3670499999998</v>
      </c>
      <c r="BW7" s="16">
        <f t="shared" si="14"/>
        <v>2225.130345</v>
      </c>
      <c r="BX7" s="16">
        <f t="shared" si="14"/>
        <v>2002.6173105</v>
      </c>
      <c r="BY7" s="16">
        <f t="shared" si="14"/>
        <v>1802.3555794500001</v>
      </c>
    </row>
    <row r="8" spans="1:77" s="15" customFormat="1" x14ac:dyDescent="0.2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v>2727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7"/>
        <v>0</v>
      </c>
      <c r="BN8" s="16">
        <f t="shared" si="8"/>
        <v>355</v>
      </c>
      <c r="BO8" s="16">
        <f t="shared" si="9"/>
        <v>1590</v>
      </c>
      <c r="BP8" s="16">
        <f t="shared" si="10"/>
        <v>2939</v>
      </c>
      <c r="BQ8" s="16">
        <f t="shared" si="11"/>
        <v>5165</v>
      </c>
      <c r="BR8" s="16">
        <f t="shared" si="12"/>
        <v>7763</v>
      </c>
      <c r="BS8" s="16">
        <f t="shared" si="13"/>
        <v>10265.299999999999</v>
      </c>
      <c r="BT8" s="16">
        <f>+BS8*1.3</f>
        <v>13344.89</v>
      </c>
      <c r="BU8" s="16">
        <f>+BT8*1.03</f>
        <v>13745.236699999999</v>
      </c>
      <c r="BV8" s="16">
        <f t="shared" ref="BV8:BY8" si="15">+BU8*1.03</f>
        <v>14157.593800999999</v>
      </c>
      <c r="BW8" s="16">
        <f t="shared" si="15"/>
        <v>14582.32161503</v>
      </c>
      <c r="BX8" s="16">
        <f t="shared" si="15"/>
        <v>15019.7912634809</v>
      </c>
      <c r="BY8" s="16">
        <f t="shared" si="15"/>
        <v>15470.385001385328</v>
      </c>
    </row>
    <row r="9" spans="1:77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v>729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7"/>
        <v>0</v>
      </c>
      <c r="BN9" s="16">
        <f t="shared" si="8"/>
        <v>0</v>
      </c>
      <c r="BO9" s="16">
        <f t="shared" si="9"/>
        <v>1112</v>
      </c>
      <c r="BP9" s="16">
        <f t="shared" si="10"/>
        <v>2232</v>
      </c>
      <c r="BQ9" s="16">
        <f t="shared" si="11"/>
        <v>2615</v>
      </c>
      <c r="BR9" s="16">
        <f t="shared" si="12"/>
        <v>2682</v>
      </c>
      <c r="BS9" s="16">
        <f t="shared" si="13"/>
        <v>2659.86</v>
      </c>
      <c r="BT9" s="16">
        <f t="shared" ref="BT9:BY9" si="16">+BS9*1.05</f>
        <v>2792.8530000000001</v>
      </c>
      <c r="BU9" s="16">
        <f t="shared" si="16"/>
        <v>2932.4956500000003</v>
      </c>
      <c r="BV9" s="16">
        <f t="shared" si="16"/>
        <v>3079.1204325000003</v>
      </c>
      <c r="BW9" s="16">
        <f t="shared" si="16"/>
        <v>3233.0764541250005</v>
      </c>
      <c r="BX9" s="16">
        <f t="shared" si="16"/>
        <v>3394.7302768312506</v>
      </c>
      <c r="BY9" s="16">
        <f t="shared" si="16"/>
        <v>3564.4667906728132</v>
      </c>
    </row>
    <row r="10" spans="1:77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v>814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7"/>
        <v>0</v>
      </c>
      <c r="BN10" s="16">
        <f t="shared" si="8"/>
        <v>0</v>
      </c>
      <c r="BO10" s="16">
        <f t="shared" si="9"/>
        <v>1387</v>
      </c>
      <c r="BP10" s="16">
        <f t="shared" si="10"/>
        <v>2451</v>
      </c>
      <c r="BQ10" s="16">
        <f t="shared" si="11"/>
        <v>2719</v>
      </c>
      <c r="BR10" s="16">
        <f t="shared" si="12"/>
        <v>2991</v>
      </c>
      <c r="BS10" s="16">
        <f t="shared" si="13"/>
        <v>3131.7200000000003</v>
      </c>
      <c r="BT10" s="16">
        <f t="shared" ref="BT10:BY10" si="17">+BS10*1.05</f>
        <v>3288.3060000000005</v>
      </c>
      <c r="BU10" s="16">
        <f t="shared" si="17"/>
        <v>3452.7213000000006</v>
      </c>
      <c r="BV10" s="16">
        <f t="shared" si="17"/>
        <v>3625.3573650000008</v>
      </c>
      <c r="BW10" s="16">
        <f t="shared" si="17"/>
        <v>3806.6252332500007</v>
      </c>
      <c r="BX10" s="16">
        <f t="shared" si="17"/>
        <v>3996.9564949125011</v>
      </c>
      <c r="BY10" s="16">
        <f t="shared" si="17"/>
        <v>4196.8043196581266</v>
      </c>
    </row>
    <row r="11" spans="1:77" s="15" customFormat="1" x14ac:dyDescent="0.2">
      <c r="B11" s="76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v>637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7"/>
        <v>220</v>
      </c>
      <c r="BN11" s="16">
        <f t="shared" si="8"/>
        <v>792</v>
      </c>
      <c r="BO11" s="16">
        <f t="shared" si="9"/>
        <v>1337</v>
      </c>
      <c r="BP11" s="16">
        <f t="shared" si="10"/>
        <v>1820</v>
      </c>
      <c r="BQ11" s="16">
        <f t="shared" si="11"/>
        <v>2009</v>
      </c>
      <c r="BR11" s="16">
        <f t="shared" si="12"/>
        <v>2288</v>
      </c>
      <c r="BS11" s="16">
        <f t="shared" si="13"/>
        <v>2547.9</v>
      </c>
      <c r="BT11" s="16">
        <f t="shared" ref="BT11:BX11" si="18">+BS11*1.03</f>
        <v>2624.337</v>
      </c>
      <c r="BU11" s="16">
        <f t="shared" si="18"/>
        <v>2703.06711</v>
      </c>
      <c r="BV11" s="16">
        <f t="shared" si="18"/>
        <v>2784.1591232999999</v>
      </c>
      <c r="BW11" s="16">
        <f t="shared" si="18"/>
        <v>2867.6838969989999</v>
      </c>
      <c r="BX11" s="16">
        <f t="shared" si="18"/>
        <v>2953.7144139089701</v>
      </c>
      <c r="BY11" s="15">
        <f>+BX11*0.1</f>
        <v>295.37144139089702</v>
      </c>
    </row>
    <row r="12" spans="1:77" s="15" customFormat="1" x14ac:dyDescent="0.2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v>1430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7"/>
        <v>0</v>
      </c>
      <c r="BN12" s="16">
        <f t="shared" si="8"/>
        <v>47</v>
      </c>
      <c r="BO12" s="16">
        <f t="shared" si="9"/>
        <v>731</v>
      </c>
      <c r="BP12" s="16">
        <f t="shared" si="10"/>
        <v>1651</v>
      </c>
      <c r="BQ12" s="16">
        <f t="shared" si="11"/>
        <v>2522</v>
      </c>
      <c r="BR12" s="16">
        <f t="shared" si="12"/>
        <v>3969</v>
      </c>
      <c r="BS12" s="16">
        <f t="shared" si="13"/>
        <v>5361</v>
      </c>
      <c r="BT12" s="16">
        <f t="shared" ref="BT12:BX12" si="19">+BS12*1.03</f>
        <v>5521.83</v>
      </c>
      <c r="BU12" s="16">
        <f t="shared" si="19"/>
        <v>5687.4849000000004</v>
      </c>
      <c r="BV12" s="16">
        <f t="shared" si="19"/>
        <v>5858.1094470000007</v>
      </c>
      <c r="BW12" s="16">
        <f t="shared" si="19"/>
        <v>6033.8527304100007</v>
      </c>
      <c r="BX12" s="16">
        <f t="shared" si="19"/>
        <v>6214.8683123223009</v>
      </c>
      <c r="BY12" s="15">
        <f t="shared" ref="BY12:BY13" si="20">+BX12*0.1</f>
        <v>621.48683123223009</v>
      </c>
    </row>
    <row r="13" spans="1:77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v>774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7"/>
        <v>0</v>
      </c>
      <c r="BN13" s="16">
        <f t="shared" si="8"/>
        <v>0</v>
      </c>
      <c r="BO13" s="16">
        <f t="shared" si="9"/>
        <v>951</v>
      </c>
      <c r="BP13" s="16">
        <f t="shared" si="10"/>
        <v>1728</v>
      </c>
      <c r="BQ13" s="16">
        <f t="shared" si="11"/>
        <v>2038</v>
      </c>
      <c r="BR13" s="16">
        <f t="shared" si="12"/>
        <v>2759</v>
      </c>
      <c r="BS13" s="16">
        <f t="shared" si="13"/>
        <v>3085</v>
      </c>
      <c r="BT13" s="16">
        <f t="shared" ref="BT13:BX13" si="21">+BS13*1.03</f>
        <v>3177.55</v>
      </c>
      <c r="BU13" s="16">
        <f t="shared" si="21"/>
        <v>3272.8765000000003</v>
      </c>
      <c r="BV13" s="16">
        <f t="shared" si="21"/>
        <v>3371.0627950000003</v>
      </c>
      <c r="BW13" s="16">
        <f t="shared" si="21"/>
        <v>3472.1946788500004</v>
      </c>
      <c r="BX13" s="16">
        <f t="shared" si="21"/>
        <v>3576.3605192155005</v>
      </c>
      <c r="BY13" s="15">
        <f t="shared" si="20"/>
        <v>357.63605192155006</v>
      </c>
    </row>
    <row r="14" spans="1:77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v>343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7"/>
        <v>0</v>
      </c>
      <c r="BN14" s="16">
        <f t="shared" si="8"/>
        <v>0</v>
      </c>
      <c r="BO14" s="16">
        <f t="shared" si="9"/>
        <v>718</v>
      </c>
      <c r="BP14" s="16">
        <f t="shared" si="10"/>
        <v>1355</v>
      </c>
      <c r="BQ14" s="16">
        <f t="shared" si="11"/>
        <v>1428</v>
      </c>
      <c r="BR14" s="16">
        <f t="shared" si="12"/>
        <v>1378</v>
      </c>
      <c r="BS14" s="16">
        <f t="shared" si="13"/>
        <v>1229.5</v>
      </c>
      <c r="BT14" s="16">
        <f t="shared" ref="BT14:BY14" si="22">+BS14*1.05</f>
        <v>1290.9750000000001</v>
      </c>
      <c r="BU14" s="16">
        <f t="shared" si="22"/>
        <v>1355.5237500000003</v>
      </c>
      <c r="BV14" s="16">
        <f t="shared" si="22"/>
        <v>1423.2999375000004</v>
      </c>
      <c r="BW14" s="16">
        <f t="shared" si="22"/>
        <v>1494.4649343750004</v>
      </c>
      <c r="BX14" s="16">
        <f t="shared" si="22"/>
        <v>1569.1881810937505</v>
      </c>
      <c r="BY14" s="16">
        <f t="shared" si="22"/>
        <v>1647.647590148438</v>
      </c>
    </row>
    <row r="15" spans="1:77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v>369</v>
      </c>
      <c r="BA15" s="16">
        <f t="shared" ref="BA15:BB15" si="23">+AW15*0.9</f>
        <v>333</v>
      </c>
      <c r="BB15" s="16">
        <f t="shared" si="23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7"/>
        <v>3550</v>
      </c>
      <c r="BN15" s="16">
        <f t="shared" si="8"/>
        <v>2893</v>
      </c>
      <c r="BO15" s="16">
        <f t="shared" si="9"/>
        <v>1830</v>
      </c>
      <c r="BP15" s="16">
        <f t="shared" si="10"/>
        <v>1710</v>
      </c>
      <c r="BQ15" s="16">
        <f t="shared" si="11"/>
        <v>1541</v>
      </c>
      <c r="BR15" s="16">
        <f t="shared" si="12"/>
        <v>1430</v>
      </c>
      <c r="BS15" s="16">
        <f t="shared" si="13"/>
        <v>1329.1</v>
      </c>
      <c r="BT15" s="16">
        <f t="shared" ref="BT15:BY15" si="24">+BS15*0.7</f>
        <v>930.36999999999989</v>
      </c>
      <c r="BU15" s="16">
        <f t="shared" si="24"/>
        <v>651.2589999999999</v>
      </c>
      <c r="BV15" s="16">
        <f t="shared" si="24"/>
        <v>455.8812999999999</v>
      </c>
      <c r="BW15" s="16">
        <f t="shared" si="24"/>
        <v>319.1169099999999</v>
      </c>
      <c r="BX15" s="16">
        <f t="shared" si="24"/>
        <v>223.38183699999993</v>
      </c>
      <c r="BY15" s="16">
        <f t="shared" si="24"/>
        <v>156.36728589999996</v>
      </c>
    </row>
    <row r="16" spans="1:77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v>318</v>
      </c>
      <c r="BA16" s="16">
        <f t="shared" ref="BA16:BB18" si="25">+AW16</f>
        <v>298</v>
      </c>
      <c r="BB16" s="16">
        <f t="shared" si="25"/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7"/>
        <v>0</v>
      </c>
      <c r="BN16" s="16">
        <f t="shared" si="8"/>
        <v>0</v>
      </c>
      <c r="BO16" s="16">
        <f t="shared" si="9"/>
        <v>760</v>
      </c>
      <c r="BP16" s="16">
        <f t="shared" si="10"/>
        <v>1466</v>
      </c>
      <c r="BQ16" s="16">
        <f t="shared" si="11"/>
        <v>1290</v>
      </c>
      <c r="BR16" s="16">
        <f t="shared" si="12"/>
        <v>1234</v>
      </c>
      <c r="BS16" s="16">
        <f t="shared" si="13"/>
        <v>1254</v>
      </c>
      <c r="BT16" s="16">
        <f t="shared" ref="BT16:BY16" si="26">+BS16*0.9</f>
        <v>1128.6000000000001</v>
      </c>
      <c r="BU16" s="16">
        <f t="shared" si="26"/>
        <v>1015.7400000000001</v>
      </c>
      <c r="BV16" s="16">
        <f t="shared" si="26"/>
        <v>914.16600000000017</v>
      </c>
      <c r="BW16" s="16">
        <f t="shared" si="26"/>
        <v>822.74940000000015</v>
      </c>
      <c r="BX16" s="16">
        <f t="shared" si="26"/>
        <v>740.47446000000014</v>
      </c>
      <c r="BY16" s="16">
        <f t="shared" si="26"/>
        <v>666.4270140000001</v>
      </c>
    </row>
    <row r="17" spans="2:77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v>372</v>
      </c>
      <c r="BA17" s="16">
        <f t="shared" si="25"/>
        <v>305</v>
      </c>
      <c r="BB17" s="16">
        <f t="shared" si="25"/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7"/>
        <v>928</v>
      </c>
      <c r="BN17" s="16">
        <f t="shared" si="8"/>
        <v>1041</v>
      </c>
      <c r="BO17" s="16">
        <f t="shared" si="9"/>
        <v>1114</v>
      </c>
      <c r="BP17" s="16">
        <f t="shared" si="10"/>
        <v>1191</v>
      </c>
      <c r="BQ17" s="16">
        <f t="shared" si="11"/>
        <v>1278</v>
      </c>
      <c r="BR17" s="16">
        <f t="shared" si="12"/>
        <v>1268</v>
      </c>
      <c r="BS17" s="16">
        <f t="shared" si="13"/>
        <v>1338</v>
      </c>
      <c r="BT17" s="16">
        <f t="shared" ref="BT17:BY17" si="27">+BS17*1.03</f>
        <v>1378.14</v>
      </c>
      <c r="BU17" s="16">
        <f t="shared" si="27"/>
        <v>1419.4842000000001</v>
      </c>
      <c r="BV17" s="16">
        <f t="shared" si="27"/>
        <v>1462.0687260000002</v>
      </c>
      <c r="BW17" s="16">
        <f t="shared" si="27"/>
        <v>1505.9307877800002</v>
      </c>
      <c r="BX17" s="16">
        <f t="shared" si="27"/>
        <v>1551.1087114134002</v>
      </c>
      <c r="BY17" s="16">
        <f t="shared" si="27"/>
        <v>1597.6419727558023</v>
      </c>
    </row>
    <row r="18" spans="2:77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v>225</v>
      </c>
      <c r="BA18" s="16">
        <f t="shared" si="25"/>
        <v>207</v>
      </c>
      <c r="BB18" s="16">
        <f t="shared" si="25"/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7"/>
        <v>0</v>
      </c>
      <c r="BN18" s="16">
        <f t="shared" si="8"/>
        <v>0</v>
      </c>
      <c r="BO18" s="16">
        <f t="shared" si="9"/>
        <v>693</v>
      </c>
      <c r="BP18" s="16">
        <f t="shared" si="10"/>
        <v>1169</v>
      </c>
      <c r="BQ18" s="16">
        <f t="shared" si="11"/>
        <v>959</v>
      </c>
      <c r="BR18" s="16">
        <f t="shared" si="12"/>
        <v>803</v>
      </c>
      <c r="BS18" s="16">
        <f t="shared" si="13"/>
        <v>813</v>
      </c>
      <c r="BT18" s="16">
        <f t="shared" ref="BT18:BY18" si="28">+BS18*0.9</f>
        <v>731.7</v>
      </c>
      <c r="BU18" s="16">
        <f t="shared" si="28"/>
        <v>658.53000000000009</v>
      </c>
      <c r="BV18" s="16">
        <f t="shared" si="28"/>
        <v>592.67700000000013</v>
      </c>
      <c r="BW18" s="16">
        <f t="shared" si="28"/>
        <v>533.40930000000014</v>
      </c>
      <c r="BX18" s="16">
        <f t="shared" si="28"/>
        <v>480.06837000000013</v>
      </c>
      <c r="BY18" s="16">
        <f t="shared" si="28"/>
        <v>432.06153300000011</v>
      </c>
    </row>
    <row r="19" spans="2:77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v>32</v>
      </c>
      <c r="BA19" s="16">
        <f>+AZ19-3</f>
        <v>29</v>
      </c>
      <c r="BB19" s="16">
        <f>+BA19-3</f>
        <v>26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7"/>
        <v>0</v>
      </c>
      <c r="BN19" s="16">
        <f t="shared" si="8"/>
        <v>0</v>
      </c>
      <c r="BO19" s="16">
        <f t="shared" si="9"/>
        <v>787</v>
      </c>
      <c r="BP19" s="16">
        <f t="shared" si="10"/>
        <v>1290</v>
      </c>
      <c r="BQ19" s="16">
        <f t="shared" si="11"/>
        <v>666</v>
      </c>
      <c r="BR19" s="16">
        <f t="shared" si="12"/>
        <v>436</v>
      </c>
      <c r="BS19" s="16">
        <f t="shared" si="13"/>
        <v>144</v>
      </c>
      <c r="BT19" s="16">
        <f t="shared" ref="BT19:BY19" si="29">+BS19*0.9</f>
        <v>129.6</v>
      </c>
      <c r="BU19" s="16">
        <f t="shared" si="29"/>
        <v>116.64</v>
      </c>
      <c r="BV19" s="16">
        <f t="shared" si="29"/>
        <v>104.976</v>
      </c>
      <c r="BW19" s="16">
        <f t="shared" si="29"/>
        <v>94.478400000000008</v>
      </c>
      <c r="BX19" s="16">
        <f t="shared" si="29"/>
        <v>85.030560000000008</v>
      </c>
      <c r="BY19" s="16">
        <f t="shared" si="29"/>
        <v>76.527504000000008</v>
      </c>
    </row>
    <row r="20" spans="2:77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v>221</v>
      </c>
      <c r="BA20" s="16">
        <f t="shared" ref="BA20:BB21" si="30">+AW20</f>
        <v>288</v>
      </c>
      <c r="BB20" s="16">
        <f t="shared" si="30"/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7"/>
        <v>0</v>
      </c>
      <c r="BN20" s="16">
        <f t="shared" si="8"/>
        <v>0</v>
      </c>
      <c r="BO20" s="16">
        <f t="shared" si="9"/>
        <v>667</v>
      </c>
      <c r="BP20" s="16">
        <f t="shared" si="10"/>
        <v>1038</v>
      </c>
      <c r="BQ20" s="16">
        <f t="shared" si="11"/>
        <v>1035</v>
      </c>
      <c r="BR20" s="16">
        <f t="shared" si="12"/>
        <v>1108</v>
      </c>
      <c r="BS20" s="16">
        <f t="shared" si="13"/>
        <v>1058</v>
      </c>
      <c r="BT20" s="16">
        <f t="shared" ref="BT20:BY20" si="31">+BS20*0.5</f>
        <v>529</v>
      </c>
      <c r="BU20" s="16">
        <f t="shared" si="31"/>
        <v>264.5</v>
      </c>
      <c r="BV20" s="16">
        <f t="shared" si="31"/>
        <v>132.25</v>
      </c>
      <c r="BW20" s="16">
        <f t="shared" si="31"/>
        <v>66.125</v>
      </c>
      <c r="BX20" s="16">
        <f t="shared" si="31"/>
        <v>33.0625</v>
      </c>
      <c r="BY20" s="16">
        <f t="shared" si="31"/>
        <v>16.53125</v>
      </c>
    </row>
    <row r="21" spans="2:77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v>80</v>
      </c>
      <c r="BA21" s="16">
        <f t="shared" si="30"/>
        <v>61</v>
      </c>
      <c r="BB21" s="16">
        <f t="shared" si="30"/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7"/>
        <v>0</v>
      </c>
      <c r="BN21" s="16">
        <f t="shared" si="8"/>
        <v>0</v>
      </c>
      <c r="BO21" s="16">
        <f t="shared" si="9"/>
        <v>539</v>
      </c>
      <c r="BP21" s="16">
        <f t="shared" si="10"/>
        <v>685</v>
      </c>
      <c r="BQ21" s="16">
        <f t="shared" si="11"/>
        <v>475</v>
      </c>
      <c r="BR21" s="16">
        <f t="shared" si="12"/>
        <v>276</v>
      </c>
      <c r="BS21" s="16">
        <f t="shared" si="13"/>
        <v>281</v>
      </c>
      <c r="BT21" s="16">
        <f t="shared" ref="BT21:BY21" si="32">+BS21*0.9</f>
        <v>252.9</v>
      </c>
      <c r="BU21" s="16">
        <f t="shared" si="32"/>
        <v>227.61</v>
      </c>
      <c r="BV21" s="16">
        <f t="shared" si="32"/>
        <v>204.84900000000002</v>
      </c>
      <c r="BW21" s="16">
        <f t="shared" si="32"/>
        <v>184.36410000000001</v>
      </c>
      <c r="BX21" s="16">
        <f t="shared" si="32"/>
        <v>165.92769000000001</v>
      </c>
      <c r="BY21" s="16">
        <f t="shared" si="32"/>
        <v>149.33492100000001</v>
      </c>
    </row>
    <row r="22" spans="2:77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v>103</v>
      </c>
      <c r="BA22" s="16">
        <f>+AZ22-1</f>
        <v>102</v>
      </c>
      <c r="BB22" s="16">
        <f>+BA22-1</f>
        <v>101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7"/>
        <v>0</v>
      </c>
      <c r="BN22" s="16">
        <f t="shared" si="8"/>
        <v>0</v>
      </c>
      <c r="BO22" s="16">
        <f t="shared" si="9"/>
        <v>378</v>
      </c>
      <c r="BP22" s="16">
        <f t="shared" si="10"/>
        <v>579</v>
      </c>
      <c r="BQ22" s="16">
        <f t="shared" si="11"/>
        <v>514</v>
      </c>
      <c r="BR22" s="16">
        <f t="shared" si="12"/>
        <v>432</v>
      </c>
      <c r="BS22" s="16">
        <f t="shared" si="13"/>
        <v>397</v>
      </c>
      <c r="BT22" s="16">
        <f t="shared" ref="BT22:BY22" si="33">+BS22*0.9</f>
        <v>357.3</v>
      </c>
      <c r="BU22" s="16">
        <f t="shared" si="33"/>
        <v>321.57</v>
      </c>
      <c r="BV22" s="16">
        <f t="shared" si="33"/>
        <v>289.41300000000001</v>
      </c>
      <c r="BW22" s="16">
        <f t="shared" si="33"/>
        <v>260.4717</v>
      </c>
      <c r="BX22" s="16">
        <f t="shared" si="33"/>
        <v>234.42453</v>
      </c>
      <c r="BY22" s="16">
        <f t="shared" si="33"/>
        <v>210.982077</v>
      </c>
    </row>
    <row r="23" spans="2:77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v>231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7"/>
        <v>0</v>
      </c>
      <c r="BN23" s="16">
        <f t="shared" si="8"/>
        <v>0</v>
      </c>
      <c r="BO23" s="16">
        <f t="shared" si="9"/>
        <v>125</v>
      </c>
      <c r="BP23" s="16">
        <f t="shared" si="10"/>
        <v>552</v>
      </c>
      <c r="BQ23" s="16">
        <f t="shared" si="11"/>
        <v>680</v>
      </c>
      <c r="BR23" s="16">
        <f t="shared" si="12"/>
        <v>815</v>
      </c>
      <c r="BS23" s="16">
        <f t="shared" si="13"/>
        <v>947.7</v>
      </c>
      <c r="BT23" s="16">
        <f>+BS23*1.2</f>
        <v>1137.24</v>
      </c>
      <c r="BU23" s="16">
        <f>+BT23*1.2</f>
        <v>1364.6879999999999</v>
      </c>
      <c r="BV23" s="16">
        <f>+BU23*1.1</f>
        <v>1501.1568</v>
      </c>
      <c r="BW23" s="16">
        <f>+BV23*1.1</f>
        <v>1651.2724800000001</v>
      </c>
      <c r="BX23" s="16">
        <f>+BW23*1.03</f>
        <v>1700.8106544000002</v>
      </c>
      <c r="BY23" s="15">
        <f>+BX23*0.1</f>
        <v>170.08106544000003</v>
      </c>
    </row>
    <row r="24" spans="2:77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v>113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7"/>
        <v>430</v>
      </c>
      <c r="BN24" s="16">
        <f t="shared" si="8"/>
        <v>461</v>
      </c>
      <c r="BO24" s="16">
        <f t="shared" si="9"/>
        <v>494</v>
      </c>
      <c r="BP24" s="16">
        <f t="shared" si="10"/>
        <v>511</v>
      </c>
      <c r="BQ24" s="16">
        <f t="shared" si="11"/>
        <v>458</v>
      </c>
      <c r="BR24" s="16">
        <f t="shared" si="12"/>
        <v>468</v>
      </c>
      <c r="BS24" s="16">
        <f t="shared" si="13"/>
        <v>461</v>
      </c>
      <c r="BT24" s="16">
        <f t="shared" ref="BT24:BY24" si="34">+BS24*0.9</f>
        <v>414.90000000000003</v>
      </c>
      <c r="BU24" s="16">
        <f t="shared" si="34"/>
        <v>373.41</v>
      </c>
      <c r="BV24" s="16">
        <f t="shared" si="34"/>
        <v>336.06900000000002</v>
      </c>
      <c r="BW24" s="16">
        <f t="shared" si="34"/>
        <v>302.46210000000002</v>
      </c>
      <c r="BX24" s="16">
        <f t="shared" si="34"/>
        <v>272.21589</v>
      </c>
      <c r="BY24" s="16">
        <f t="shared" si="34"/>
        <v>244.99430100000001</v>
      </c>
    </row>
    <row r="25" spans="2:77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v>49</v>
      </c>
      <c r="BA25" s="16">
        <f>+AZ25-1</f>
        <v>48</v>
      </c>
      <c r="BB25" s="16">
        <f>+BA25-1</f>
        <v>47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7"/>
        <v>0</v>
      </c>
      <c r="BN25" s="16">
        <f t="shared" si="8"/>
        <v>0</v>
      </c>
      <c r="BO25" s="16">
        <f t="shared" si="9"/>
        <v>326</v>
      </c>
      <c r="BP25" s="16">
        <f t="shared" si="10"/>
        <v>529</v>
      </c>
      <c r="BQ25" s="16">
        <f t="shared" si="11"/>
        <v>346</v>
      </c>
      <c r="BR25" s="16">
        <f t="shared" si="12"/>
        <v>272</v>
      </c>
      <c r="BS25" s="16">
        <f t="shared" si="13"/>
        <v>203</v>
      </c>
      <c r="BT25" s="16">
        <f t="shared" ref="BT25:BY25" si="35">+BS25*0.9</f>
        <v>182.70000000000002</v>
      </c>
      <c r="BU25" s="16">
        <f t="shared" si="35"/>
        <v>164.43</v>
      </c>
      <c r="BV25" s="16">
        <f t="shared" si="35"/>
        <v>147.98700000000002</v>
      </c>
      <c r="BW25" s="16">
        <f t="shared" si="35"/>
        <v>133.18830000000003</v>
      </c>
      <c r="BX25" s="16">
        <f t="shared" si="35"/>
        <v>119.86947000000002</v>
      </c>
      <c r="BY25" s="16">
        <f t="shared" si="35"/>
        <v>107.88252300000002</v>
      </c>
    </row>
    <row r="26" spans="2:77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v>150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7"/>
        <v>0</v>
      </c>
      <c r="BN26" s="16">
        <f t="shared" si="8"/>
        <v>0</v>
      </c>
      <c r="BO26" s="16">
        <f t="shared" si="9"/>
        <v>0</v>
      </c>
      <c r="BP26" s="16">
        <f t="shared" si="10"/>
        <v>0</v>
      </c>
      <c r="BQ26" s="16">
        <f t="shared" si="11"/>
        <v>158</v>
      </c>
      <c r="BR26" s="16">
        <f t="shared" si="12"/>
        <v>408</v>
      </c>
      <c r="BS26" s="16">
        <f t="shared" si="13"/>
        <v>600.80000000000007</v>
      </c>
      <c r="BT26" s="16">
        <f>+BS26*1.2</f>
        <v>720.96</v>
      </c>
      <c r="BU26" s="16">
        <f>+BT26*1.2</f>
        <v>865.15200000000004</v>
      </c>
      <c r="BV26" s="16">
        <f>+BU26*1.1</f>
        <v>951.66720000000009</v>
      </c>
      <c r="BW26" s="16">
        <f>+BV26*1.1</f>
        <v>1046.8339200000003</v>
      </c>
      <c r="BX26" s="16">
        <f>+BW26*1.03</f>
        <v>1078.2389376000003</v>
      </c>
      <c r="BY26" s="15">
        <f>+BX26*0.1</f>
        <v>107.82389376000003</v>
      </c>
    </row>
    <row r="27" spans="2:77" s="15" customFormat="1" x14ac:dyDescent="0.2">
      <c r="B27" s="79" t="s">
        <v>332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128</v>
      </c>
      <c r="BA27" s="16">
        <f>+AZ27+2</f>
        <v>130</v>
      </c>
      <c r="BB27" s="16">
        <f>+BA27+2</f>
        <v>132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 t="shared" si="13"/>
        <v>454</v>
      </c>
      <c r="BT27" s="16">
        <f>+BS27*1.1</f>
        <v>499.40000000000003</v>
      </c>
      <c r="BU27" s="16">
        <f>+BT27*1.1</f>
        <v>549.34</v>
      </c>
      <c r="BV27" s="16">
        <f>+BU27*1.1</f>
        <v>604.27400000000011</v>
      </c>
      <c r="BW27" s="16">
        <f>+BV27*1.1</f>
        <v>664.70140000000015</v>
      </c>
      <c r="BX27" s="16">
        <f>+BW27*1.1</f>
        <v>731.17154000000028</v>
      </c>
      <c r="BY27" s="16">
        <f>+BX27*1.1</f>
        <v>804.28869400000042</v>
      </c>
    </row>
    <row r="28" spans="2:77" s="15" customFormat="1" x14ac:dyDescent="0.2">
      <c r="B28" s="79" t="s">
        <v>333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v>36</v>
      </c>
      <c r="BA28" s="16">
        <f>+AZ28+3</f>
        <v>39</v>
      </c>
      <c r="BB28" s="16">
        <f>+BA28+3</f>
        <v>42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8:BR29" si="36">SUM(AU28:AX28)</f>
        <v>31</v>
      </c>
      <c r="BS28" s="16">
        <f t="shared" si="13"/>
        <v>144</v>
      </c>
      <c r="BT28" s="16"/>
      <c r="BU28" s="16"/>
      <c r="BV28" s="16"/>
      <c r="BW28" s="16"/>
      <c r="BX28" s="16"/>
    </row>
    <row r="29" spans="2:77" s="15" customFormat="1" x14ac:dyDescent="0.2">
      <c r="B29" s="74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6"/>
        <v>472</v>
      </c>
      <c r="BS29" s="16">
        <f t="shared" si="13"/>
        <v>503</v>
      </c>
      <c r="BT29" s="16"/>
      <c r="BU29" s="16"/>
      <c r="BV29" s="16"/>
      <c r="BW29" s="16"/>
      <c r="BX29" s="16"/>
    </row>
    <row r="30" spans="2:77" s="15" customFormat="1" x14ac:dyDescent="0.2">
      <c r="B30" s="48" t="s">
        <v>232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7"/>
        <v>0</v>
      </c>
      <c r="BN30" s="16">
        <f t="shared" si="8"/>
        <v>0</v>
      </c>
      <c r="BO30" s="16">
        <f t="shared" si="9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2">
      <c r="B31" s="48" t="s">
        <v>233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7"/>
        <v>0</v>
      </c>
      <c r="BN31" s="16">
        <f t="shared" si="8"/>
        <v>80</v>
      </c>
      <c r="BO31" s="16">
        <f t="shared" si="9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2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7"/>
        <v>892</v>
      </c>
      <c r="BN32" s="16">
        <f t="shared" si="8"/>
        <v>887</v>
      </c>
      <c r="BO32" s="16">
        <f t="shared" si="9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2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7"/>
        <v>776</v>
      </c>
      <c r="BN33" s="16">
        <f t="shared" si="8"/>
        <v>786</v>
      </c>
      <c r="BO33" s="16">
        <f t="shared" si="9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2">
      <c r="B34" s="48" t="s">
        <v>234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7"/>
        <v>0</v>
      </c>
      <c r="BN34" s="16">
        <f t="shared" si="8"/>
        <v>0</v>
      </c>
      <c r="BO34" s="16">
        <f t="shared" si="9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2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7"/>
        <v>726</v>
      </c>
      <c r="BN35" s="16">
        <f t="shared" si="8"/>
        <v>718</v>
      </c>
      <c r="BO35" s="16">
        <f t="shared" si="9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2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7"/>
        <v>469</v>
      </c>
      <c r="BN36" s="16">
        <f t="shared" si="8"/>
        <v>172</v>
      </c>
      <c r="BO36" s="16">
        <f t="shared" si="9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2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7"/>
        <v>336</v>
      </c>
      <c r="BN37" s="16">
        <f t="shared" si="8"/>
        <v>283</v>
      </c>
      <c r="BO37" s="16">
        <f t="shared" si="9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2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7"/>
        <v>0</v>
      </c>
      <c r="BN38" s="16">
        <f t="shared" si="8"/>
        <v>0</v>
      </c>
      <c r="BO38" s="16">
        <f t="shared" si="9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2">
      <c r="B39" s="48" t="s">
        <v>235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7"/>
        <v>66</v>
      </c>
      <c r="BN39" s="16">
        <f t="shared" si="8"/>
        <v>36</v>
      </c>
      <c r="BO39" s="16">
        <f t="shared" si="9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2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7"/>
        <v>0</v>
      </c>
      <c r="BN40" s="16">
        <f t="shared" si="8"/>
        <v>0</v>
      </c>
      <c r="BO40" s="16">
        <f t="shared" si="9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2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7"/>
        <v>391</v>
      </c>
      <c r="BN41" s="16">
        <f t="shared" si="8"/>
        <v>348</v>
      </c>
      <c r="BO41" s="16">
        <f t="shared" si="9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2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7"/>
        <v>0</v>
      </c>
      <c r="BN42" s="16">
        <f t="shared" si="8"/>
        <v>0</v>
      </c>
      <c r="BO42" s="16">
        <f t="shared" si="9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2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7"/>
        <v>0</v>
      </c>
      <c r="BN43" s="16">
        <f t="shared" si="8"/>
        <v>0</v>
      </c>
      <c r="BO43" s="16">
        <f t="shared" si="9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2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14462-SUM(AZ5:AZ29)</f>
        <v>810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7"/>
        <v>423</v>
      </c>
      <c r="BN44" s="16">
        <f t="shared" ref="BN44" si="37">SUM(AE44:AH44)</f>
        <v>524</v>
      </c>
      <c r="BO44" s="16">
        <f t="shared" ref="BO44" si="38">SUM(AI44:AL44)</f>
        <v>3647</v>
      </c>
      <c r="BP44" s="16">
        <f t="shared" si="10"/>
        <v>5124</v>
      </c>
      <c r="BQ44" s="16">
        <f t="shared" si="11"/>
        <v>4137</v>
      </c>
      <c r="BR44" s="16">
        <f>SUM(AU44:AX44)</f>
        <v>3035</v>
      </c>
      <c r="BS44" s="16">
        <f>SUM(AY44:BB44)</f>
        <v>3157</v>
      </c>
      <c r="BT44" s="16">
        <f t="shared" ref="BT44:BY44" si="39">+BS44*0.9</f>
        <v>2841.3</v>
      </c>
      <c r="BU44" s="16">
        <f t="shared" si="39"/>
        <v>2557.17</v>
      </c>
      <c r="BV44" s="16">
        <f t="shared" si="39"/>
        <v>2301.453</v>
      </c>
      <c r="BW44" s="16">
        <f t="shared" si="39"/>
        <v>2071.3076999999998</v>
      </c>
      <c r="BX44" s="16">
        <f t="shared" si="39"/>
        <v>1864.1769299999999</v>
      </c>
      <c r="BY44" s="16">
        <f t="shared" si="39"/>
        <v>1677.759237</v>
      </c>
    </row>
    <row r="45" spans="2:77" s="17" customFormat="1" x14ac:dyDescent="0.2">
      <c r="B45" s="17" t="s">
        <v>243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>
        <v>6538</v>
      </c>
      <c r="X45" s="18">
        <v>6944</v>
      </c>
      <c r="Y45" s="18">
        <v>6995</v>
      </c>
      <c r="Z45" s="18">
        <v>7739</v>
      </c>
      <c r="AA45" s="18">
        <v>7934</v>
      </c>
      <c r="AB45" s="18">
        <f t="shared" ref="AB45:BB45" si="40">SUM(AB5:AB44)</f>
        <v>8258</v>
      </c>
      <c r="AC45" s="18">
        <f t="shared" si="40"/>
        <v>8236</v>
      </c>
      <c r="AD45" s="18">
        <f t="shared" si="40"/>
        <v>8305</v>
      </c>
      <c r="AE45" s="18">
        <f t="shared" si="40"/>
        <v>7828</v>
      </c>
      <c r="AF45" s="18">
        <f t="shared" si="40"/>
        <v>8255</v>
      </c>
      <c r="AG45" s="18">
        <f t="shared" si="40"/>
        <v>8479</v>
      </c>
      <c r="AH45" s="18">
        <f t="shared" si="40"/>
        <v>8704</v>
      </c>
      <c r="AI45" s="18">
        <f t="shared" si="40"/>
        <v>8619</v>
      </c>
      <c r="AJ45" s="18">
        <f t="shared" si="40"/>
        <v>10425</v>
      </c>
      <c r="AK45" s="18">
        <f t="shared" si="40"/>
        <v>12882</v>
      </c>
      <c r="AL45" s="18">
        <f t="shared" si="40"/>
        <v>13858</v>
      </c>
      <c r="AM45" s="18">
        <f t="shared" si="40"/>
        <v>12935</v>
      </c>
      <c r="AN45" s="18">
        <f t="shared" si="40"/>
        <v>13959</v>
      </c>
      <c r="AO45" s="18">
        <f t="shared" si="40"/>
        <v>14342</v>
      </c>
      <c r="AP45" s="18">
        <f t="shared" si="40"/>
        <v>14886</v>
      </c>
      <c r="AQ45" s="18">
        <f t="shared" si="40"/>
        <v>13538</v>
      </c>
      <c r="AR45" s="18">
        <f t="shared" si="40"/>
        <v>14583</v>
      </c>
      <c r="AS45" s="18">
        <f t="shared" si="40"/>
        <v>14812</v>
      </c>
      <c r="AT45" s="18">
        <f t="shared" si="40"/>
        <v>15121</v>
      </c>
      <c r="AU45" s="18">
        <f t="shared" si="40"/>
        <v>12225</v>
      </c>
      <c r="AV45" s="18">
        <f t="shared" si="40"/>
        <v>13865</v>
      </c>
      <c r="AW45" s="18">
        <f t="shared" si="40"/>
        <v>13927</v>
      </c>
      <c r="AX45" s="18">
        <f t="shared" si="40"/>
        <v>14301</v>
      </c>
      <c r="AY45" s="18">
        <f t="shared" si="40"/>
        <v>12310</v>
      </c>
      <c r="AZ45" s="18">
        <f>SUM(AZ5:AZ44)</f>
        <v>14462</v>
      </c>
      <c r="BA45" s="18">
        <f t="shared" si="40"/>
        <v>13371.489999999998</v>
      </c>
      <c r="BB45" s="18">
        <f t="shared" si="40"/>
        <v>13807.44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41">SUM(BM5:BM44)</f>
        <v>32733</v>
      </c>
      <c r="BN45" s="18">
        <f t="shared" si="41"/>
        <v>33266</v>
      </c>
      <c r="BO45" s="18">
        <f t="shared" si="41"/>
        <v>45784</v>
      </c>
      <c r="BP45" s="18">
        <f t="shared" si="41"/>
        <v>56122</v>
      </c>
      <c r="BQ45" s="18">
        <f t="shared" si="41"/>
        <v>57838</v>
      </c>
      <c r="BR45" s="18">
        <f t="shared" si="41"/>
        <v>54318</v>
      </c>
      <c r="BS45" s="18">
        <f t="shared" si="41"/>
        <v>53950.93</v>
      </c>
      <c r="BT45" s="18">
        <f t="shared" si="41"/>
        <v>54602.296000000002</v>
      </c>
      <c r="BU45" s="18">
        <f t="shared" si="41"/>
        <v>53066.115609999993</v>
      </c>
      <c r="BV45" s="18">
        <f t="shared" si="41"/>
        <v>52066.047577300007</v>
      </c>
      <c r="BW45" s="18">
        <f t="shared" si="41"/>
        <v>50019.80618581899</v>
      </c>
      <c r="BX45" s="18">
        <f t="shared" si="41"/>
        <v>49332.211252678564</v>
      </c>
      <c r="BY45" s="18">
        <f t="shared" si="41"/>
        <v>35036.868077715189</v>
      </c>
    </row>
    <row r="46" spans="2:77" s="15" customFormat="1" x14ac:dyDescent="0.2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1313</v>
      </c>
      <c r="X46" s="16">
        <v>1529</v>
      </c>
      <c r="Y46" s="16">
        <v>1342</v>
      </c>
      <c r="Z46" s="16">
        <v>1626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v>2135</v>
      </c>
      <c r="BA46" s="16">
        <f>+BA45-BA47</f>
        <v>2273.1532999999999</v>
      </c>
      <c r="BB46" s="16">
        <f>+BB45-BB47</f>
        <v>2347.2648000000008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7"/>
        <v>6362</v>
      </c>
      <c r="BN46" s="16">
        <f t="shared" ref="BN46" si="42">SUM(AE46:AH46)</f>
        <v>5860</v>
      </c>
      <c r="BO46" s="16">
        <f t="shared" ref="BO46" si="43">SUM(AI46:AL46)</f>
        <v>8175</v>
      </c>
      <c r="BP46" s="16">
        <f t="shared" ref="BP46" si="44">SUM(AM46:AP46)</f>
        <v>9425</v>
      </c>
      <c r="BQ46" s="16">
        <f t="shared" ref="BQ46" si="45">SUM(AQ46:AT46)</f>
        <v>8705.15</v>
      </c>
      <c r="BR46" s="16">
        <f>SUM(AU46:AX46)</f>
        <v>8646</v>
      </c>
      <c r="BS46" s="16">
        <f t="shared" ref="BS46:BY46" si="46">+BS45-BS47</f>
        <v>8092.6395000000048</v>
      </c>
      <c r="BT46" s="16">
        <f t="shared" si="46"/>
        <v>8190.3444000000018</v>
      </c>
      <c r="BU46" s="16">
        <f t="shared" si="46"/>
        <v>7959.9173414999968</v>
      </c>
      <c r="BV46" s="16">
        <f t="shared" si="46"/>
        <v>7809.9071365950003</v>
      </c>
      <c r="BW46" s="16">
        <f t="shared" si="46"/>
        <v>7502.9709278728478</v>
      </c>
      <c r="BX46" s="16">
        <f t="shared" si="46"/>
        <v>7399.8316879017875</v>
      </c>
      <c r="BY46" s="16">
        <f t="shared" si="46"/>
        <v>5255.5302116572784</v>
      </c>
    </row>
    <row r="47" spans="2:77" s="15" customFormat="1" x14ac:dyDescent="0.2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47">+W45-W46</f>
        <v>5225</v>
      </c>
      <c r="X47" s="16">
        <f t="shared" ref="X47:Y47" si="48">+X45-X46</f>
        <v>5415</v>
      </c>
      <c r="Y47" s="16">
        <f t="shared" si="48"/>
        <v>5653</v>
      </c>
      <c r="Z47" s="16">
        <f t="shared" ref="Z47" si="49">+Z45-Z46</f>
        <v>6113</v>
      </c>
      <c r="AA47" s="16">
        <f t="shared" ref="AA47:AF47" si="50">+AA45-AA46</f>
        <v>6362</v>
      </c>
      <c r="AB47" s="16">
        <f t="shared" si="50"/>
        <v>6651</v>
      </c>
      <c r="AC47" s="16">
        <f t="shared" si="50"/>
        <v>6727</v>
      </c>
      <c r="AD47" s="16">
        <f t="shared" si="50"/>
        <v>6631</v>
      </c>
      <c r="AE47" s="16">
        <f t="shared" si="50"/>
        <v>6525</v>
      </c>
      <c r="AF47" s="16">
        <f t="shared" si="50"/>
        <v>6828</v>
      </c>
      <c r="AG47" s="16">
        <f t="shared" ref="AG47:AH47" si="51">AG45-AG46</f>
        <v>6954</v>
      </c>
      <c r="AH47" s="16">
        <f t="shared" si="51"/>
        <v>7099</v>
      </c>
      <c r="AI47" s="16">
        <f t="shared" ref="AI47:AJ47" si="52">AI45-AI46</f>
        <v>7125</v>
      </c>
      <c r="AJ47" s="16">
        <f t="shared" si="52"/>
        <v>8629</v>
      </c>
      <c r="AK47" s="16">
        <f t="shared" ref="AK47:AQ47" si="53">AK45-AK46</f>
        <v>10520</v>
      </c>
      <c r="AL47" s="16">
        <f t="shared" si="53"/>
        <v>11335</v>
      </c>
      <c r="AM47" s="16">
        <f t="shared" si="53"/>
        <v>10850</v>
      </c>
      <c r="AN47" s="16">
        <f t="shared" si="53"/>
        <v>11480</v>
      </c>
      <c r="AO47" s="16">
        <f t="shared" si="53"/>
        <v>11929</v>
      </c>
      <c r="AP47" s="16">
        <f t="shared" si="53"/>
        <v>12438</v>
      </c>
      <c r="AQ47" s="16">
        <f t="shared" si="53"/>
        <v>11435</v>
      </c>
      <c r="AR47" s="16">
        <f t="shared" ref="AR47" si="54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+AZ45-AZ46</f>
        <v>12327</v>
      </c>
      <c r="BA47" s="16">
        <f>+BA45*0.83</f>
        <v>11098.336699999998</v>
      </c>
      <c r="BB47" s="16">
        <f>+BB45*0.83</f>
        <v>11460.1752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5">+BM45-BM46</f>
        <v>26371</v>
      </c>
      <c r="BN47" s="16">
        <f t="shared" si="55"/>
        <v>27406</v>
      </c>
      <c r="BO47" s="16">
        <f t="shared" si="55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6">+BS45*0.85</f>
        <v>45858.290499999996</v>
      </c>
      <c r="BT47" s="16">
        <f t="shared" si="56"/>
        <v>46411.9516</v>
      </c>
      <c r="BU47" s="16">
        <f t="shared" si="56"/>
        <v>45106.198268499997</v>
      </c>
      <c r="BV47" s="16">
        <f t="shared" si="56"/>
        <v>44256.140440705007</v>
      </c>
      <c r="BW47" s="16">
        <f t="shared" si="56"/>
        <v>42516.835257946143</v>
      </c>
      <c r="BX47" s="16">
        <f t="shared" si="56"/>
        <v>41932.379564776777</v>
      </c>
      <c r="BY47" s="16">
        <f t="shared" si="56"/>
        <v>29781.337866057911</v>
      </c>
    </row>
    <row r="48" spans="2:77" s="15" customFormat="1" x14ac:dyDescent="0.2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v>1360</v>
      </c>
      <c r="X48" s="16">
        <v>1509</v>
      </c>
      <c r="Y48" s="16">
        <v>1453</v>
      </c>
      <c r="Z48" s="16">
        <v>1646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v>3315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7"/>
        <v>6685</v>
      </c>
      <c r="BN48" s="16">
        <f t="shared" ref="BN48:BN49" si="57">SUM(AE48:AH48)</f>
        <v>6687</v>
      </c>
      <c r="BO48" s="16">
        <f t="shared" ref="BO48:BO49" si="58">SUM(AI48:AL48)</f>
        <v>9803</v>
      </c>
      <c r="BP48" s="16">
        <f t="shared" ref="BP48:BP49" si="59">SUM(AM48:AP48)</f>
        <v>11964</v>
      </c>
      <c r="BQ48" s="16">
        <f t="shared" ref="BQ48:BQ49" si="60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T48:BY48" si="61">+BT45*0.2</f>
        <v>10920.459200000001</v>
      </c>
      <c r="BU48" s="16">
        <f t="shared" si="61"/>
        <v>10613.223121999999</v>
      </c>
      <c r="BV48" s="16">
        <f t="shared" si="61"/>
        <v>10413.209515460003</v>
      </c>
      <c r="BW48" s="16">
        <f t="shared" si="61"/>
        <v>10003.9612371638</v>
      </c>
      <c r="BX48" s="16">
        <f t="shared" si="61"/>
        <v>9866.4422505357143</v>
      </c>
      <c r="BY48" s="16">
        <f t="shared" si="61"/>
        <v>7007.3736155430379</v>
      </c>
    </row>
    <row r="49" spans="2:204" s="15" customFormat="1" x14ac:dyDescent="0.2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v>1112</v>
      </c>
      <c r="X49" s="16">
        <v>1229</v>
      </c>
      <c r="Y49" s="16">
        <v>1196</v>
      </c>
      <c r="Z49" s="16">
        <v>1328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v>1917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7"/>
        <v>5093</v>
      </c>
      <c r="BN49" s="16">
        <f t="shared" si="57"/>
        <v>4989</v>
      </c>
      <c r="BO49" s="16">
        <f t="shared" si="58"/>
        <v>5830</v>
      </c>
      <c r="BP49" s="16">
        <f t="shared" si="59"/>
        <v>6518</v>
      </c>
      <c r="BQ49" s="16">
        <f t="shared" si="60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2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62">+W48+W49</f>
        <v>2472</v>
      </c>
      <c r="X50" s="16">
        <f t="shared" ref="X50:Y50" si="63">+X48+X49</f>
        <v>2738</v>
      </c>
      <c r="Y50" s="16">
        <f t="shared" si="63"/>
        <v>2649</v>
      </c>
      <c r="Z50" s="16">
        <f t="shared" ref="Z50" si="64">+Z48+Z49</f>
        <v>2974</v>
      </c>
      <c r="AA50" s="16">
        <f t="shared" ref="AA50:AF50" si="65">+AA48+AA49</f>
        <v>2859</v>
      </c>
      <c r="AB50" s="16">
        <f t="shared" si="65"/>
        <v>2910</v>
      </c>
      <c r="AC50" s="16">
        <f t="shared" si="65"/>
        <v>2843</v>
      </c>
      <c r="AD50" s="16">
        <f t="shared" si="65"/>
        <v>3166</v>
      </c>
      <c r="AE50" s="16">
        <f t="shared" si="65"/>
        <v>2762</v>
      </c>
      <c r="AF50" s="16">
        <f t="shared" si="65"/>
        <v>2852</v>
      </c>
      <c r="AG50" s="16">
        <f t="shared" ref="AG50:AH50" si="66">AG49+AG48</f>
        <v>2848</v>
      </c>
      <c r="AH50" s="16">
        <f t="shared" si="66"/>
        <v>3214</v>
      </c>
      <c r="AI50" s="16">
        <f t="shared" ref="AI50:AJ50" si="67">AI49+AI48</f>
        <v>2833</v>
      </c>
      <c r="AJ50" s="16">
        <f t="shared" si="67"/>
        <v>3724</v>
      </c>
      <c r="AK50" s="16">
        <f t="shared" ref="AK50:AQ50" si="68">AK49+AK48</f>
        <v>4236</v>
      </c>
      <c r="AL50" s="16">
        <f t="shared" si="68"/>
        <v>4840</v>
      </c>
      <c r="AM50" s="16">
        <f t="shared" si="68"/>
        <v>4248</v>
      </c>
      <c r="AN50" s="16">
        <f t="shared" si="68"/>
        <v>4536</v>
      </c>
      <c r="AO50" s="16">
        <f t="shared" si="68"/>
        <v>4593</v>
      </c>
      <c r="AP50" s="16">
        <f t="shared" si="68"/>
        <v>5105</v>
      </c>
      <c r="AQ50" s="16">
        <f t="shared" si="68"/>
        <v>4332</v>
      </c>
      <c r="AR50" s="16">
        <f t="shared" ref="AR50:AT50" si="69">AR49+AR48</f>
        <v>4696</v>
      </c>
      <c r="AS50" s="16">
        <f t="shared" si="69"/>
        <v>4696</v>
      </c>
      <c r="AT50" s="16">
        <f t="shared" si="69"/>
        <v>5156.05</v>
      </c>
      <c r="AU50" s="16">
        <f t="shared" ref="AU50:AX50" si="70">AU49+AU48</f>
        <v>4641</v>
      </c>
      <c r="AV50" s="16">
        <f t="shared" si="70"/>
        <v>4948</v>
      </c>
      <c r="AW50" s="16">
        <f t="shared" si="70"/>
        <v>5050</v>
      </c>
      <c r="AX50" s="16">
        <f t="shared" si="70"/>
        <v>5532</v>
      </c>
      <c r="AY50" s="16">
        <f>+AY48+AY49</f>
        <v>4843</v>
      </c>
      <c r="AZ50" s="16">
        <f t="shared" ref="AZ50:BB50" si="71">+AZ48+AZ49</f>
        <v>5232</v>
      </c>
      <c r="BA50" s="16">
        <f t="shared" si="71"/>
        <v>4983.3999999999996</v>
      </c>
      <c r="BB50" s="16">
        <f t="shared" si="71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72">+BM48+BM49</f>
        <v>11778</v>
      </c>
      <c r="BN50" s="16">
        <f t="shared" ref="BN50:BO50" si="73">+BN48+BN49</f>
        <v>11676</v>
      </c>
      <c r="BO50" s="16">
        <f t="shared" si="73"/>
        <v>15633</v>
      </c>
      <c r="BP50" s="16">
        <f>+BP48+BP49</f>
        <v>18482</v>
      </c>
      <c r="BQ50" s="16">
        <f>+BQ48+BQ49</f>
        <v>18880.05</v>
      </c>
      <c r="BR50" s="16">
        <f t="shared" ref="BR50:BY50" si="74">+BR48+BR49</f>
        <v>20171</v>
      </c>
      <c r="BS50" s="16">
        <f t="shared" si="74"/>
        <v>19969.29</v>
      </c>
      <c r="BT50" s="16">
        <f t="shared" si="74"/>
        <v>10920.459200000001</v>
      </c>
      <c r="BU50" s="16">
        <f t="shared" si="74"/>
        <v>10613.223121999999</v>
      </c>
      <c r="BV50" s="16">
        <f t="shared" si="74"/>
        <v>10413.209515460003</v>
      </c>
      <c r="BW50" s="16">
        <f t="shared" si="74"/>
        <v>10003.9612371638</v>
      </c>
      <c r="BX50" s="16">
        <f t="shared" si="74"/>
        <v>9866.4422505357143</v>
      </c>
      <c r="BY50" s="16">
        <f t="shared" si="74"/>
        <v>7007.3736155430379</v>
      </c>
    </row>
    <row r="51" spans="2:204" s="15" customFormat="1" x14ac:dyDescent="0.2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75">+W47-W50</f>
        <v>2753</v>
      </c>
      <c r="X51" s="16">
        <f t="shared" ref="X51:Y51" si="76">+X47-X50</f>
        <v>2677</v>
      </c>
      <c r="Y51" s="16">
        <f t="shared" si="76"/>
        <v>3004</v>
      </c>
      <c r="Z51" s="16">
        <f t="shared" ref="Z51" si="77">+Z47-Z50</f>
        <v>3139</v>
      </c>
      <c r="AA51" s="16">
        <f t="shared" ref="AA51:AF51" si="78">+AA47-AA50</f>
        <v>3503</v>
      </c>
      <c r="AB51" s="16">
        <f t="shared" si="78"/>
        <v>3741</v>
      </c>
      <c r="AC51" s="16">
        <f t="shared" si="78"/>
        <v>3884</v>
      </c>
      <c r="AD51" s="16">
        <f t="shared" si="78"/>
        <v>3465</v>
      </c>
      <c r="AE51" s="16">
        <f t="shared" si="78"/>
        <v>3763</v>
      </c>
      <c r="AF51" s="16">
        <f t="shared" si="78"/>
        <v>3976</v>
      </c>
      <c r="AG51" s="16">
        <f t="shared" ref="AG51:AH51" si="79">AG47-AG50</f>
        <v>4106</v>
      </c>
      <c r="AH51" s="16">
        <f t="shared" si="79"/>
        <v>3885</v>
      </c>
      <c r="AI51" s="16">
        <f t="shared" ref="AI51:AJ51" si="80">AI47-AI50</f>
        <v>4292</v>
      </c>
      <c r="AJ51" s="16">
        <f t="shared" si="80"/>
        <v>4905</v>
      </c>
      <c r="AK51" s="16">
        <f t="shared" ref="AK51:AQ51" si="81">AK47-AK50</f>
        <v>6284</v>
      </c>
      <c r="AL51" s="16">
        <f t="shared" si="81"/>
        <v>6495</v>
      </c>
      <c r="AM51" s="16">
        <f t="shared" si="81"/>
        <v>6602</v>
      </c>
      <c r="AN51" s="16">
        <f t="shared" si="81"/>
        <v>6944</v>
      </c>
      <c r="AO51" s="16">
        <f t="shared" si="81"/>
        <v>7336</v>
      </c>
      <c r="AP51" s="16">
        <f t="shared" si="81"/>
        <v>7333</v>
      </c>
      <c r="AQ51" s="16">
        <f t="shared" si="81"/>
        <v>7103</v>
      </c>
      <c r="AR51" s="16">
        <f t="shared" ref="AR51:AT51" si="82">AR47-AR50</f>
        <v>7720</v>
      </c>
      <c r="AS51" s="16">
        <f t="shared" si="82"/>
        <v>7949</v>
      </c>
      <c r="AT51" s="16">
        <f t="shared" si="82"/>
        <v>7696.8</v>
      </c>
      <c r="AU51" s="16">
        <f t="shared" ref="AU51:AX51" si="83">AU47-AU50</f>
        <v>5653</v>
      </c>
      <c r="AV51" s="16">
        <f t="shared" si="83"/>
        <v>6800</v>
      </c>
      <c r="AW51" s="16">
        <f t="shared" si="83"/>
        <v>6576</v>
      </c>
      <c r="AX51" s="16">
        <f t="shared" si="83"/>
        <v>6472</v>
      </c>
      <c r="AY51" s="16">
        <f>+AY47-AY50</f>
        <v>5359</v>
      </c>
      <c r="AZ51" s="16">
        <f t="shared" ref="AZ51:BB51" si="84">+AZ47-AZ50</f>
        <v>7095</v>
      </c>
      <c r="BA51" s="16">
        <f t="shared" si="84"/>
        <v>6114.9366999999984</v>
      </c>
      <c r="BB51" s="16">
        <f t="shared" si="84"/>
        <v>5998.9751999999999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85">+BM47-BM50</f>
        <v>14593</v>
      </c>
      <c r="BN51" s="16">
        <f t="shared" ref="BN51:BO51" si="86">+BN47-BN50</f>
        <v>15730</v>
      </c>
      <c r="BO51" s="16">
        <f t="shared" si="86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87">+BR47-BR50</f>
        <v>25501</v>
      </c>
      <c r="BS51" s="16">
        <f t="shared" si="87"/>
        <v>25889.000499999995</v>
      </c>
      <c r="BT51" s="16">
        <f t="shared" si="87"/>
        <v>35491.492400000003</v>
      </c>
      <c r="BU51" s="16">
        <f t="shared" si="87"/>
        <v>34492.975146500001</v>
      </c>
      <c r="BV51" s="16">
        <f t="shared" si="87"/>
        <v>33842.930925245004</v>
      </c>
      <c r="BW51" s="16">
        <f t="shared" si="87"/>
        <v>32512.874020782343</v>
      </c>
      <c r="BX51" s="16">
        <f t="shared" si="87"/>
        <v>32065.937314241062</v>
      </c>
      <c r="BY51" s="16">
        <f t="shared" si="87"/>
        <v>22773.964250514873</v>
      </c>
    </row>
    <row r="52" spans="2:204" s="15" customFormat="1" x14ac:dyDescent="0.2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>-247+25</f>
        <v>-222</v>
      </c>
      <c r="X52" s="16">
        <v>-253</v>
      </c>
      <c r="Y52" s="16">
        <f>-252+63</f>
        <v>-189</v>
      </c>
      <c r="Z52" s="16">
        <f>-252+62</f>
        <v>-190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153-506-1</f>
        <v>-354</v>
      </c>
      <c r="BA52" s="16">
        <f>+AZ52</f>
        <v>-354</v>
      </c>
      <c r="BB52" s="16">
        <f>+BA52</f>
        <v>-354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88">SUM(AA52:AD52)</f>
        <v>-1150</v>
      </c>
      <c r="BN52" s="16">
        <f t="shared" ref="BN52" si="89">SUM(AE52:AH52)</f>
        <v>-1142</v>
      </c>
      <c r="BO52" s="16">
        <f t="shared" ref="BO52" si="90">SUM(AI52:AL52)</f>
        <v>439</v>
      </c>
      <c r="BP52" s="16">
        <f t="shared" ref="BP52" si="91">SUM(AM52:AP52)</f>
        <v>-2384</v>
      </c>
      <c r="BQ52" s="16">
        <f t="shared" ref="BQ52" si="92">SUM(AQ52:AT52)</f>
        <v>-1552</v>
      </c>
      <c r="BR52" s="16">
        <f>SUM(AU52:AX52)</f>
        <v>-977</v>
      </c>
      <c r="BS52" s="16">
        <f t="shared" ref="BS52:BY52" si="93">+BR52+300</f>
        <v>-677</v>
      </c>
      <c r="BT52" s="16">
        <f t="shared" si="93"/>
        <v>-377</v>
      </c>
      <c r="BU52" s="16">
        <f t="shared" si="93"/>
        <v>-77</v>
      </c>
      <c r="BV52" s="16">
        <f t="shared" si="93"/>
        <v>223</v>
      </c>
      <c r="BW52" s="16">
        <f t="shared" si="93"/>
        <v>523</v>
      </c>
      <c r="BX52" s="16">
        <f t="shared" si="93"/>
        <v>823</v>
      </c>
      <c r="BY52" s="16">
        <f t="shared" si="93"/>
        <v>1123</v>
      </c>
    </row>
    <row r="53" spans="2:204" s="15" customFormat="1" x14ac:dyDescent="0.2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94">+W51+W52</f>
        <v>2531</v>
      </c>
      <c r="X53" s="16">
        <f t="shared" ref="X53:Y53" si="95">+X51+X52</f>
        <v>2424</v>
      </c>
      <c r="Y53" s="16">
        <f t="shared" si="95"/>
        <v>2815</v>
      </c>
      <c r="Z53" s="16">
        <f t="shared" ref="Z53:AF53" si="96">+Z51+Z52</f>
        <v>2949</v>
      </c>
      <c r="AA53" s="16">
        <f t="shared" si="96"/>
        <v>3257</v>
      </c>
      <c r="AB53" s="16">
        <f t="shared" si="96"/>
        <v>3454</v>
      </c>
      <c r="AC53" s="16">
        <f t="shared" si="96"/>
        <v>3581</v>
      </c>
      <c r="AD53" s="16">
        <f t="shared" si="96"/>
        <v>3151</v>
      </c>
      <c r="AE53" s="16">
        <f t="shared" si="96"/>
        <v>3472</v>
      </c>
      <c r="AF53" s="16">
        <f t="shared" si="96"/>
        <v>3700</v>
      </c>
      <c r="AG53" s="16">
        <f t="shared" ref="AG53:AH53" si="97">AG51+AG52</f>
        <v>3802</v>
      </c>
      <c r="AH53" s="16">
        <f t="shared" si="97"/>
        <v>3614</v>
      </c>
      <c r="AI53" s="16">
        <f t="shared" ref="AI53:AJ53" si="98">AI51+AI52</f>
        <v>4003</v>
      </c>
      <c r="AJ53" s="16">
        <f t="shared" si="98"/>
        <v>4395</v>
      </c>
      <c r="AK53" s="16">
        <f t="shared" ref="AK53:AQ53" si="99">AK51+AK52</f>
        <v>6904</v>
      </c>
      <c r="AL53" s="16">
        <f t="shared" si="99"/>
        <v>7113</v>
      </c>
      <c r="AM53" s="16">
        <f t="shared" si="99"/>
        <v>5980</v>
      </c>
      <c r="AN53" s="16">
        <f t="shared" si="99"/>
        <v>6338</v>
      </c>
      <c r="AO53" s="16">
        <f t="shared" si="99"/>
        <v>6751</v>
      </c>
      <c r="AP53" s="16">
        <f t="shared" si="99"/>
        <v>6762</v>
      </c>
      <c r="AQ53" s="16">
        <f t="shared" si="99"/>
        <v>6592</v>
      </c>
      <c r="AR53" s="16">
        <f t="shared" ref="AR53:AT53" si="100">AR51+AR52</f>
        <v>7433</v>
      </c>
      <c r="AS53" s="16">
        <f t="shared" si="100"/>
        <v>7572</v>
      </c>
      <c r="AT53" s="16">
        <f t="shared" si="100"/>
        <v>7319.8</v>
      </c>
      <c r="AU53" s="16">
        <f t="shared" ref="AU53:AX53" si="101">AU51+AU52</f>
        <v>5722</v>
      </c>
      <c r="AV53" s="16">
        <f t="shared" si="101"/>
        <v>6227</v>
      </c>
      <c r="AW53" s="16">
        <f t="shared" si="101"/>
        <v>6324</v>
      </c>
      <c r="AX53" s="16">
        <f t="shared" si="101"/>
        <v>6251</v>
      </c>
      <c r="AY53" s="16">
        <f>+AY51+AY52</f>
        <v>5006</v>
      </c>
      <c r="AZ53" s="16">
        <f>+AZ51+AZ52</f>
        <v>6741</v>
      </c>
      <c r="BA53" s="16">
        <f>+BA51+BA52</f>
        <v>5760.9366999999984</v>
      </c>
      <c r="BB53" s="16">
        <f>+BB51+BB52</f>
        <v>5644.9751999999999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102">+BM51+BM52</f>
        <v>13443</v>
      </c>
      <c r="BN53" s="16">
        <f t="shared" si="102"/>
        <v>14588</v>
      </c>
      <c r="BO53" s="16">
        <f t="shared" si="102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103">+BR51+BR52</f>
        <v>24524</v>
      </c>
      <c r="BS53" s="16">
        <f t="shared" si="103"/>
        <v>25212.000499999995</v>
      </c>
      <c r="BT53" s="16">
        <f t="shared" si="103"/>
        <v>35114.492400000003</v>
      </c>
      <c r="BU53" s="16">
        <f t="shared" si="103"/>
        <v>34415.975146500001</v>
      </c>
      <c r="BV53" s="16">
        <f t="shared" si="103"/>
        <v>34065.930925245004</v>
      </c>
      <c r="BW53" s="16">
        <f t="shared" si="103"/>
        <v>33035.874020782343</v>
      </c>
      <c r="BX53" s="16">
        <f t="shared" si="103"/>
        <v>32888.937314241062</v>
      </c>
      <c r="BY53" s="16">
        <f t="shared" si="103"/>
        <v>23896.964250514873</v>
      </c>
    </row>
    <row r="54" spans="2:204" s="15" customFormat="1" x14ac:dyDescent="0.2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458</v>
      </c>
      <c r="X54" s="16">
        <v>438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1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v>1091</v>
      </c>
      <c r="BA54" s="16">
        <f>+BA53*0.1</f>
        <v>576.09366999999986</v>
      </c>
      <c r="BB54" s="16">
        <f>+BB53*0.1</f>
        <v>564.49752000000001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88"/>
        <v>1175</v>
      </c>
      <c r="BN54" s="16">
        <f t="shared" ref="BN54" si="104">SUM(AE54:AH54)</f>
        <v>1252</v>
      </c>
      <c r="BO54" s="16">
        <f t="shared" ref="BO54" si="105">SUM(AI54:AL54)</f>
        <v>2245</v>
      </c>
      <c r="BP54" s="16">
        <f t="shared" ref="BP54" si="106">SUM(AM54:AP54)</f>
        <v>3248</v>
      </c>
      <c r="BQ54" s="16">
        <f t="shared" ref="BQ54" si="107">SUM(AQ54:AT54)</f>
        <v>3805.9700000000003</v>
      </c>
      <c r="BR54" s="16">
        <f>SUM(AU54:AX54)</f>
        <v>1932</v>
      </c>
      <c r="BS54" s="16">
        <f t="shared" ref="BS54:BY54" si="108">+BS53*0.15</f>
        <v>3781.8000749999992</v>
      </c>
      <c r="BT54" s="16">
        <f t="shared" si="108"/>
        <v>5267.1738599999999</v>
      </c>
      <c r="BU54" s="16">
        <f t="shared" si="108"/>
        <v>5162.3962719749998</v>
      </c>
      <c r="BV54" s="16">
        <f t="shared" si="108"/>
        <v>5109.8896387867508</v>
      </c>
      <c r="BW54" s="16">
        <f t="shared" si="108"/>
        <v>4955.3811031173509</v>
      </c>
      <c r="BX54" s="16">
        <f t="shared" si="108"/>
        <v>4933.340597136159</v>
      </c>
      <c r="BY54" s="16">
        <f t="shared" si="108"/>
        <v>3584.5446375772308</v>
      </c>
    </row>
    <row r="55" spans="2:204" s="15" customFormat="1" x14ac:dyDescent="0.2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ref="W55" si="109">+W53-W54</f>
        <v>2073</v>
      </c>
      <c r="X55" s="16">
        <f t="shared" ref="X55:Y55" si="110">+X53-X54</f>
        <v>1986</v>
      </c>
      <c r="Y55" s="16">
        <f t="shared" si="110"/>
        <v>2282</v>
      </c>
      <c r="Z55" s="16">
        <f t="shared" ref="Z55" si="111">+Z53-Z54</f>
        <v>2393</v>
      </c>
      <c r="AA55" s="16">
        <f t="shared" ref="AA55:AF55" si="112">+AA53-AA54</f>
        <v>3008</v>
      </c>
      <c r="AB55" s="16">
        <f t="shared" si="112"/>
        <v>3143</v>
      </c>
      <c r="AC55" s="16">
        <f t="shared" si="112"/>
        <v>3255</v>
      </c>
      <c r="AD55" s="16">
        <f t="shared" si="112"/>
        <v>2862</v>
      </c>
      <c r="AE55" s="16">
        <f t="shared" si="112"/>
        <v>3198</v>
      </c>
      <c r="AF55" s="16">
        <f t="shared" si="112"/>
        <v>3376</v>
      </c>
      <c r="AG55" s="16">
        <f t="shared" ref="AG55:AH55" si="113">AG53-AG54</f>
        <v>3468</v>
      </c>
      <c r="AH55" s="16">
        <f t="shared" si="113"/>
        <v>3294</v>
      </c>
      <c r="AI55" s="16">
        <f t="shared" ref="AI55:AJ55" si="114">AI53-AI54</f>
        <v>3613</v>
      </c>
      <c r="AJ55" s="16">
        <f t="shared" si="114"/>
        <v>3894</v>
      </c>
      <c r="AK55" s="16">
        <f t="shared" ref="AK55:AQ55" si="115">AK53-AK54</f>
        <v>6236</v>
      </c>
      <c r="AL55" s="16">
        <f t="shared" si="115"/>
        <v>6427</v>
      </c>
      <c r="AM55" s="16">
        <f t="shared" si="115"/>
        <v>5242</v>
      </c>
      <c r="AN55" s="16">
        <f t="shared" si="115"/>
        <v>5536</v>
      </c>
      <c r="AO55" s="16">
        <f t="shared" si="115"/>
        <v>5888</v>
      </c>
      <c r="AP55" s="16">
        <f t="shared" si="115"/>
        <v>5917</v>
      </c>
      <c r="AQ55" s="16">
        <f t="shared" si="115"/>
        <v>5814</v>
      </c>
      <c r="AR55" s="16">
        <f t="shared" ref="AR55:AT55" si="116">AR53-AR54</f>
        <v>6468</v>
      </c>
      <c r="AS55" s="16">
        <f t="shared" si="116"/>
        <v>6607</v>
      </c>
      <c r="AT55" s="16">
        <f t="shared" si="116"/>
        <v>6221.83</v>
      </c>
      <c r="AU55" s="16">
        <f t="shared" ref="AU55:AZ55" si="117">AU53-AU54</f>
        <v>4941</v>
      </c>
      <c r="AV55" s="16">
        <f t="shared" si="117"/>
        <v>5641</v>
      </c>
      <c r="AW55" s="16">
        <f t="shared" si="117"/>
        <v>6149</v>
      </c>
      <c r="AX55" s="16">
        <f t="shared" si="117"/>
        <v>5861</v>
      </c>
      <c r="AY55" s="16">
        <f t="shared" si="117"/>
        <v>4291</v>
      </c>
      <c r="AZ55" s="16">
        <f t="shared" si="117"/>
        <v>5650</v>
      </c>
      <c r="BA55" s="16">
        <f t="shared" ref="BA55:BB55" si="118">BA53-BA54</f>
        <v>5184.8430299999982</v>
      </c>
      <c r="BB55" s="16">
        <f t="shared" si="118"/>
        <v>5080.47768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19">+BM53-BM54</f>
        <v>12268</v>
      </c>
      <c r="BN55" s="16">
        <f t="shared" si="119"/>
        <v>13336</v>
      </c>
      <c r="BO55" s="16">
        <f t="shared" si="119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20">+BS53-BS54</f>
        <v>21430.200424999995</v>
      </c>
      <c r="BT55" s="16">
        <f t="shared" si="120"/>
        <v>29847.318540000004</v>
      </c>
      <c r="BU55" s="16">
        <f t="shared" si="120"/>
        <v>29253.578874525003</v>
      </c>
      <c r="BV55" s="16">
        <f t="shared" si="120"/>
        <v>28956.041286458254</v>
      </c>
      <c r="BW55" s="16">
        <f t="shared" si="120"/>
        <v>28080.492917664993</v>
      </c>
      <c r="BX55" s="16">
        <f t="shared" si="120"/>
        <v>27955.596717104905</v>
      </c>
      <c r="BY55" s="16">
        <f t="shared" si="120"/>
        <v>20312.419612937643</v>
      </c>
      <c r="BZ55" s="15">
        <f>BY55*(1+$CB$58)</f>
        <v>20109.295416808265</v>
      </c>
      <c r="CA55" s="15">
        <f t="shared" ref="CA55:EL55" si="121">BZ55*(1+$CB$58)</f>
        <v>19908.202462640184</v>
      </c>
      <c r="CB55" s="15">
        <f t="shared" si="121"/>
        <v>19709.120438013782</v>
      </c>
      <c r="CC55" s="15">
        <f t="shared" si="121"/>
        <v>19512.029233633646</v>
      </c>
      <c r="CD55" s="15">
        <f t="shared" si="121"/>
        <v>19316.908941297308</v>
      </c>
      <c r="CE55" s="15">
        <f t="shared" si="121"/>
        <v>19123.739851884337</v>
      </c>
      <c r="CF55" s="15">
        <f t="shared" si="121"/>
        <v>18932.502453365494</v>
      </c>
      <c r="CG55" s="15">
        <f t="shared" si="121"/>
        <v>18743.177428831837</v>
      </c>
      <c r="CH55" s="15">
        <f t="shared" si="121"/>
        <v>18555.74565454352</v>
      </c>
      <c r="CI55" s="15">
        <f t="shared" si="121"/>
        <v>18370.188197998083</v>
      </c>
      <c r="CJ55" s="15">
        <f t="shared" si="121"/>
        <v>18186.486316018101</v>
      </c>
      <c r="CK55" s="15">
        <f t="shared" si="121"/>
        <v>18004.621452857918</v>
      </c>
      <c r="CL55" s="15">
        <f t="shared" si="121"/>
        <v>17824.57523832934</v>
      </c>
      <c r="CM55" s="15">
        <f t="shared" si="121"/>
        <v>17646.329485946047</v>
      </c>
      <c r="CN55" s="15">
        <f t="shared" si="121"/>
        <v>17469.866191086589</v>
      </c>
      <c r="CO55" s="15">
        <f t="shared" si="121"/>
        <v>17295.167529175724</v>
      </c>
      <c r="CP55" s="15">
        <f t="shared" si="121"/>
        <v>17122.215853883965</v>
      </c>
      <c r="CQ55" s="15">
        <f t="shared" si="121"/>
        <v>16950.993695345125</v>
      </c>
      <c r="CR55" s="15">
        <f t="shared" si="121"/>
        <v>16781.483758391674</v>
      </c>
      <c r="CS55" s="15">
        <f t="shared" si="121"/>
        <v>16613.668920807759</v>
      </c>
      <c r="CT55" s="15">
        <f t="shared" si="121"/>
        <v>16447.532231599682</v>
      </c>
      <c r="CU55" s="15">
        <f t="shared" si="121"/>
        <v>16283.056909283685</v>
      </c>
      <c r="CV55" s="15">
        <f t="shared" si="121"/>
        <v>16120.226340190848</v>
      </c>
      <c r="CW55" s="15">
        <f t="shared" si="121"/>
        <v>15959.024076788939</v>
      </c>
      <c r="CX55" s="15">
        <f t="shared" si="121"/>
        <v>15799.43383602105</v>
      </c>
      <c r="CY55" s="15">
        <f t="shared" si="121"/>
        <v>15641.439497660838</v>
      </c>
      <c r="CZ55" s="15">
        <f t="shared" si="121"/>
        <v>15485.025102684229</v>
      </c>
      <c r="DA55" s="15">
        <f t="shared" si="121"/>
        <v>15330.174851657386</v>
      </c>
      <c r="DB55" s="15">
        <f t="shared" si="121"/>
        <v>15176.873103140812</v>
      </c>
      <c r="DC55" s="15">
        <f t="shared" si="121"/>
        <v>15025.104372109403</v>
      </c>
      <c r="DD55" s="15">
        <f t="shared" si="121"/>
        <v>14874.853328388308</v>
      </c>
      <c r="DE55" s="15">
        <f t="shared" si="121"/>
        <v>14726.104795104426</v>
      </c>
      <c r="DF55" s="15">
        <f t="shared" si="121"/>
        <v>14578.843747153382</v>
      </c>
      <c r="DG55" s="15">
        <f t="shared" si="121"/>
        <v>14433.055309681848</v>
      </c>
      <c r="DH55" s="15">
        <f t="shared" si="121"/>
        <v>14288.724756585028</v>
      </c>
      <c r="DI55" s="15">
        <f t="shared" si="121"/>
        <v>14145.837509019178</v>
      </c>
      <c r="DJ55" s="15">
        <f t="shared" si="121"/>
        <v>14004.379133928987</v>
      </c>
      <c r="DK55" s="15">
        <f t="shared" si="121"/>
        <v>13864.335342589697</v>
      </c>
      <c r="DL55" s="15">
        <f t="shared" si="121"/>
        <v>13725.691989163799</v>
      </c>
      <c r="DM55" s="15">
        <f t="shared" si="121"/>
        <v>13588.43506927216</v>
      </c>
      <c r="DN55" s="15">
        <f t="shared" si="121"/>
        <v>13452.550718579438</v>
      </c>
      <c r="DO55" s="15">
        <f t="shared" si="121"/>
        <v>13318.025211393644</v>
      </c>
      <c r="DP55" s="15">
        <f t="shared" si="121"/>
        <v>13184.844959279708</v>
      </c>
      <c r="DQ55" s="15">
        <f t="shared" si="121"/>
        <v>13052.996509686911</v>
      </c>
      <c r="DR55" s="15">
        <f t="shared" si="121"/>
        <v>12922.466544590041</v>
      </c>
      <c r="DS55" s="15">
        <f t="shared" si="121"/>
        <v>12793.24187914414</v>
      </c>
      <c r="DT55" s="15">
        <f t="shared" si="121"/>
        <v>12665.309460352699</v>
      </c>
      <c r="DU55" s="15">
        <f t="shared" si="121"/>
        <v>12538.656365749172</v>
      </c>
      <c r="DV55" s="15">
        <f t="shared" si="121"/>
        <v>12413.26980209168</v>
      </c>
      <c r="DW55" s="15">
        <f t="shared" si="121"/>
        <v>12289.137104070762</v>
      </c>
      <c r="DX55" s="15">
        <f t="shared" si="121"/>
        <v>12166.245733030055</v>
      </c>
      <c r="DY55" s="15">
        <f t="shared" si="121"/>
        <v>12044.583275699753</v>
      </c>
      <c r="DZ55" s="15">
        <f t="shared" si="121"/>
        <v>11924.137442942756</v>
      </c>
      <c r="EA55" s="15">
        <f t="shared" si="121"/>
        <v>11804.896068513328</v>
      </c>
      <c r="EB55" s="15">
        <f t="shared" si="121"/>
        <v>11686.847107828195</v>
      </c>
      <c r="EC55" s="15">
        <f t="shared" si="121"/>
        <v>11569.978636749913</v>
      </c>
      <c r="ED55" s="15">
        <f t="shared" si="121"/>
        <v>11454.278850382414</v>
      </c>
      <c r="EE55" s="15">
        <f t="shared" si="121"/>
        <v>11339.73606187859</v>
      </c>
      <c r="EF55" s="15">
        <f t="shared" si="121"/>
        <v>11226.338701259803</v>
      </c>
      <c r="EG55" s="15">
        <f t="shared" si="121"/>
        <v>11114.075314247206</v>
      </c>
      <c r="EH55" s="15">
        <f t="shared" si="121"/>
        <v>11002.934561104734</v>
      </c>
      <c r="EI55" s="15">
        <f t="shared" si="121"/>
        <v>10892.905215493687</v>
      </c>
      <c r="EJ55" s="15">
        <f t="shared" si="121"/>
        <v>10783.97616333875</v>
      </c>
      <c r="EK55" s="15">
        <f t="shared" si="121"/>
        <v>10676.136401705362</v>
      </c>
      <c r="EL55" s="15">
        <f t="shared" si="121"/>
        <v>10569.375037688309</v>
      </c>
      <c r="EM55" s="15">
        <f t="shared" ref="EM55:GV55" si="122">EL55*(1+$CB$58)</f>
        <v>10463.681287311425</v>
      </c>
      <c r="EN55" s="15">
        <f t="shared" si="122"/>
        <v>10359.044474438311</v>
      </c>
      <c r="EO55" s="15">
        <f t="shared" si="122"/>
        <v>10255.454029693929</v>
      </c>
      <c r="EP55" s="15">
        <f t="shared" si="122"/>
        <v>10152.899489396988</v>
      </c>
      <c r="EQ55" s="15">
        <f t="shared" si="122"/>
        <v>10051.370494503019</v>
      </c>
      <c r="ER55" s="15">
        <f t="shared" si="122"/>
        <v>9950.856789557989</v>
      </c>
      <c r="ES55" s="15">
        <f t="shared" si="122"/>
        <v>9851.3482216624088</v>
      </c>
      <c r="ET55" s="15">
        <f t="shared" si="122"/>
        <v>9752.8347394457851</v>
      </c>
      <c r="EU55" s="15">
        <f t="shared" si="122"/>
        <v>9655.3063920513268</v>
      </c>
      <c r="EV55" s="15">
        <f t="shared" si="122"/>
        <v>9558.7533281308133</v>
      </c>
      <c r="EW55" s="15">
        <f t="shared" si="122"/>
        <v>9463.1657948495049</v>
      </c>
      <c r="EX55" s="15">
        <f t="shared" si="122"/>
        <v>9368.5341369010093</v>
      </c>
      <c r="EY55" s="15">
        <f t="shared" si="122"/>
        <v>9274.8487955319997</v>
      </c>
      <c r="EZ55" s="15">
        <f t="shared" si="122"/>
        <v>9182.1003075766803</v>
      </c>
      <c r="FA55" s="15">
        <f t="shared" si="122"/>
        <v>9090.279304500913</v>
      </c>
      <c r="FB55" s="15">
        <f t="shared" si="122"/>
        <v>8999.3765114559046</v>
      </c>
      <c r="FC55" s="15">
        <f t="shared" si="122"/>
        <v>8909.3827463413454</v>
      </c>
      <c r="FD55" s="15">
        <f t="shared" si="122"/>
        <v>8820.2889188779318</v>
      </c>
      <c r="FE55" s="15">
        <f t="shared" si="122"/>
        <v>8732.0860296891533</v>
      </c>
      <c r="FF55" s="15">
        <f t="shared" si="122"/>
        <v>8644.7651693922617</v>
      </c>
      <c r="FG55" s="15">
        <f t="shared" si="122"/>
        <v>8558.3175176983386</v>
      </c>
      <c r="FH55" s="15">
        <f t="shared" si="122"/>
        <v>8472.7343425213548</v>
      </c>
      <c r="FI55" s="15">
        <f t="shared" si="122"/>
        <v>8388.006999096142</v>
      </c>
      <c r="FJ55" s="15">
        <f t="shared" si="122"/>
        <v>8304.1269291051813</v>
      </c>
      <c r="FK55" s="15">
        <f t="shared" si="122"/>
        <v>8221.085659814129</v>
      </c>
      <c r="FL55" s="15">
        <f t="shared" si="122"/>
        <v>8138.8748032159874</v>
      </c>
      <c r="FM55" s="15">
        <f t="shared" si="122"/>
        <v>8057.4860551838274</v>
      </c>
      <c r="FN55" s="15">
        <f t="shared" si="122"/>
        <v>7976.911194631989</v>
      </c>
      <c r="FO55" s="15">
        <f t="shared" si="122"/>
        <v>7897.1420826856693</v>
      </c>
      <c r="FP55" s="15">
        <f t="shared" si="122"/>
        <v>7818.1706618588123</v>
      </c>
      <c r="FQ55" s="15">
        <f t="shared" si="122"/>
        <v>7739.9889552402237</v>
      </c>
      <c r="FR55" s="15">
        <f t="shared" si="122"/>
        <v>7662.5890656878219</v>
      </c>
      <c r="FS55" s="15">
        <f t="shared" si="122"/>
        <v>7585.9631750309436</v>
      </c>
      <c r="FT55" s="15">
        <f t="shared" si="122"/>
        <v>7510.1035432806339</v>
      </c>
      <c r="FU55" s="15">
        <f t="shared" si="122"/>
        <v>7435.0025078478275</v>
      </c>
      <c r="FV55" s="15">
        <f t="shared" si="122"/>
        <v>7360.6524827693493</v>
      </c>
      <c r="FW55" s="15">
        <f t="shared" si="122"/>
        <v>7287.0459579416556</v>
      </c>
      <c r="FX55" s="15">
        <f t="shared" si="122"/>
        <v>7214.1754983622386</v>
      </c>
      <c r="FY55" s="15">
        <f t="shared" si="122"/>
        <v>7142.0337433786162</v>
      </c>
      <c r="FZ55" s="15">
        <f t="shared" si="122"/>
        <v>7070.6134059448304</v>
      </c>
      <c r="GA55" s="15">
        <f t="shared" si="122"/>
        <v>6999.9072718853822</v>
      </c>
      <c r="GB55" s="15">
        <f t="shared" si="122"/>
        <v>6929.908199166528</v>
      </c>
      <c r="GC55" s="15">
        <f t="shared" si="122"/>
        <v>6860.6091171748631</v>
      </c>
      <c r="GD55" s="15">
        <f t="shared" si="122"/>
        <v>6792.0030260031144</v>
      </c>
      <c r="GE55" s="15">
        <f t="shared" si="122"/>
        <v>6724.0829957430833</v>
      </c>
      <c r="GF55" s="15">
        <f t="shared" si="122"/>
        <v>6656.8421657856525</v>
      </c>
      <c r="GG55" s="15">
        <f t="shared" si="122"/>
        <v>6590.2737441277959</v>
      </c>
      <c r="GH55" s="15">
        <f t="shared" si="122"/>
        <v>6524.3710066865178</v>
      </c>
      <c r="GI55" s="15">
        <f t="shared" si="122"/>
        <v>6459.127296619653</v>
      </c>
      <c r="GJ55" s="15">
        <f t="shared" si="122"/>
        <v>6394.5360236534561</v>
      </c>
      <c r="GK55" s="15">
        <f t="shared" si="122"/>
        <v>6330.5906634169214</v>
      </c>
      <c r="GL55" s="15">
        <f t="shared" si="122"/>
        <v>6267.2847567827521</v>
      </c>
      <c r="GM55" s="15">
        <f t="shared" si="122"/>
        <v>6204.6119092149247</v>
      </c>
      <c r="GN55" s="15">
        <f t="shared" si="122"/>
        <v>6142.5657901227751</v>
      </c>
      <c r="GO55" s="15">
        <f t="shared" si="122"/>
        <v>6081.140132221547</v>
      </c>
      <c r="GP55" s="15">
        <f t="shared" si="122"/>
        <v>6020.3287308993313</v>
      </c>
      <c r="GQ55" s="15">
        <f t="shared" si="122"/>
        <v>5960.1254435903384</v>
      </c>
      <c r="GR55" s="15">
        <f t="shared" si="122"/>
        <v>5900.5241891544347</v>
      </c>
      <c r="GS55" s="15">
        <f t="shared" si="122"/>
        <v>5841.5189472628899</v>
      </c>
      <c r="GT55" s="15">
        <f t="shared" si="122"/>
        <v>5783.1037577902607</v>
      </c>
      <c r="GU55" s="15">
        <f t="shared" si="122"/>
        <v>5725.2727202123579</v>
      </c>
      <c r="GV55" s="15">
        <f t="shared" si="122"/>
        <v>5668.0199930102344</v>
      </c>
    </row>
    <row r="56" spans="2:204" s="14" customFormat="1" x14ac:dyDescent="0.2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f t="shared" ref="W56:X56" si="123">W55/W57</f>
        <v>1.2932002495321273</v>
      </c>
      <c r="X56" s="3">
        <f t="shared" si="123"/>
        <v>1.24125</v>
      </c>
      <c r="Y56" s="3">
        <f t="shared" ref="Y56" si="124">Y55/Y57</f>
        <v>1.4235807860262009</v>
      </c>
      <c r="Z56" s="3">
        <f t="shared" ref="Z56:AA56" si="125">Z55/Z57</f>
        <v>1.4937578027465668</v>
      </c>
      <c r="AA56" s="3">
        <f t="shared" si="125"/>
        <v>1.8847117794486214</v>
      </c>
      <c r="AB56" s="3">
        <f t="shared" ref="AB56:AC56" si="126">AB55/AB57</f>
        <v>1.9993638676844783</v>
      </c>
      <c r="AC56" s="3">
        <f t="shared" si="126"/>
        <v>2.1485148514851486</v>
      </c>
      <c r="AD56" s="3">
        <f t="shared" ref="AD56:AH56" si="127">AD55/AD57</f>
        <v>1.9067288474350432</v>
      </c>
      <c r="AE56" s="3">
        <f t="shared" si="127"/>
        <v>2.1564396493594065</v>
      </c>
      <c r="AF56" s="3">
        <f t="shared" si="127"/>
        <v>2.2749326145552562</v>
      </c>
      <c r="AG56" s="3">
        <f t="shared" ref="AG56" si="128">AG55/AG57</f>
        <v>2.3385030343897504</v>
      </c>
      <c r="AH56" s="3">
        <f t="shared" si="127"/>
        <v>2.2181818181818183</v>
      </c>
      <c r="AI56" s="3">
        <f t="shared" ref="AI56:AJ56" si="129">AI55/AI57</f>
        <v>2.4346361185983829</v>
      </c>
      <c r="AJ56" s="3">
        <f t="shared" si="129"/>
        <v>2.3642987249544625</v>
      </c>
      <c r="AK56" s="3">
        <f t="shared" ref="AK56:AQ56" si="130">AK55/AK57</f>
        <v>3.5152198421645999</v>
      </c>
      <c r="AL56" s="3">
        <f t="shared" si="130"/>
        <v>3.6188063063063063</v>
      </c>
      <c r="AM56" s="3">
        <f t="shared" si="130"/>
        <v>2.9532394366197181</v>
      </c>
      <c r="AN56" s="3">
        <f t="shared" si="130"/>
        <v>3.1171171171171173</v>
      </c>
      <c r="AO56" s="3">
        <f t="shared" si="130"/>
        <v>3.3134496342149689</v>
      </c>
      <c r="AP56" s="3">
        <f t="shared" si="130"/>
        <v>3.3278965129358831</v>
      </c>
      <c r="AQ56" s="3">
        <f t="shared" si="130"/>
        <v>3.2699662542182226</v>
      </c>
      <c r="AR56" s="3">
        <f t="shared" ref="AR56:AT56" si="131">AR55/AR57</f>
        <v>3.6418918918918921</v>
      </c>
      <c r="AS56" s="3">
        <f t="shared" si="131"/>
        <v>3.7201576576576576</v>
      </c>
      <c r="AT56" s="3">
        <f t="shared" si="131"/>
        <v>3.5032826576576577</v>
      </c>
      <c r="AU56" s="3">
        <f t="shared" ref="AU56:AZ56" si="132">AU55/AU57</f>
        <v>2.7820945945945947</v>
      </c>
      <c r="AV56" s="3">
        <f t="shared" si="132"/>
        <v>3.1852060982495765</v>
      </c>
      <c r="AW56" s="3">
        <f t="shared" si="132"/>
        <v>3.4720496894409938</v>
      </c>
      <c r="AX56" s="3">
        <f t="shared" si="132"/>
        <v>3.3075620767494356</v>
      </c>
      <c r="AY56" s="3">
        <f t="shared" si="132"/>
        <v>2.4215575620767495</v>
      </c>
      <c r="AZ56" s="3">
        <f t="shared" si="132"/>
        <v>3.1884875846501131</v>
      </c>
      <c r="BA56" s="3">
        <f t="shared" ref="BA56:BB56" si="133">BA55/BA57</f>
        <v>2.925983651241534</v>
      </c>
      <c r="BB56" s="3">
        <f t="shared" si="133"/>
        <v>2.8670867268623024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34">+BM55/BM57</f>
        <v>7.9353169469598965</v>
      </c>
      <c r="BN56" s="3">
        <f t="shared" si="134"/>
        <v>8.9880370682392581</v>
      </c>
      <c r="BO56" s="3">
        <f t="shared" si="134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35">+BS55/BS57</f>
        <v>12.093792564898417</v>
      </c>
      <c r="BT56" s="3">
        <f t="shared" si="135"/>
        <v>16.843859221218963</v>
      </c>
      <c r="BU56" s="3">
        <f t="shared" si="135"/>
        <v>16.508791689912531</v>
      </c>
      <c r="BV56" s="3">
        <f t="shared" si="135"/>
        <v>16.340881087166057</v>
      </c>
      <c r="BW56" s="3">
        <f t="shared" si="135"/>
        <v>15.846779298908009</v>
      </c>
      <c r="BX56" s="3">
        <f t="shared" si="135"/>
        <v>15.776296115747689</v>
      </c>
      <c r="BY56" s="3">
        <f t="shared" si="135"/>
        <v>11.462990752222145</v>
      </c>
    </row>
    <row r="57" spans="2:204" s="15" customFormat="1" x14ac:dyDescent="0.2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36">+AZ57</f>
        <v>1772</v>
      </c>
      <c r="BB57" s="16">
        <f t="shared" si="136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T57:BY57" si="137">BS57</f>
        <v>1772</v>
      </c>
      <c r="BU57" s="16">
        <f t="shared" si="137"/>
        <v>1772</v>
      </c>
      <c r="BV57" s="16">
        <f t="shared" si="137"/>
        <v>1772</v>
      </c>
      <c r="BW57" s="16">
        <f t="shared" si="137"/>
        <v>1772</v>
      </c>
      <c r="BX57" s="16">
        <f t="shared" si="137"/>
        <v>1772</v>
      </c>
      <c r="BY57" s="16">
        <f t="shared" si="137"/>
        <v>1772</v>
      </c>
      <c r="CA57" s="48" t="s">
        <v>244</v>
      </c>
      <c r="CB57" s="29">
        <v>0.06</v>
      </c>
    </row>
    <row r="58" spans="2:204" x14ac:dyDescent="0.2">
      <c r="CA58" s="45" t="s">
        <v>245</v>
      </c>
      <c r="CB58" s="29">
        <v>-0.01</v>
      </c>
    </row>
    <row r="59" spans="2:204" s="32" customFormat="1" x14ac:dyDescent="0.2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>
        <f t="shared" ref="AA59:AK59" si="138">+AA45/W45-1</f>
        <v>0.21352095442031205</v>
      </c>
      <c r="AB59" s="33">
        <f t="shared" si="138"/>
        <v>0.18922811059907829</v>
      </c>
      <c r="AC59" s="33">
        <f t="shared" si="138"/>
        <v>0.1774124374553252</v>
      </c>
      <c r="AD59" s="33">
        <f t="shared" si="138"/>
        <v>7.3136064090967734E-2</v>
      </c>
      <c r="AE59" s="33">
        <f t="shared" si="138"/>
        <v>-1.3360221830098329E-2</v>
      </c>
      <c r="AF59" s="33">
        <f t="shared" si="138"/>
        <v>-3.6328408815688995E-4</v>
      </c>
      <c r="AG59" s="33">
        <f t="shared" si="138"/>
        <v>2.9504613890237952E-2</v>
      </c>
      <c r="AH59" s="33">
        <f t="shared" si="138"/>
        <v>4.8043347381095725E-2</v>
      </c>
      <c r="AI59" s="33">
        <f t="shared" si="138"/>
        <v>0.10104752171691356</v>
      </c>
      <c r="AJ59" s="33">
        <f t="shared" si="138"/>
        <v>0.26287098728043601</v>
      </c>
      <c r="AK59" s="33">
        <f t="shared" si="138"/>
        <v>0.51928293430829098</v>
      </c>
      <c r="AL59" s="33">
        <f t="shared" ref="AL59:AP59" si="139">+AL45/AH45-1</f>
        <v>0.59214154411764697</v>
      </c>
      <c r="AM59" s="33">
        <f t="shared" si="139"/>
        <v>0.50075414781297134</v>
      </c>
      <c r="AN59" s="33">
        <f t="shared" si="139"/>
        <v>0.3389928057553957</v>
      </c>
      <c r="AO59" s="33">
        <f t="shared" si="139"/>
        <v>0.11333643844123586</v>
      </c>
      <c r="AP59" s="33">
        <f t="shared" si="139"/>
        <v>7.4180978496175554E-2</v>
      </c>
      <c r="AQ59" s="33">
        <f>+AQ45/AM45-1</f>
        <v>4.6617703904135999E-2</v>
      </c>
      <c r="AR59" s="33">
        <f t="shared" ref="AR59" si="140">+AR45/AN45-1</f>
        <v>4.4702342574683085E-2</v>
      </c>
      <c r="AS59" s="33">
        <f>+AS45/AO45-1</f>
        <v>3.2770882722074957E-2</v>
      </c>
      <c r="AT59" s="33">
        <f t="shared" ref="AT59" si="141">+AT45/AP45-1</f>
        <v>1.5786645169958424E-2</v>
      </c>
      <c r="AU59" s="33">
        <f t="shared" ref="AU59" si="142">+AU45/AQ45-1</f>
        <v>-9.6986260895257748E-2</v>
      </c>
      <c r="AV59" s="33">
        <f t="shared" ref="AV59" si="143">+AV45/AR45-1</f>
        <v>-4.9235411095110759E-2</v>
      </c>
      <c r="AW59" s="33">
        <f t="shared" ref="AW59" si="144">+AW45/AS45-1</f>
        <v>-5.9748852281933607E-2</v>
      </c>
      <c r="AX59" s="33">
        <f t="shared" ref="AX59:BB59" si="145">+AX45/AT45-1</f>
        <v>-5.4229217644335637E-2</v>
      </c>
      <c r="AY59" s="33">
        <f t="shared" si="145"/>
        <v>6.952965235173858E-3</v>
      </c>
      <c r="AZ59" s="33">
        <f t="shared" si="145"/>
        <v>4.3058059862964404E-2</v>
      </c>
      <c r="BA59" s="33">
        <f t="shared" si="145"/>
        <v>-3.9887269332950503E-2</v>
      </c>
      <c r="BB59" s="33">
        <f t="shared" si="145"/>
        <v>-3.4512271869099997E-2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46">+BR45/BQ45-1</f>
        <v>-6.0859642449600626E-2</v>
      </c>
      <c r="BS59" s="33">
        <f t="shared" si="146"/>
        <v>-6.7577966788173738E-3</v>
      </c>
      <c r="BT59" s="33">
        <f t="shared" si="146"/>
        <v>1.2073304389748296E-2</v>
      </c>
      <c r="BU59" s="33">
        <f t="shared" si="146"/>
        <v>-2.8133988907719343E-2</v>
      </c>
      <c r="BV59" s="33">
        <f t="shared" si="146"/>
        <v>-1.8845698826908897E-2</v>
      </c>
      <c r="BW59" s="33">
        <f t="shared" si="146"/>
        <v>-3.9300878147953466E-2</v>
      </c>
      <c r="BX59" s="33">
        <f t="shared" si="146"/>
        <v>-1.3746453366613953E-2</v>
      </c>
      <c r="BY59" s="33">
        <f t="shared" si="146"/>
        <v>-0.28977706070670384</v>
      </c>
      <c r="CA59" s="51" t="s">
        <v>247</v>
      </c>
      <c r="CB59" s="33" t="s">
        <v>203</v>
      </c>
    </row>
    <row r="60" spans="2:204" s="32" customFormat="1" x14ac:dyDescent="0.2">
      <c r="B60" s="32" t="s">
        <v>252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>
        <v>5.6000000000000001E-2</v>
      </c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2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E61:AY61" si="147">+AE5/AA5-1</f>
        <v>-5.5850499044383106E-2</v>
      </c>
      <c r="AF61" s="30">
        <f t="shared" si="147"/>
        <v>-6.0752169720347138E-2</v>
      </c>
      <c r="AG61" s="30">
        <f t="shared" si="147"/>
        <v>-3.669008587041378E-2</v>
      </c>
      <c r="AH61" s="30">
        <f t="shared" si="147"/>
        <v>-2.0333468889788264E-4</v>
      </c>
      <c r="AI61" s="30">
        <f t="shared" si="147"/>
        <v>5.7804768331084055E-2</v>
      </c>
      <c r="AJ61" s="30">
        <f t="shared" si="147"/>
        <v>-6.7761806981520012E-3</v>
      </c>
      <c r="AK61" s="30">
        <f t="shared" si="147"/>
        <v>4.1329011345218714E-2</v>
      </c>
      <c r="AL61" s="30">
        <f t="shared" si="147"/>
        <v>4.7793369941020902E-2</v>
      </c>
      <c r="AM61" s="30">
        <f t="shared" si="147"/>
        <v>3.4871358707208255E-2</v>
      </c>
      <c r="AN61" s="30">
        <f t="shared" si="147"/>
        <v>4.7756874095513657E-2</v>
      </c>
      <c r="AO61" s="30">
        <f t="shared" si="147"/>
        <v>5.5447470817120648E-2</v>
      </c>
      <c r="AP61" s="30">
        <f t="shared" si="147"/>
        <v>3.5326086956521729E-2</v>
      </c>
      <c r="AQ61" s="30">
        <f t="shared" si="147"/>
        <v>-2.6915964659954827E-2</v>
      </c>
      <c r="AR61" s="30">
        <f t="shared" si="147"/>
        <v>5.8208366219415941E-2</v>
      </c>
      <c r="AS61" s="30">
        <f t="shared" si="147"/>
        <v>2.4700460829493176E-2</v>
      </c>
      <c r="AT61" s="30">
        <f t="shared" si="147"/>
        <v>4.5931758530183719E-2</v>
      </c>
      <c r="AU61" s="30">
        <f t="shared" si="147"/>
        <v>-0.25232263513513509</v>
      </c>
      <c r="AV61" s="30">
        <f t="shared" si="147"/>
        <v>-0.25191124370688045</v>
      </c>
      <c r="AW61" s="30">
        <f t="shared" si="147"/>
        <v>-0.36193559992804458</v>
      </c>
      <c r="AX61" s="30">
        <f t="shared" si="147"/>
        <v>-0.40777917189460477</v>
      </c>
      <c r="AY61" s="30">
        <f t="shared" si="147"/>
        <v>-0.35893815306410615</v>
      </c>
      <c r="AZ61" s="30">
        <f t="shared" ref="AZ61" si="148">+AZ5/AV5-1</f>
        <v>-0.29860418743768691</v>
      </c>
      <c r="BA61" s="30">
        <f t="shared" ref="BA61" si="149">+BA5/AW5-1</f>
        <v>-0.4</v>
      </c>
      <c r="BB61" s="30">
        <f t="shared" ref="BB61" si="150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51">+BN5/BM5-1</f>
        <v>-3.8473113964687E-2</v>
      </c>
      <c r="BO61" s="30">
        <f t="shared" si="151"/>
        <v>3.4587093745109376E-2</v>
      </c>
      <c r="BP61" s="30">
        <f t="shared" si="151"/>
        <v>4.3465106897942807E-2</v>
      </c>
      <c r="BQ61" s="30">
        <f t="shared" si="151"/>
        <v>2.623948970716139E-2</v>
      </c>
      <c r="BR61" s="30">
        <f t="shared" si="151"/>
        <v>-0.32174977633375712</v>
      </c>
      <c r="BS61" s="30">
        <f t="shared" si="151"/>
        <v>-0.36166342682588171</v>
      </c>
      <c r="BT61" s="30">
        <f t="shared" si="151"/>
        <v>-9.9999999999999867E-2</v>
      </c>
      <c r="BU61" s="30">
        <f t="shared" si="151"/>
        <v>-0.19999999999999996</v>
      </c>
      <c r="BV61" s="30">
        <f t="shared" si="151"/>
        <v>-0.19999999999999996</v>
      </c>
      <c r="BW61" s="30">
        <f t="shared" si="151"/>
        <v>-0.5</v>
      </c>
      <c r="BX61" s="30">
        <f t="shared" si="151"/>
        <v>-0.5</v>
      </c>
      <c r="BY61" s="30">
        <f t="shared" si="151"/>
        <v>-0.5</v>
      </c>
      <c r="CA61" s="32" t="s">
        <v>246</v>
      </c>
      <c r="CB61" s="17">
        <f>NPV(CB57,BR55:GV55)+Main!K5-Main!K6</f>
        <v>284392.13603923819</v>
      </c>
    </row>
    <row r="62" spans="2:204" s="29" customFormat="1" x14ac:dyDescent="0.2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:AY62" si="152">+AE7/AA7-1</f>
        <v>0.34120734908136474</v>
      </c>
      <c r="AF62" s="30">
        <f t="shared" si="152"/>
        <v>0.29294117647058826</v>
      </c>
      <c r="AG62" s="30">
        <f t="shared" si="152"/>
        <v>0.29320987654320985</v>
      </c>
      <c r="AH62" s="30">
        <f t="shared" si="152"/>
        <v>0.28827037773359843</v>
      </c>
      <c r="AI62" s="30">
        <f t="shared" si="152"/>
        <v>0.20547945205479445</v>
      </c>
      <c r="AJ62" s="30">
        <f t="shared" si="152"/>
        <v>0.17197452229299359</v>
      </c>
      <c r="AK62" s="30">
        <f t="shared" si="152"/>
        <v>8.9896579156722334E-2</v>
      </c>
      <c r="AL62" s="30">
        <f t="shared" si="152"/>
        <v>9.8765432098765427E-2</v>
      </c>
      <c r="AM62" s="30">
        <f t="shared" si="152"/>
        <v>2.9220779220779258E-2</v>
      </c>
      <c r="AN62" s="30">
        <f t="shared" si="152"/>
        <v>7.2204968944099335E-2</v>
      </c>
      <c r="AO62" s="30">
        <f t="shared" si="152"/>
        <v>2.9197080291971655E-3</v>
      </c>
      <c r="AP62" s="30">
        <f t="shared" si="152"/>
        <v>-2.73876404494382E-2</v>
      </c>
      <c r="AQ62" s="30">
        <f t="shared" si="152"/>
        <v>-7.4921135646687675E-2</v>
      </c>
      <c r="AR62" s="30">
        <f t="shared" si="152"/>
        <v>-0.17089065894279509</v>
      </c>
      <c r="AS62" s="30">
        <f t="shared" si="152"/>
        <v>-0.17394468704512378</v>
      </c>
      <c r="AT62" s="30">
        <f t="shared" si="152"/>
        <v>-0.19494584837545126</v>
      </c>
      <c r="AU62" s="30">
        <f t="shared" si="152"/>
        <v>-0.25149190110826936</v>
      </c>
      <c r="AV62" s="30">
        <f t="shared" si="152"/>
        <v>-0.20786026200873364</v>
      </c>
      <c r="AW62" s="30">
        <f t="shared" si="152"/>
        <v>-0.19999999999999996</v>
      </c>
      <c r="AX62" s="30">
        <f t="shared" si="152"/>
        <v>-0.19013452914798201</v>
      </c>
      <c r="AY62" s="30">
        <f t="shared" si="152"/>
        <v>-4.5558086560364419E-2</v>
      </c>
      <c r="AZ62" s="30">
        <f t="shared" ref="AZ62:AZ63" si="153">+AZ7/AV7-1</f>
        <v>-8.158765159867698E-2</v>
      </c>
      <c r="BA62" s="30">
        <f t="shared" ref="BA62:BA63" si="154">+BA7/AW7-1</f>
        <v>-5.0000000000000155E-2</v>
      </c>
      <c r="BB62" s="30">
        <f t="shared" ref="BB62:BB63" si="155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56">+BN7/BM7-1</f>
        <v>0.30194986072423391</v>
      </c>
      <c r="BO62" s="30">
        <f t="shared" si="156"/>
        <v>0.13692768506632436</v>
      </c>
      <c r="BP62" s="30">
        <f t="shared" si="156"/>
        <v>1.7689123071132906E-2</v>
      </c>
      <c r="BQ62" s="30">
        <f t="shared" si="156"/>
        <v>-0.15532544378698221</v>
      </c>
      <c r="BR62" s="30">
        <f t="shared" si="156"/>
        <v>-0.21278458844133097</v>
      </c>
      <c r="BS62" s="30">
        <f t="shared" si="156"/>
        <v>-5.6882647385984475E-2</v>
      </c>
      <c r="BT62" s="30">
        <f t="shared" si="156"/>
        <v>-9.9999999999999978E-2</v>
      </c>
      <c r="BU62" s="30">
        <f t="shared" si="156"/>
        <v>-0.10000000000000009</v>
      </c>
      <c r="BV62" s="30">
        <f t="shared" si="156"/>
        <v>-9.9999999999999978E-2</v>
      </c>
      <c r="BW62" s="30">
        <f t="shared" si="156"/>
        <v>-9.9999999999999978E-2</v>
      </c>
      <c r="BX62" s="30">
        <f t="shared" si="156"/>
        <v>-9.9999999999999978E-2</v>
      </c>
      <c r="BY62" s="30">
        <f t="shared" si="156"/>
        <v>-9.9999999999999978E-2</v>
      </c>
      <c r="CA62" s="51" t="s">
        <v>248</v>
      </c>
      <c r="CB62" s="14">
        <f>CB61/Main!K3</f>
        <v>160.58279844112829</v>
      </c>
    </row>
    <row r="63" spans="2:204" s="29" customFormat="1" x14ac:dyDescent="0.2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69" t="s">
        <v>203</v>
      </c>
      <c r="X63" s="69" t="s">
        <v>203</v>
      </c>
      <c r="Y63" s="69" t="s">
        <v>203</v>
      </c>
      <c r="Z63" s="69" t="s">
        <v>203</v>
      </c>
      <c r="AA63" s="69" t="s">
        <v>203</v>
      </c>
      <c r="AB63" s="69" t="s">
        <v>203</v>
      </c>
      <c r="AC63" s="69" t="s">
        <v>203</v>
      </c>
      <c r="AD63" s="69" t="s">
        <v>203</v>
      </c>
      <c r="AE63" s="69" t="s">
        <v>203</v>
      </c>
      <c r="AF63" s="69" t="s">
        <v>203</v>
      </c>
      <c r="AG63" s="69" t="s">
        <v>203</v>
      </c>
      <c r="AH63" s="69" t="s">
        <v>203</v>
      </c>
      <c r="AI63" s="69" t="s">
        <v>203</v>
      </c>
      <c r="AJ63" s="30">
        <f t="shared" ref="AJ63:AY63" si="157">+AJ8/AF8-1</f>
        <v>5.875</v>
      </c>
      <c r="AK63" s="30">
        <f t="shared" si="157"/>
        <v>3.7802197802197801</v>
      </c>
      <c r="AL63" s="30">
        <f t="shared" si="157"/>
        <v>1.4305555555555554</v>
      </c>
      <c r="AM63" s="30">
        <f t="shared" si="157"/>
        <v>0.91333333333333333</v>
      </c>
      <c r="AN63" s="30">
        <f t="shared" si="157"/>
        <v>1.0424242424242425</v>
      </c>
      <c r="AO63" s="30">
        <f t="shared" si="157"/>
        <v>0.8298850574712644</v>
      </c>
      <c r="AP63" s="30">
        <f t="shared" si="157"/>
        <v>0.7047619047619047</v>
      </c>
      <c r="AQ63" s="30">
        <f t="shared" si="157"/>
        <v>0.63763066202090601</v>
      </c>
      <c r="AR63" s="30">
        <f t="shared" si="157"/>
        <v>0.85756676557863498</v>
      </c>
      <c r="AS63" s="30">
        <f t="shared" si="157"/>
        <v>0.75502512562814061</v>
      </c>
      <c r="AT63" s="30">
        <f t="shared" si="157"/>
        <v>0.76089385474860327</v>
      </c>
      <c r="AU63" s="30">
        <f t="shared" si="157"/>
        <v>0.44680851063829796</v>
      </c>
      <c r="AV63" s="30">
        <f t="shared" si="157"/>
        <v>0.5039936102236422</v>
      </c>
      <c r="AW63" s="30">
        <f t="shared" si="157"/>
        <v>0.52183249821045097</v>
      </c>
      <c r="AX63" s="30">
        <f t="shared" si="157"/>
        <v>0.51903553299492389</v>
      </c>
      <c r="AY63" s="30">
        <f t="shared" si="157"/>
        <v>0.4764705882352942</v>
      </c>
      <c r="AZ63" s="30">
        <f t="shared" si="153"/>
        <v>0.44822092405735536</v>
      </c>
      <c r="BA63" s="30">
        <f t="shared" si="154"/>
        <v>0.25</v>
      </c>
      <c r="BB63" s="30">
        <f t="shared" si="155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69" t="s">
        <v>203</v>
      </c>
      <c r="BO63" s="30">
        <f t="shared" ref="BO63:BY63" si="158">+BO8/BN8-1</f>
        <v>3.47887323943662</v>
      </c>
      <c r="BP63" s="30">
        <f t="shared" si="158"/>
        <v>0.84842767295597477</v>
      </c>
      <c r="BQ63" s="30">
        <f t="shared" si="158"/>
        <v>0.75740047635250085</v>
      </c>
      <c r="BR63" s="30">
        <f t="shared" si="158"/>
        <v>0.50300096805421113</v>
      </c>
      <c r="BS63" s="30">
        <f t="shared" si="158"/>
        <v>0.32233672549272185</v>
      </c>
      <c r="BT63" s="30">
        <f t="shared" si="158"/>
        <v>0.30000000000000004</v>
      </c>
      <c r="BU63" s="30">
        <f t="shared" si="158"/>
        <v>3.0000000000000027E-2</v>
      </c>
      <c r="BV63" s="30">
        <f t="shared" si="158"/>
        <v>3.0000000000000027E-2</v>
      </c>
      <c r="BW63" s="30">
        <f t="shared" si="158"/>
        <v>3.0000000000000027E-2</v>
      </c>
      <c r="BX63" s="30">
        <f t="shared" si="158"/>
        <v>3.0000000000000027E-2</v>
      </c>
      <c r="BY63" s="30">
        <f t="shared" si="158"/>
        <v>3.0000000000000027E-2</v>
      </c>
    </row>
    <row r="64" spans="2:204" s="29" customFormat="1" x14ac:dyDescent="0.2">
      <c r="B64" s="70" t="s">
        <v>323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59">+AE3/AA3-1</f>
        <v>-5.5850499044383106E-2</v>
      </c>
      <c r="AF64" s="30">
        <f t="shared" si="159"/>
        <v>-5.1494696239151372E-2</v>
      </c>
      <c r="AG64" s="30">
        <f t="shared" si="159"/>
        <v>-1.6198282591725177E-2</v>
      </c>
      <c r="AH64" s="30">
        <f t="shared" si="159"/>
        <v>5.0427002846685554E-2</v>
      </c>
      <c r="AI64" s="30">
        <f t="shared" si="159"/>
        <v>0.14462438146648671</v>
      </c>
      <c r="AJ64" s="30">
        <f t="shared" si="159"/>
        <v>8.0927206181374611E-2</v>
      </c>
      <c r="AK64" s="30">
        <f t="shared" si="159"/>
        <v>0.14858163062884344</v>
      </c>
      <c r="AL64" s="30">
        <f t="shared" si="159"/>
        <v>0.1533101045296168</v>
      </c>
      <c r="AM64" s="30">
        <f t="shared" si="159"/>
        <v>0.1287089801532717</v>
      </c>
      <c r="AN64" s="30">
        <f t="shared" si="159"/>
        <v>0.15124153498871329</v>
      </c>
      <c r="AO64" s="30">
        <f t="shared" si="159"/>
        <v>0.15267702936096716</v>
      </c>
      <c r="AP64" s="30">
        <f t="shared" si="159"/>
        <v>0.13225914736488753</v>
      </c>
      <c r="AQ64" s="30">
        <f t="shared" si="159"/>
        <v>6.9115598885793883E-2</v>
      </c>
      <c r="AR64" s="30">
        <f t="shared" si="159"/>
        <v>0.17761437908496736</v>
      </c>
      <c r="AS64" s="30">
        <f t="shared" si="159"/>
        <v>0.14638897213065638</v>
      </c>
      <c r="AT64" s="30">
        <f t="shared" si="159"/>
        <v>0.17477023421286697</v>
      </c>
      <c r="AU64" s="30">
        <f t="shared" si="159"/>
        <v>-9.0213320306139044E-2</v>
      </c>
      <c r="AV64" s="30">
        <f t="shared" si="159"/>
        <v>-5.4669071735812369E-2</v>
      </c>
      <c r="AW64" s="30">
        <f t="shared" si="159"/>
        <v>-0.11344922232387922</v>
      </c>
      <c r="AX64" s="30">
        <f t="shared" si="159"/>
        <v>-0.12264984227129339</v>
      </c>
      <c r="AY64" s="30">
        <f t="shared" si="159"/>
        <v>-3.8661177734025443E-2</v>
      </c>
      <c r="AZ64" s="30">
        <f t="shared" ref="AZ64" si="160">+AZ3/AV3-1</f>
        <v>2.3190958461764222E-2</v>
      </c>
      <c r="BA64" s="30">
        <f t="shared" ref="BA64" si="161">+BA3/AW3-1</f>
        <v>-9.8083443903877354E-2</v>
      </c>
      <c r="BB64" s="30">
        <f t="shared" ref="BB64" si="162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-5.0317569635751402E-2</v>
      </c>
      <c r="BT64" s="30">
        <f>+Model!BT3/Model!BS3-1</f>
        <v>9.3508293414017896E-2</v>
      </c>
      <c r="BU64" s="30">
        <f>+Model!BU3/Model!BT3-1</f>
        <v>-4.0123499273815422E-2</v>
      </c>
      <c r="BV64" s="30">
        <f>+Model!BV3/Model!BU3-1</f>
        <v>-2.8443767897861072E-2</v>
      </c>
      <c r="BW64" s="30">
        <f>+Model!BW3/Model!BV3-1</f>
        <v>-8.0894060521745748E-2</v>
      </c>
      <c r="BX64" s="30">
        <f>+Model!BX3/Model!BW3-1</f>
        <v>-3.0327137361715106E-2</v>
      </c>
      <c r="BY64" s="30">
        <f>+Model!BY3/Model!BX3-1</f>
        <v>-0.25731995111292227</v>
      </c>
    </row>
    <row r="65" spans="2:76" s="29" customFormat="1" x14ac:dyDescent="0.2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63">AN9/AJ9-1</f>
        <v>1.584070796460177</v>
      </c>
      <c r="AO65" s="30">
        <f t="shared" si="163"/>
        <v>0.38676844783715003</v>
      </c>
      <c r="AP65" s="30">
        <f t="shared" si="163"/>
        <v>0.26977687626774838</v>
      </c>
      <c r="AQ65" s="30">
        <f t="shared" si="163"/>
        <v>0.34381551362683438</v>
      </c>
      <c r="AR65" s="30">
        <f t="shared" si="163"/>
        <v>0.19006849315068486</v>
      </c>
      <c r="AS65" s="30">
        <f t="shared" si="163"/>
        <v>0.16880733944954129</v>
      </c>
      <c r="AT65" s="30">
        <f t="shared" si="163"/>
        <v>2.5559105431310014E-2</v>
      </c>
      <c r="AU65" s="30">
        <f t="shared" si="163"/>
        <v>2.808112324492984E-2</v>
      </c>
      <c r="AV65" s="30">
        <f t="shared" si="163"/>
        <v>-1.4388489208633115E-2</v>
      </c>
      <c r="AW65" s="30">
        <f t="shared" si="163"/>
        <v>-2.6687598116169498E-2</v>
      </c>
      <c r="AX65" s="30">
        <f t="shared" si="163"/>
        <v>0.11838006230529596</v>
      </c>
      <c r="AY65" s="30">
        <f t="shared" si="163"/>
        <v>-3.9453717754172946E-2</v>
      </c>
      <c r="AZ65" s="30">
        <f t="shared" ref="AZ65:AZ66" si="164">AZ9/AV9-1</f>
        <v>6.4233576642335866E-2</v>
      </c>
      <c r="BA65" s="30">
        <f t="shared" ref="BA65:BA66" si="165">BA9/AW9-1</f>
        <v>-3.0000000000000027E-2</v>
      </c>
      <c r="BB65" s="30">
        <f t="shared" ref="BB65:BB66" si="166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2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63"/>
        <v>1.0303030303030303</v>
      </c>
      <c r="AO66" s="30">
        <f t="shared" si="163"/>
        <v>0.23326959847036322</v>
      </c>
      <c r="AP66" s="30">
        <f t="shared" si="163"/>
        <v>0.18342151675485008</v>
      </c>
      <c r="AQ66" s="30">
        <f t="shared" si="163"/>
        <v>0.15413533834586457</v>
      </c>
      <c r="AR66" s="30">
        <f t="shared" si="163"/>
        <v>0.12437810945273631</v>
      </c>
      <c r="AS66" s="30">
        <f t="shared" si="163"/>
        <v>8.3720930232558111E-2</v>
      </c>
      <c r="AT66" s="30">
        <f t="shared" si="163"/>
        <v>8.4947839046199736E-2</v>
      </c>
      <c r="AU66" s="30">
        <f t="shared" si="163"/>
        <v>0.17100977198697076</v>
      </c>
      <c r="AV66" s="30">
        <f t="shared" si="163"/>
        <v>0.10324483775811211</v>
      </c>
      <c r="AW66" s="30">
        <f t="shared" si="163"/>
        <v>7.0100143061516462E-2</v>
      </c>
      <c r="AX66" s="30">
        <f t="shared" si="163"/>
        <v>6.5934065934065922E-2</v>
      </c>
      <c r="AY66" s="30">
        <f t="shared" si="163"/>
        <v>4.0333796940194677E-2</v>
      </c>
      <c r="AZ66" s="30">
        <f t="shared" si="164"/>
        <v>8.8235294117646967E-2</v>
      </c>
      <c r="BA66" s="30">
        <f t="shared" si="165"/>
        <v>3.0000000000000027E-2</v>
      </c>
      <c r="BB66" s="30">
        <f t="shared" si="166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2">
      <c r="B67" s="53" t="s">
        <v>250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67">AK12/AG12-1</f>
        <v>14.357142857142858</v>
      </c>
      <c r="AL67" s="30">
        <f t="shared" si="167"/>
        <v>7.5151515151515156</v>
      </c>
      <c r="AM67" s="30">
        <f t="shared" si="167"/>
        <v>2.5232558139534884</v>
      </c>
      <c r="AN67" s="30">
        <f t="shared" si="167"/>
        <v>1.5369127516778525</v>
      </c>
      <c r="AO67" s="30">
        <f t="shared" si="167"/>
        <v>1.1069767441860465</v>
      </c>
      <c r="AP67" s="30">
        <f t="shared" si="167"/>
        <v>0.83985765124555156</v>
      </c>
      <c r="AQ67" s="30">
        <f t="shared" si="167"/>
        <v>0.53465346534653468</v>
      </c>
      <c r="AR67" s="30">
        <f t="shared" si="167"/>
        <v>0.56613756613756605</v>
      </c>
      <c r="AS67" s="30">
        <f t="shared" si="167"/>
        <v>0.53421633554083892</v>
      </c>
      <c r="AT67" s="30">
        <f t="shared" si="167"/>
        <v>0.4893617021276595</v>
      </c>
      <c r="AU67" s="30">
        <f t="shared" si="167"/>
        <v>0.47526881720430114</v>
      </c>
      <c r="AV67" s="30">
        <f t="shared" si="167"/>
        <v>0.55067567567567566</v>
      </c>
      <c r="AW67" s="30">
        <f t="shared" si="167"/>
        <v>0.59712230215827344</v>
      </c>
      <c r="AX67" s="30">
        <f t="shared" si="167"/>
        <v>0.62987012987012991</v>
      </c>
      <c r="AY67" s="30">
        <f t="shared" si="167"/>
        <v>0.59329446064139946</v>
      </c>
      <c r="AZ67" s="30">
        <f t="shared" ref="AZ67" si="168">AZ12/AV12-1</f>
        <v>0.55773420479302827</v>
      </c>
      <c r="BA67" s="30">
        <f t="shared" ref="BA67" si="169">BA12/AW12-1</f>
        <v>0.19999999999999996</v>
      </c>
      <c r="BB67" s="30">
        <f t="shared" ref="BB67" si="170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2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2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71">+Y47/Y45</f>
        <v>0.80814867762687637</v>
      </c>
      <c r="Z69" s="30">
        <f t="shared" ref="Z69" si="172">+Z47/Z45</f>
        <v>0.78989533531464018</v>
      </c>
      <c r="AA69" s="30">
        <f t="shared" ref="AA69" si="173">+AA47/AA45</f>
        <v>0.80186538946307029</v>
      </c>
      <c r="AB69" s="30">
        <f t="shared" ref="AB69:AG69" si="174">+AB47/AB45</f>
        <v>0.80540082344393316</v>
      </c>
      <c r="AC69" s="30">
        <f t="shared" si="174"/>
        <v>0.81677999028654691</v>
      </c>
      <c r="AD69" s="30">
        <f t="shared" si="174"/>
        <v>0.79843467790487654</v>
      </c>
      <c r="AE69" s="30">
        <f t="shared" si="174"/>
        <v>0.83354624425140522</v>
      </c>
      <c r="AF69" s="30">
        <f t="shared" si="174"/>
        <v>0.8271350696547547</v>
      </c>
      <c r="AG69" s="30">
        <f t="shared" si="174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75">+AL47/AL45</f>
        <v>0.81793909655072883</v>
      </c>
      <c r="AM69" s="30">
        <f t="shared" si="175"/>
        <v>0.83880943177425593</v>
      </c>
      <c r="AN69" s="30">
        <f t="shared" si="175"/>
        <v>0.82240848198295002</v>
      </c>
      <c r="AO69" s="30">
        <f t="shared" si="175"/>
        <v>0.83175289359921911</v>
      </c>
      <c r="AP69" s="30">
        <f t="shared" si="175"/>
        <v>0.83555018137847648</v>
      </c>
      <c r="AQ69" s="30">
        <f t="shared" si="175"/>
        <v>0.84465947702762589</v>
      </c>
      <c r="AR69" s="30">
        <f t="shared" si="175"/>
        <v>0.85140231776726327</v>
      </c>
      <c r="AS69" s="30">
        <f>+AS47/AS45</f>
        <v>0.85369970294355924</v>
      </c>
      <c r="AT69" s="30">
        <f t="shared" si="175"/>
        <v>0.85</v>
      </c>
      <c r="AU69" s="30">
        <f t="shared" ref="AU69:AX69" si="176">+AU47/AU45</f>
        <v>0.84204498977505116</v>
      </c>
      <c r="AV69" s="30">
        <f t="shared" si="176"/>
        <v>0.84731337901190051</v>
      </c>
      <c r="AW69" s="30">
        <f t="shared" si="176"/>
        <v>0.83478135994830183</v>
      </c>
      <c r="AX69" s="30">
        <f t="shared" si="176"/>
        <v>0.83938186140829307</v>
      </c>
      <c r="AY69" s="30">
        <f t="shared" ref="AY69:BB69" si="177">+AY47/AY45</f>
        <v>0.82875710804224212</v>
      </c>
      <c r="AZ69" s="30">
        <f t="shared" si="177"/>
        <v>0.85237173281703771</v>
      </c>
      <c r="BA69" s="30">
        <f t="shared" si="177"/>
        <v>0.83</v>
      </c>
      <c r="BB69" s="30">
        <f t="shared" si="177"/>
        <v>0.83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78">+BR47/BR45</f>
        <v>0.84082624544349938</v>
      </c>
      <c r="BS69" s="30">
        <f t="shared" si="178"/>
        <v>0.84999999999999987</v>
      </c>
      <c r="BT69" s="30">
        <f t="shared" si="178"/>
        <v>0.85</v>
      </c>
      <c r="BU69" s="30">
        <f t="shared" si="178"/>
        <v>0.85000000000000009</v>
      </c>
      <c r="BV69" s="30">
        <f t="shared" si="178"/>
        <v>0.85</v>
      </c>
      <c r="BW69" s="30"/>
      <c r="BX69" s="30"/>
    </row>
    <row r="70" spans="2:76" s="29" customFormat="1" x14ac:dyDescent="0.2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179">+Y54/Y53</f>
        <v>0.18934280639431617</v>
      </c>
      <c r="Z70" s="30">
        <f t="shared" ref="Z70" si="180">+Z54/Z53</f>
        <v>0.18853848762292302</v>
      </c>
      <c r="AA70" s="30">
        <f t="shared" ref="AA70" si="181">+AA54/AA53</f>
        <v>7.6450721522873813E-2</v>
      </c>
      <c r="AB70" s="30">
        <f t="shared" ref="AB70:AG70" si="182">+AB54/AB53</f>
        <v>9.0040532715691957E-2</v>
      </c>
      <c r="AC70" s="30">
        <f t="shared" si="182"/>
        <v>9.1036023457134879E-2</v>
      </c>
      <c r="AD70" s="30">
        <f t="shared" si="182"/>
        <v>9.1716915264995244E-2</v>
      </c>
      <c r="AE70" s="30">
        <f t="shared" si="182"/>
        <v>7.8917050691244245E-2</v>
      </c>
      <c r="AF70" s="30">
        <f t="shared" si="182"/>
        <v>8.7567567567567561E-2</v>
      </c>
      <c r="AG70" s="30">
        <f t="shared" si="182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183">+AL54/AL53</f>
        <v>9.6443132292984679E-2</v>
      </c>
      <c r="AM70" s="30">
        <f t="shared" si="183"/>
        <v>0.1234113712374582</v>
      </c>
      <c r="AN70" s="30">
        <f t="shared" si="183"/>
        <v>0.12653834017040075</v>
      </c>
      <c r="AO70" s="30">
        <f t="shared" si="183"/>
        <v>0.12783291364242336</v>
      </c>
      <c r="AP70" s="30">
        <f t="shared" si="183"/>
        <v>0.12496302868973676</v>
      </c>
      <c r="AQ70" s="30">
        <f t="shared" si="183"/>
        <v>0.11802184466019418</v>
      </c>
      <c r="AR70" s="30">
        <f t="shared" si="183"/>
        <v>0.12982644961657475</v>
      </c>
      <c r="AS70" s="30">
        <f>+AS54/AS53</f>
        <v>0.1274432118330692</v>
      </c>
      <c r="AT70" s="30">
        <f t="shared" si="183"/>
        <v>0.15</v>
      </c>
      <c r="AU70" s="30">
        <f t="shared" ref="AU70:AX70" si="184">+AU54/AU53</f>
        <v>0.1364907375043691</v>
      </c>
      <c r="AV70" s="30">
        <f t="shared" si="184"/>
        <v>9.4106311225309144E-2</v>
      </c>
      <c r="AW70" s="30">
        <f t="shared" si="184"/>
        <v>2.767235926628716E-2</v>
      </c>
      <c r="AX70" s="30">
        <f t="shared" si="184"/>
        <v>6.2390017597184454E-2</v>
      </c>
      <c r="AY70" s="30">
        <f t="shared" ref="AY70:BB70" si="185">+AY54/AY53</f>
        <v>0.14282860567319217</v>
      </c>
      <c r="AZ70" s="30">
        <f t="shared" si="185"/>
        <v>0.16184542352766651</v>
      </c>
      <c r="BA70" s="30">
        <f t="shared" si="185"/>
        <v>0.1</v>
      </c>
      <c r="BB70" s="30">
        <f t="shared" si="185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186">+BM54/BM53</f>
        <v>8.7406084951275761E-2</v>
      </c>
      <c r="BN70" s="30">
        <f t="shared" ref="BN70:BV70" si="187">+BN54/BN53</f>
        <v>8.5823964902659713E-2</v>
      </c>
      <c r="BO70" s="30">
        <f t="shared" si="187"/>
        <v>0.10015614543832255</v>
      </c>
      <c r="BP70" s="30">
        <f t="shared" si="187"/>
        <v>0.12574038945453136</v>
      </c>
      <c r="BQ70" s="30">
        <f t="shared" si="187"/>
        <v>0.13260849871780578</v>
      </c>
      <c r="BR70" s="30">
        <f t="shared" si="187"/>
        <v>7.8779970641004726E-2</v>
      </c>
      <c r="BS70" s="30">
        <f t="shared" si="187"/>
        <v>0.15</v>
      </c>
      <c r="BT70" s="30">
        <f t="shared" si="187"/>
        <v>0.15</v>
      </c>
      <c r="BU70" s="30">
        <f t="shared" si="187"/>
        <v>0.15</v>
      </c>
      <c r="BV70" s="30">
        <f t="shared" si="187"/>
        <v>0.15</v>
      </c>
      <c r="BW70" s="30"/>
      <c r="BX70" s="30"/>
    </row>
    <row r="72" spans="2:76" x14ac:dyDescent="0.2">
      <c r="B72" s="25" t="s">
        <v>145</v>
      </c>
      <c r="AQ72" s="16">
        <f t="shared" ref="AQ72:AY72" si="188">AQ73-AQ82</f>
        <v>-65642</v>
      </c>
      <c r="AR72" s="16">
        <f t="shared" si="188"/>
        <v>-62727</v>
      </c>
      <c r="AS72" s="16">
        <f t="shared" si="188"/>
        <v>-57492</v>
      </c>
      <c r="AT72" s="16">
        <f t="shared" si="188"/>
        <v>0</v>
      </c>
      <c r="AU72" s="16">
        <f t="shared" si="188"/>
        <v>-55114</v>
      </c>
      <c r="AV72" s="16">
        <f t="shared" si="188"/>
        <v>-51961</v>
      </c>
      <c r="AW72" s="16">
        <f t="shared" si="188"/>
        <v>-47181</v>
      </c>
      <c r="AX72" s="16">
        <f t="shared" si="188"/>
        <v>-46265</v>
      </c>
      <c r="AY72" s="16">
        <f t="shared" si="188"/>
        <v>-55627</v>
      </c>
      <c r="AZ72" s="16">
        <f>+AY72+AZ55</f>
        <v>-49977</v>
      </c>
      <c r="BA72" s="16">
        <f>+AZ72+BA55</f>
        <v>-44792.156970000004</v>
      </c>
      <c r="BB72" s="16">
        <f>+BA72+BB55</f>
        <v>-39711.67929</v>
      </c>
    </row>
    <row r="73" spans="2:76" s="15" customFormat="1" x14ac:dyDescent="0.2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>
        <f>13130+27+272</f>
        <v>13429</v>
      </c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2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>
        <v>11724</v>
      </c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2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>
        <v>4218</v>
      </c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2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>
        <v>4717</v>
      </c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>
        <v>5023</v>
      </c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2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>
        <f>60243+33386</f>
        <v>93629</v>
      </c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2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>
        <v>9197</v>
      </c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2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 t="shared" ref="AU80:AZ80" si="189">SUM(AU73:AU79)</f>
        <v>134544</v>
      </c>
      <c r="AV80" s="16">
        <f t="shared" si="189"/>
        <v>135367</v>
      </c>
      <c r="AW80" s="16">
        <f t="shared" si="189"/>
        <v>136221</v>
      </c>
      <c r="AX80" s="16">
        <f t="shared" si="189"/>
        <v>134711</v>
      </c>
      <c r="AY80" s="16">
        <f t="shared" si="189"/>
        <v>148874</v>
      </c>
      <c r="AZ80" s="16">
        <f t="shared" si="189"/>
        <v>141937</v>
      </c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2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>
        <f>12586+58048</f>
        <v>70634</v>
      </c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2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>
        <v>29329</v>
      </c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2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>
        <v>2726</v>
      </c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2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>
        <v>32427</v>
      </c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2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>
        <v>6821</v>
      </c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2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 t="shared" ref="AU87:AZ87" si="190">SUM(AU82:AU86)</f>
        <v>134544</v>
      </c>
      <c r="AV87" s="16">
        <f t="shared" si="190"/>
        <v>135367</v>
      </c>
      <c r="AW87" s="16">
        <f t="shared" si="190"/>
        <v>136221</v>
      </c>
      <c r="AX87" s="16">
        <f t="shared" si="190"/>
        <v>134711</v>
      </c>
      <c r="AY87" s="16">
        <f t="shared" si="190"/>
        <v>148874</v>
      </c>
      <c r="AZ87" s="16">
        <f t="shared" si="190"/>
        <v>141937</v>
      </c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2">
      <c r="B89" s="65" t="s">
        <v>298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2">
      <c r="B90" s="65" t="s">
        <v>299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2">
      <c r="B91" s="65" t="s">
        <v>300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2">
      <c r="B92" s="65" t="s">
        <v>301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2">
      <c r="B93" s="65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2">
      <c r="B94" s="65" t="s">
        <v>302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2">
      <c r="B95" s="65" t="s">
        <v>303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2">
      <c r="B96" s="62" t="s">
        <v>306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2">
      <c r="B97" s="62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2">
      <c r="B98" s="62" t="s">
        <v>305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2">
      <c r="B99" s="62" t="s">
        <v>304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2">
      <c r="B101" s="65" t="s">
        <v>308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2">
      <c r="B102" s="65" t="s">
        <v>309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2">
      <c r="B103" s="65" t="s">
        <v>307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2">
      <c r="B105" s="62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2">
      <c r="B106" s="62" t="s">
        <v>310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2">
      <c r="B107" s="62" t="s">
        <v>314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2">
      <c r="B108" s="62" t="s">
        <v>315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2">
      <c r="B109" s="62" t="s">
        <v>302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2">
      <c r="B110" s="62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2">
      <c r="B111" s="62" t="s">
        <v>313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2">
      <c r="B112" s="62" t="s">
        <v>312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2">
      <c r="B113" s="62" t="s">
        <v>311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ColWidth="9.140625"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264</v>
      </c>
    </row>
    <row r="4" spans="1:5" x14ac:dyDescent="0.2">
      <c r="B4" s="56" t="s">
        <v>27</v>
      </c>
      <c r="C4" s="56" t="s">
        <v>265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266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227</v>
      </c>
      <c r="C4" s="45" t="s">
        <v>228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229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256</v>
      </c>
    </row>
    <row r="5" spans="1:3" ht="15" x14ac:dyDescent="0.25">
      <c r="B5" s="41" t="s">
        <v>27</v>
      </c>
      <c r="C5"/>
    </row>
    <row r="6" spans="1:3" x14ac:dyDescent="0.2">
      <c r="C6" s="41" t="s">
        <v>216</v>
      </c>
    </row>
    <row r="7" spans="1:3" x14ac:dyDescent="0.2">
      <c r="C7" s="89" t="s">
        <v>404</v>
      </c>
    </row>
    <row r="8" spans="1:3" x14ac:dyDescent="0.2">
      <c r="C8" s="41" t="s">
        <v>217</v>
      </c>
    </row>
    <row r="9" spans="1:3" x14ac:dyDescent="0.2">
      <c r="C9" s="41" t="s">
        <v>218</v>
      </c>
    </row>
    <row r="10" spans="1:3" x14ac:dyDescent="0.2">
      <c r="C10" s="41" t="s">
        <v>219</v>
      </c>
    </row>
    <row r="12" spans="1:3" x14ac:dyDescent="0.2">
      <c r="C12" s="56" t="s">
        <v>257</v>
      </c>
    </row>
    <row r="13" spans="1:3" x14ac:dyDescent="0.2">
      <c r="C13" s="56" t="s">
        <v>258</v>
      </c>
    </row>
    <row r="14" spans="1:3" x14ac:dyDescent="0.2">
      <c r="C14" s="56" t="s">
        <v>259</v>
      </c>
    </row>
    <row r="15" spans="1:3" x14ac:dyDescent="0.2">
      <c r="C15" s="56" t="s">
        <v>263</v>
      </c>
    </row>
    <row r="16" spans="1:3" x14ac:dyDescent="0.2">
      <c r="C16" s="56" t="s">
        <v>262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147</v>
      </c>
      <c r="C2" s="62" t="s">
        <v>292</v>
      </c>
    </row>
    <row r="3" spans="1:3" x14ac:dyDescent="0.2">
      <c r="B3" s="62" t="s">
        <v>190</v>
      </c>
      <c r="C3" s="62" t="s">
        <v>293</v>
      </c>
    </row>
    <row r="4" spans="1:3" x14ac:dyDescent="0.2">
      <c r="B4" s="62" t="s">
        <v>27</v>
      </c>
    </row>
    <row r="5" spans="1:3" x14ac:dyDescent="0.2">
      <c r="B5" s="62" t="s">
        <v>294</v>
      </c>
      <c r="C5" s="63">
        <v>33581</v>
      </c>
    </row>
    <row r="6" spans="1:3" x14ac:dyDescent="0.2">
      <c r="B6" s="62" t="s">
        <v>33</v>
      </c>
      <c r="C6" s="62" t="s">
        <v>295</v>
      </c>
    </row>
    <row r="7" spans="1:3" x14ac:dyDescent="0.2">
      <c r="B7" s="62" t="s">
        <v>296</v>
      </c>
      <c r="C7" s="62" t="s">
        <v>297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223</v>
      </c>
    </row>
    <row r="3" spans="1:3" x14ac:dyDescent="0.2">
      <c r="B3" s="41" t="s">
        <v>190</v>
      </c>
      <c r="C3" s="41" t="s">
        <v>220</v>
      </c>
    </row>
    <row r="4" spans="1:3" x14ac:dyDescent="0.2">
      <c r="B4" s="41" t="s">
        <v>33</v>
      </c>
      <c r="C4" s="41" t="s">
        <v>224</v>
      </c>
    </row>
    <row r="5" spans="1:3" x14ac:dyDescent="0.2">
      <c r="B5" s="41" t="s">
        <v>27</v>
      </c>
      <c r="C5" s="89" t="s">
        <v>402</v>
      </c>
    </row>
    <row r="6" spans="1:3" x14ac:dyDescent="0.2">
      <c r="B6" s="89" t="s">
        <v>36</v>
      </c>
      <c r="C6" s="89" t="s">
        <v>403</v>
      </c>
    </row>
    <row r="7" spans="1:3" x14ac:dyDescent="0.2">
      <c r="B7" s="89" t="s">
        <v>229</v>
      </c>
    </row>
    <row r="8" spans="1:3" x14ac:dyDescent="0.2">
      <c r="C8" s="86" t="s">
        <v>406</v>
      </c>
    </row>
    <row r="11" spans="1:3" x14ac:dyDescent="0.2">
      <c r="C11" s="86" t="s">
        <v>407</v>
      </c>
    </row>
    <row r="14" spans="1:3" x14ac:dyDescent="0.2">
      <c r="C14" s="86" t="s">
        <v>405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2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332</v>
      </c>
    </row>
    <row r="3" spans="1:3" x14ac:dyDescent="0.2">
      <c r="B3" s="85" t="s">
        <v>76</v>
      </c>
      <c r="C3" s="85" t="s">
        <v>347</v>
      </c>
    </row>
    <row r="4" spans="1:3" x14ac:dyDescent="0.2">
      <c r="B4" s="89" t="s">
        <v>27</v>
      </c>
      <c r="C4" s="89" t="s">
        <v>423</v>
      </c>
    </row>
    <row r="5" spans="1:3" x14ac:dyDescent="0.2">
      <c r="B5" s="85" t="s">
        <v>229</v>
      </c>
    </row>
    <row r="6" spans="1:3" x14ac:dyDescent="0.2">
      <c r="C6" s="86" t="s">
        <v>348</v>
      </c>
    </row>
    <row r="11" spans="1:3" x14ac:dyDescent="0.2">
      <c r="C11" s="86" t="s">
        <v>424</v>
      </c>
    </row>
    <row r="12" spans="1:3" x14ac:dyDescent="0.2">
      <c r="C12" s="89" t="s">
        <v>425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2024-09-02T17:53:53Z</dcterms:modified>
</cp:coreProperties>
</file>