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025A2BC-850E-468B-BA32-2E91C40DA432}" xr6:coauthVersionLast="47" xr6:coauthVersionMax="47" xr10:uidLastSave="{00000000-0000-0000-0000-000000000000}"/>
  <bookViews>
    <workbookView xWindow="-30390" yWindow="2040" windowWidth="28650" windowHeight="17400" activeTab="1" xr2:uid="{7CBEE6B4-8223-452C-B8C6-1EC2B28F2C9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2" l="1"/>
  <c r="Q25" i="2"/>
  <c r="Q21" i="2"/>
  <c r="R25" i="2"/>
  <c r="S36" i="2"/>
  <c r="S34" i="2"/>
  <c r="S32" i="2"/>
  <c r="S31" i="2"/>
  <c r="S28" i="2"/>
  <c r="S25" i="2"/>
  <c r="T65" i="2"/>
  <c r="S65" i="2"/>
  <c r="R65" i="2"/>
  <c r="Q65" i="2"/>
  <c r="P65" i="2"/>
  <c r="T55" i="2"/>
  <c r="S55" i="2"/>
  <c r="R55" i="2"/>
  <c r="Q55" i="2"/>
  <c r="P55" i="2"/>
  <c r="T53" i="2"/>
  <c r="T46" i="2"/>
  <c r="T43" i="2"/>
  <c r="S37" i="2"/>
  <c r="T34" i="2"/>
  <c r="T36" i="2" s="1"/>
  <c r="T37" i="2" s="1"/>
  <c r="T31" i="2"/>
  <c r="T25" i="2"/>
  <c r="S21" i="2"/>
  <c r="S26" i="2" s="1"/>
  <c r="S41" i="2" s="1"/>
  <c r="T21" i="2"/>
  <c r="T26" i="2" s="1"/>
  <c r="T28" i="2" s="1"/>
  <c r="T32" i="2" s="1"/>
  <c r="L60" i="2"/>
  <c r="L65" i="2" s="1"/>
  <c r="L53" i="2"/>
  <c r="L46" i="2"/>
  <c r="M24" i="2"/>
  <c r="N65" i="2"/>
  <c r="N46" i="2"/>
  <c r="N45" i="2" s="1"/>
  <c r="N53" i="2"/>
  <c r="N24" i="2"/>
  <c r="O65" i="2"/>
  <c r="O53" i="2"/>
  <c r="O46" i="2"/>
  <c r="R31" i="2"/>
  <c r="Q31" i="2"/>
  <c r="P31" i="2"/>
  <c r="O31" i="2"/>
  <c r="O24" i="2"/>
  <c r="O21" i="2"/>
  <c r="O26" i="2" s="1"/>
  <c r="O28" i="2" s="1"/>
  <c r="AI35" i="2"/>
  <c r="AJ35" i="2"/>
  <c r="AJ33" i="2"/>
  <c r="AI33" i="2"/>
  <c r="AJ31" i="2"/>
  <c r="AI31" i="2"/>
  <c r="AJ6" i="2"/>
  <c r="AI6" i="2"/>
  <c r="AJ5" i="2"/>
  <c r="AI5" i="2"/>
  <c r="AI3" i="2"/>
  <c r="AJ3" i="2"/>
  <c r="M57" i="2"/>
  <c r="M65" i="2" s="1"/>
  <c r="M46" i="2"/>
  <c r="M53" i="2"/>
  <c r="M33" i="2"/>
  <c r="AL22" i="2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AQ19" i="2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AO15" i="2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AK38" i="2"/>
  <c r="AK30" i="2"/>
  <c r="AL29" i="2"/>
  <c r="AK29" i="2"/>
  <c r="AK27" i="2"/>
  <c r="AK25" i="2"/>
  <c r="AK24" i="2"/>
  <c r="AK23" i="2"/>
  <c r="AK22" i="2"/>
  <c r="AK20" i="2"/>
  <c r="AK18" i="2"/>
  <c r="AK15" i="2"/>
  <c r="AK14" i="2"/>
  <c r="AK13" i="2"/>
  <c r="AK12" i="2"/>
  <c r="AK9" i="2"/>
  <c r="AK8" i="2"/>
  <c r="AK7" i="2"/>
  <c r="AK6" i="2"/>
  <c r="AK5" i="2"/>
  <c r="AK4" i="2"/>
  <c r="AK3" i="2"/>
  <c r="AL23" i="2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AA2" i="2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M31" i="2"/>
  <c r="AL25" i="2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AL20" i="2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AL18" i="2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AL15" i="2"/>
  <c r="AL12" i="2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AL9" i="2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AL7" i="2"/>
  <c r="AM7" i="2" s="1"/>
  <c r="AN7" i="2" s="1"/>
  <c r="AO7" i="2" s="1"/>
  <c r="AP7" i="2" s="1"/>
  <c r="AQ7" i="2" s="1"/>
  <c r="AL5" i="2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E35" i="2"/>
  <c r="E33" i="2"/>
  <c r="E31" i="2"/>
  <c r="I35" i="2"/>
  <c r="I33" i="2"/>
  <c r="I31" i="2"/>
  <c r="E21" i="2"/>
  <c r="E26" i="2" s="1"/>
  <c r="E28" i="2" s="1"/>
  <c r="E43" i="2" s="1"/>
  <c r="F35" i="2"/>
  <c r="F33" i="2"/>
  <c r="F31" i="2"/>
  <c r="J35" i="2"/>
  <c r="J33" i="2"/>
  <c r="J31" i="2"/>
  <c r="F21" i="2"/>
  <c r="F26" i="2" s="1"/>
  <c r="F28" i="2" s="1"/>
  <c r="G35" i="2"/>
  <c r="G33" i="2"/>
  <c r="G31" i="2"/>
  <c r="K35" i="2"/>
  <c r="K33" i="2"/>
  <c r="K31" i="2"/>
  <c r="G21" i="2"/>
  <c r="H35" i="2"/>
  <c r="L35" i="2"/>
  <c r="H31" i="2"/>
  <c r="L31" i="2"/>
  <c r="L21" i="2"/>
  <c r="L26" i="2" s="1"/>
  <c r="L28" i="2" s="1"/>
  <c r="K21" i="2"/>
  <c r="J21" i="2"/>
  <c r="J26" i="2" s="1"/>
  <c r="I21" i="2"/>
  <c r="I26" i="2" s="1"/>
  <c r="H21" i="2"/>
  <c r="H26" i="2" s="1"/>
  <c r="H28" i="2" s="1"/>
  <c r="H43" i="2" s="1"/>
  <c r="J4" i="1"/>
  <c r="S43" i="2" l="1"/>
  <c r="S42" i="2"/>
  <c r="O55" i="2"/>
  <c r="O42" i="2"/>
  <c r="N55" i="2"/>
  <c r="L55" i="2"/>
  <c r="O45" i="2"/>
  <c r="L45" i="2"/>
  <c r="R21" i="2"/>
  <c r="P21" i="2"/>
  <c r="L42" i="2"/>
  <c r="O32" i="2"/>
  <c r="O34" i="2" s="1"/>
  <c r="AI21" i="2"/>
  <c r="AI26" i="2" s="1"/>
  <c r="AI28" i="2" s="1"/>
  <c r="AI43" i="2" s="1"/>
  <c r="K42" i="2"/>
  <c r="J42" i="2"/>
  <c r="M55" i="2"/>
  <c r="M45" i="2"/>
  <c r="AJ21" i="2"/>
  <c r="AJ26" i="2" s="1"/>
  <c r="O43" i="2"/>
  <c r="AL33" i="2"/>
  <c r="J7" i="1"/>
  <c r="L32" i="2"/>
  <c r="L34" i="2" s="1"/>
  <c r="AK33" i="2"/>
  <c r="AK21" i="2"/>
  <c r="AK26" i="2" s="1"/>
  <c r="AK31" i="2"/>
  <c r="AL13" i="2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AL14" i="2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AK35" i="2"/>
  <c r="AR7" i="2"/>
  <c r="F32" i="2"/>
  <c r="F34" i="2" s="1"/>
  <c r="F36" i="2" s="1"/>
  <c r="F37" i="2" s="1"/>
  <c r="F43" i="2"/>
  <c r="I41" i="2"/>
  <c r="J41" i="2"/>
  <c r="J28" i="2"/>
  <c r="N31" i="2"/>
  <c r="AL30" i="2"/>
  <c r="AM30" i="2" s="1"/>
  <c r="M21" i="2"/>
  <c r="M26" i="2" s="1"/>
  <c r="AL3" i="2"/>
  <c r="G26" i="2"/>
  <c r="G28" i="2" s="1"/>
  <c r="AL8" i="2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K26" i="2"/>
  <c r="O41" i="2" s="1"/>
  <c r="AL6" i="2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AL38" i="2"/>
  <c r="AM38" i="2" s="1"/>
  <c r="AN38" i="2" s="1"/>
  <c r="AO38" i="2" s="1"/>
  <c r="I28" i="2"/>
  <c r="I43" i="2" s="1"/>
  <c r="AL24" i="2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E32" i="2"/>
  <c r="E34" i="2" s="1"/>
  <c r="E36" i="2" s="1"/>
  <c r="E37" i="2" s="1"/>
  <c r="I32" i="2"/>
  <c r="I34" i="2" s="1"/>
  <c r="I36" i="2" s="1"/>
  <c r="I37" i="2" s="1"/>
  <c r="L41" i="2"/>
  <c r="L43" i="2"/>
  <c r="H32" i="2"/>
  <c r="H34" i="2" s="1"/>
  <c r="H36" i="2" s="1"/>
  <c r="H37" i="2" s="1"/>
  <c r="P26" i="2" l="1"/>
  <c r="P41" i="2" s="1"/>
  <c r="T42" i="2"/>
  <c r="R26" i="2"/>
  <c r="Q26" i="2"/>
  <c r="AI32" i="2"/>
  <c r="AI34" i="2" s="1"/>
  <c r="AI36" i="2" s="1"/>
  <c r="AI37" i="2" s="1"/>
  <c r="AJ41" i="2"/>
  <c r="AJ28" i="2"/>
  <c r="Q42" i="2"/>
  <c r="P42" i="2"/>
  <c r="M42" i="2"/>
  <c r="L36" i="2"/>
  <c r="L37" i="2" s="1"/>
  <c r="AK28" i="2"/>
  <c r="AK41" i="2"/>
  <c r="M28" i="2"/>
  <c r="M41" i="2"/>
  <c r="AL31" i="2"/>
  <c r="AN30" i="2"/>
  <c r="AM31" i="2"/>
  <c r="AM3" i="2"/>
  <c r="N21" i="2"/>
  <c r="AP38" i="2"/>
  <c r="AS7" i="2"/>
  <c r="G32" i="2"/>
  <c r="G34" i="2" s="1"/>
  <c r="G36" i="2" s="1"/>
  <c r="G37" i="2" s="1"/>
  <c r="G43" i="2"/>
  <c r="AL4" i="2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J32" i="2"/>
  <c r="J34" i="2" s="1"/>
  <c r="J36" i="2" s="1"/>
  <c r="J37" i="2" s="1"/>
  <c r="J43" i="2"/>
  <c r="K41" i="2"/>
  <c r="K28" i="2"/>
  <c r="P28" i="2" l="1"/>
  <c r="T41" i="2"/>
  <c r="R28" i="2"/>
  <c r="R43" i="2" s="1"/>
  <c r="R32" i="2"/>
  <c r="R34" i="2" s="1"/>
  <c r="Q28" i="2"/>
  <c r="Q41" i="2"/>
  <c r="N26" i="2"/>
  <c r="R42" i="2"/>
  <c r="AJ43" i="2"/>
  <c r="AJ32" i="2"/>
  <c r="AJ34" i="2" s="1"/>
  <c r="AJ36" i="2" s="1"/>
  <c r="AJ37" i="2" s="1"/>
  <c r="N42" i="2"/>
  <c r="O36" i="2"/>
  <c r="O37" i="2" s="1"/>
  <c r="AK32" i="2"/>
  <c r="AK34" i="2" s="1"/>
  <c r="AK36" i="2" s="1"/>
  <c r="AK37" i="2" s="1"/>
  <c r="AK43" i="2"/>
  <c r="AL21" i="2"/>
  <c r="AL26" i="2" s="1"/>
  <c r="AL41" i="2" s="1"/>
  <c r="AN3" i="2"/>
  <c r="AM21" i="2"/>
  <c r="AM26" i="2" s="1"/>
  <c r="AO30" i="2"/>
  <c r="AN31" i="2"/>
  <c r="AQ38" i="2"/>
  <c r="AT7" i="2"/>
  <c r="M43" i="2"/>
  <c r="M32" i="2"/>
  <c r="M34" i="2" s="1"/>
  <c r="M36" i="2" s="1"/>
  <c r="M37" i="2" s="1"/>
  <c r="K32" i="2"/>
  <c r="K34" i="2" s="1"/>
  <c r="K36" i="2" s="1"/>
  <c r="K37" i="2" s="1"/>
  <c r="K43" i="2"/>
  <c r="P43" i="2" l="1"/>
  <c r="P32" i="2"/>
  <c r="P34" i="2" s="1"/>
  <c r="P36" i="2" s="1"/>
  <c r="P37" i="2" s="1"/>
  <c r="Q43" i="2"/>
  <c r="Q32" i="2"/>
  <c r="Q34" i="2" s="1"/>
  <c r="N28" i="2"/>
  <c r="N43" i="2" s="1"/>
  <c r="R41" i="2"/>
  <c r="N41" i="2"/>
  <c r="AM28" i="2"/>
  <c r="AM43" i="2" s="1"/>
  <c r="AM41" i="2"/>
  <c r="AP30" i="2"/>
  <c r="AO31" i="2"/>
  <c r="AO3" i="2"/>
  <c r="AN21" i="2"/>
  <c r="AN26" i="2" s="1"/>
  <c r="AR38" i="2"/>
  <c r="AU7" i="2"/>
  <c r="AL27" i="2"/>
  <c r="AL28" i="2" s="1"/>
  <c r="N32" i="2" l="1"/>
  <c r="N34" i="2" s="1"/>
  <c r="AL35" i="2" s="1"/>
  <c r="AM32" i="2"/>
  <c r="AM34" i="2" s="1"/>
  <c r="AM35" i="2" s="1"/>
  <c r="AM36" i="2" s="1"/>
  <c r="AM37" i="2" s="1"/>
  <c r="AM27" i="2"/>
  <c r="R36" i="2"/>
  <c r="R37" i="2" s="1"/>
  <c r="Q36" i="2"/>
  <c r="Q37" i="2" s="1"/>
  <c r="AL32" i="2"/>
  <c r="AL34" i="2" s="1"/>
  <c r="AL43" i="2"/>
  <c r="AN28" i="2"/>
  <c r="AN43" i="2" s="1"/>
  <c r="AN41" i="2"/>
  <c r="AP3" i="2"/>
  <c r="AO21" i="2"/>
  <c r="AO26" i="2" s="1"/>
  <c r="AQ30" i="2"/>
  <c r="AP31" i="2"/>
  <c r="AS38" i="2"/>
  <c r="AV7" i="2"/>
  <c r="AN27" i="2" l="1"/>
  <c r="AN32" i="2"/>
  <c r="AN34" i="2" s="1"/>
  <c r="AN35" i="2" s="1"/>
  <c r="AN36" i="2" s="1"/>
  <c r="AN37" i="2" s="1"/>
  <c r="AL36" i="2"/>
  <c r="AL37" i="2" s="1"/>
  <c r="N36" i="2"/>
  <c r="N37" i="2" s="1"/>
  <c r="AO28" i="2"/>
  <c r="AO32" i="2" s="1"/>
  <c r="AO34" i="2" s="1"/>
  <c r="AO35" i="2" s="1"/>
  <c r="AO36" i="2" s="1"/>
  <c r="AO37" i="2" s="1"/>
  <c r="AO41" i="2"/>
  <c r="AR30" i="2"/>
  <c r="AQ31" i="2"/>
  <c r="AQ3" i="2"/>
  <c r="AP21" i="2"/>
  <c r="AP26" i="2" s="1"/>
  <c r="AT38" i="2"/>
  <c r="AW7" i="2"/>
  <c r="AP28" i="2" l="1"/>
  <c r="AP32" i="2" s="1"/>
  <c r="AP34" i="2" s="1"/>
  <c r="AP41" i="2"/>
  <c r="AO27" i="2"/>
  <c r="AO43" i="2"/>
  <c r="AR3" i="2"/>
  <c r="AQ21" i="2"/>
  <c r="AQ26" i="2" s="1"/>
  <c r="AS30" i="2"/>
  <c r="AR31" i="2"/>
  <c r="AU38" i="2"/>
  <c r="AX7" i="2"/>
  <c r="AQ28" i="2" l="1"/>
  <c r="AQ32" i="2" s="1"/>
  <c r="AQ34" i="2" s="1"/>
  <c r="AQ35" i="2" s="1"/>
  <c r="AQ36" i="2" s="1"/>
  <c r="AQ37" i="2" s="1"/>
  <c r="AQ41" i="2"/>
  <c r="AP27" i="2"/>
  <c r="AP43" i="2"/>
  <c r="AP35" i="2"/>
  <c r="AP36" i="2" s="1"/>
  <c r="AP37" i="2" s="1"/>
  <c r="AS31" i="2"/>
  <c r="AT30" i="2"/>
  <c r="AS3" i="2"/>
  <c r="AR21" i="2"/>
  <c r="AR26" i="2" s="1"/>
  <c r="AV38" i="2"/>
  <c r="AY7" i="2"/>
  <c r="AR28" i="2" l="1"/>
  <c r="AR32" i="2" s="1"/>
  <c r="AR34" i="2" s="1"/>
  <c r="AR35" i="2" s="1"/>
  <c r="AR36" i="2" s="1"/>
  <c r="AR37" i="2" s="1"/>
  <c r="AR41" i="2"/>
  <c r="AQ27" i="2"/>
  <c r="AQ43" i="2"/>
  <c r="AU30" i="2"/>
  <c r="AT31" i="2"/>
  <c r="AT3" i="2"/>
  <c r="AS21" i="2"/>
  <c r="AS26" i="2" s="1"/>
  <c r="AW38" i="2"/>
  <c r="AZ7" i="2"/>
  <c r="AS28" i="2" l="1"/>
  <c r="AS41" i="2"/>
  <c r="AR27" i="2"/>
  <c r="AR43" i="2"/>
  <c r="AU3" i="2"/>
  <c r="AT21" i="2"/>
  <c r="AT26" i="2" s="1"/>
  <c r="AS32" i="2"/>
  <c r="AS34" i="2" s="1"/>
  <c r="AS35" i="2" s="1"/>
  <c r="AS36" i="2" s="1"/>
  <c r="AS37" i="2" s="1"/>
  <c r="AV30" i="2"/>
  <c r="AU31" i="2"/>
  <c r="AX38" i="2"/>
  <c r="BA7" i="2"/>
  <c r="AT28" i="2" l="1"/>
  <c r="AT32" i="2" s="1"/>
  <c r="AT34" i="2" s="1"/>
  <c r="AT35" i="2" s="1"/>
  <c r="AT36" i="2" s="1"/>
  <c r="AT37" i="2" s="1"/>
  <c r="AT41" i="2"/>
  <c r="AS27" i="2"/>
  <c r="AS43" i="2"/>
  <c r="AW30" i="2"/>
  <c r="AV31" i="2"/>
  <c r="AV3" i="2"/>
  <c r="AU21" i="2"/>
  <c r="AU26" i="2" s="1"/>
  <c r="AY38" i="2"/>
  <c r="BB7" i="2"/>
  <c r="AU28" i="2" l="1"/>
  <c r="AU32" i="2" s="1"/>
  <c r="AU34" i="2" s="1"/>
  <c r="AU35" i="2" s="1"/>
  <c r="AU36" i="2" s="1"/>
  <c r="AU37" i="2" s="1"/>
  <c r="AU41" i="2"/>
  <c r="AT27" i="2"/>
  <c r="AT43" i="2"/>
  <c r="AW3" i="2"/>
  <c r="AV21" i="2"/>
  <c r="AV26" i="2" s="1"/>
  <c r="AX30" i="2"/>
  <c r="AW31" i="2"/>
  <c r="AZ38" i="2"/>
  <c r="BC7" i="2"/>
  <c r="AV28" i="2" l="1"/>
  <c r="AV32" i="2" s="1"/>
  <c r="AV34" i="2" s="1"/>
  <c r="AV35" i="2" s="1"/>
  <c r="AV41" i="2"/>
  <c r="AU27" i="2"/>
  <c r="AU43" i="2"/>
  <c r="AY30" i="2"/>
  <c r="AX31" i="2"/>
  <c r="AX3" i="2"/>
  <c r="AW21" i="2"/>
  <c r="AW26" i="2" s="1"/>
  <c r="BA38" i="2"/>
  <c r="BD7" i="2"/>
  <c r="AW28" i="2" l="1"/>
  <c r="AW41" i="2"/>
  <c r="AV27" i="2"/>
  <c r="AV43" i="2"/>
  <c r="AV36" i="2"/>
  <c r="AV37" i="2" s="1"/>
  <c r="AY3" i="2"/>
  <c r="AX21" i="2"/>
  <c r="AX26" i="2" s="1"/>
  <c r="AY31" i="2"/>
  <c r="AZ30" i="2"/>
  <c r="AW32" i="2"/>
  <c r="AW34" i="2" s="1"/>
  <c r="BB38" i="2"/>
  <c r="AX28" i="2" l="1"/>
  <c r="AX32" i="2" s="1"/>
  <c r="AX34" i="2" s="1"/>
  <c r="AX35" i="2" s="1"/>
  <c r="AX36" i="2" s="1"/>
  <c r="AX37" i="2" s="1"/>
  <c r="AX41" i="2"/>
  <c r="AW27" i="2"/>
  <c r="AW43" i="2"/>
  <c r="AW35" i="2"/>
  <c r="AW36" i="2" s="1"/>
  <c r="AW37" i="2" s="1"/>
  <c r="BA30" i="2"/>
  <c r="AZ31" i="2"/>
  <c r="AZ3" i="2"/>
  <c r="AY21" i="2"/>
  <c r="AY26" i="2" s="1"/>
  <c r="BC38" i="2"/>
  <c r="AY28" i="2" l="1"/>
  <c r="AY41" i="2"/>
  <c r="AX27" i="2"/>
  <c r="AX43" i="2"/>
  <c r="BB30" i="2"/>
  <c r="BA31" i="2"/>
  <c r="BA3" i="2"/>
  <c r="AZ21" i="2"/>
  <c r="AZ26" i="2" s="1"/>
  <c r="AY32" i="2"/>
  <c r="AY34" i="2" s="1"/>
  <c r="AY35" i="2" s="1"/>
  <c r="AY36" i="2" s="1"/>
  <c r="AY37" i="2" s="1"/>
  <c r="BD38" i="2"/>
  <c r="AZ28" i="2" l="1"/>
  <c r="AZ32" i="2" s="1"/>
  <c r="AZ34" i="2" s="1"/>
  <c r="AZ35" i="2" s="1"/>
  <c r="AZ36" i="2" s="1"/>
  <c r="AZ37" i="2" s="1"/>
  <c r="AZ41" i="2"/>
  <c r="AY27" i="2"/>
  <c r="AY43" i="2"/>
  <c r="BB3" i="2"/>
  <c r="BA21" i="2"/>
  <c r="BA26" i="2" s="1"/>
  <c r="BA41" i="2" s="1"/>
  <c r="BC30" i="2"/>
  <c r="BB31" i="2"/>
  <c r="AZ27" i="2" l="1"/>
  <c r="AZ43" i="2"/>
  <c r="BD30" i="2"/>
  <c r="BD31" i="2" s="1"/>
  <c r="BC31" i="2"/>
  <c r="BA28" i="2"/>
  <c r="BC3" i="2"/>
  <c r="BB21" i="2"/>
  <c r="BB26" i="2" s="1"/>
  <c r="BB28" i="2" l="1"/>
  <c r="BB32" i="2" s="1"/>
  <c r="BB34" i="2" s="1"/>
  <c r="BB41" i="2"/>
  <c r="BA32" i="2"/>
  <c r="BA34" i="2" s="1"/>
  <c r="BA35" i="2" s="1"/>
  <c r="BA36" i="2" s="1"/>
  <c r="BA37" i="2" s="1"/>
  <c r="BA43" i="2"/>
  <c r="BA27" i="2"/>
  <c r="BD3" i="2"/>
  <c r="BD21" i="2" s="1"/>
  <c r="BD26" i="2" s="1"/>
  <c r="BC21" i="2"/>
  <c r="BC26" i="2" s="1"/>
  <c r="BC41" i="2" s="1"/>
  <c r="BD28" i="2" l="1"/>
  <c r="BD32" i="2" s="1"/>
  <c r="BD34" i="2" s="1"/>
  <c r="BD35" i="2" s="1"/>
  <c r="BD36" i="2" s="1"/>
  <c r="BD41" i="2"/>
  <c r="BB27" i="2"/>
  <c r="BB43" i="2"/>
  <c r="BB35" i="2"/>
  <c r="BB36" i="2" s="1"/>
  <c r="BB37" i="2" s="1"/>
  <c r="BC28" i="2"/>
  <c r="BC32" i="2" l="1"/>
  <c r="BC34" i="2" s="1"/>
  <c r="BC35" i="2" s="1"/>
  <c r="BC36" i="2" s="1"/>
  <c r="BC43" i="2"/>
  <c r="BD27" i="2"/>
  <c r="BD43" i="2"/>
  <c r="BC27" i="2"/>
  <c r="BD37" i="2"/>
  <c r="BC37" i="2" l="1"/>
  <c r="BG41" i="2"/>
  <c r="BG43" i="2" s="1"/>
</calcChain>
</file>

<file path=xl/sharedStrings.xml><?xml version="1.0" encoding="utf-8"?>
<sst xmlns="http://schemas.openxmlformats.org/spreadsheetml/2006/main" count="165" uniqueCount="142">
  <si>
    <t>Price</t>
  </si>
  <si>
    <t>Shares</t>
  </si>
  <si>
    <t>MC</t>
  </si>
  <si>
    <t>Cash</t>
  </si>
  <si>
    <t>Debt</t>
  </si>
  <si>
    <t>EV</t>
  </si>
  <si>
    <t>Brand</t>
  </si>
  <si>
    <t>Q222</t>
  </si>
  <si>
    <t>Avonex</t>
  </si>
  <si>
    <t>Tecfidera</t>
  </si>
  <si>
    <t>Indication</t>
  </si>
  <si>
    <t>MOA</t>
  </si>
  <si>
    <t>Approval</t>
  </si>
  <si>
    <t>Economics</t>
  </si>
  <si>
    <t>IP</t>
  </si>
  <si>
    <t>Alzheimer's</t>
  </si>
  <si>
    <t>Multiple Sclerosis</t>
  </si>
  <si>
    <t>litifilimab</t>
  </si>
  <si>
    <t>CLE</t>
  </si>
  <si>
    <t>BIIB122</t>
  </si>
  <si>
    <t>Parkinson's</t>
  </si>
  <si>
    <t>DNLI</t>
  </si>
  <si>
    <t>BIIB800 (tocilizumab)</t>
  </si>
  <si>
    <t>SAGE</t>
  </si>
  <si>
    <t>ALS</t>
  </si>
  <si>
    <t>Spinraza (nusinersen)</t>
  </si>
  <si>
    <t>SMA</t>
  </si>
  <si>
    <t>IONS</t>
  </si>
  <si>
    <t>AL01811</t>
  </si>
  <si>
    <t>GBA2 inhibitor</t>
  </si>
  <si>
    <t>Aduhelm (aducanumab)</t>
  </si>
  <si>
    <t>Vumerity (diroximel fumarate)</t>
  </si>
  <si>
    <t>Tysabri (natalizumab)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</si>
  <si>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</si>
  <si>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</si>
  <si>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</si>
  <si>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</si>
  <si>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</si>
  <si>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</si>
  <si>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</si>
  <si>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</si>
  <si>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</si>
  <si>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</si>
  <si>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</si>
  <si>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</si>
  <si>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</si>
  <si>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Vumerity</t>
  </si>
  <si>
    <t>Plegridy</t>
  </si>
  <si>
    <t>Tysabri</t>
  </si>
  <si>
    <t>Fampyra</t>
  </si>
  <si>
    <t>Spinraza</t>
  </si>
  <si>
    <t>Benepali</t>
  </si>
  <si>
    <t>Imraldi</t>
  </si>
  <si>
    <t>Flixabi</t>
  </si>
  <si>
    <t>Byooviz</t>
  </si>
  <si>
    <t>Fumaderm</t>
  </si>
  <si>
    <t>Aduhelm</t>
  </si>
  <si>
    <t>Product</t>
  </si>
  <si>
    <t>CD20</t>
  </si>
  <si>
    <t>Other</t>
  </si>
  <si>
    <t>COGS</t>
  </si>
  <si>
    <t>Gross Profit</t>
  </si>
  <si>
    <t>R&amp;D</t>
  </si>
  <si>
    <t>SG&amp;A</t>
  </si>
  <si>
    <t>OpEx</t>
  </si>
  <si>
    <t>OpInc</t>
  </si>
  <si>
    <t>Interest Income</t>
  </si>
  <si>
    <t>Pretax Income</t>
  </si>
  <si>
    <t>Taxes</t>
  </si>
  <si>
    <t>Net Income</t>
  </si>
  <si>
    <t>EPS</t>
  </si>
  <si>
    <t>Lunsumio (mosunetuzumab)</t>
  </si>
  <si>
    <t>FL</t>
  </si>
  <si>
    <t>CD20xCD3</t>
  </si>
  <si>
    <t>Ocrevus</t>
  </si>
  <si>
    <t>Rituxan/Gazyva</t>
  </si>
  <si>
    <t>Revenue y/y</t>
  </si>
  <si>
    <t>Gross Margin</t>
  </si>
  <si>
    <t>Terminal</t>
  </si>
  <si>
    <t>Discount</t>
  </si>
  <si>
    <t>NPV</t>
  </si>
  <si>
    <t>Share</t>
  </si>
  <si>
    <t>Q123</t>
  </si>
  <si>
    <t>Q223</t>
  </si>
  <si>
    <t>Q323</t>
  </si>
  <si>
    <t>Q423</t>
  </si>
  <si>
    <t>glofitamab</t>
  </si>
  <si>
    <t>Filed</t>
  </si>
  <si>
    <t>Phase</t>
  </si>
  <si>
    <t>LRRK2</t>
  </si>
  <si>
    <t>Byooviz (ranibizumab)</t>
  </si>
  <si>
    <t>AMD</t>
  </si>
  <si>
    <t>VEGF</t>
  </si>
  <si>
    <t>amyloid-beta mab</t>
  </si>
  <si>
    <t>IFN</t>
  </si>
  <si>
    <t>VLA4</t>
  </si>
  <si>
    <t>III</t>
  </si>
  <si>
    <t>II/III</t>
  </si>
  <si>
    <t>Cambridge, MA</t>
  </si>
  <si>
    <t>L+SE</t>
  </si>
  <si>
    <t>SE</t>
  </si>
  <si>
    <t>AR</t>
  </si>
  <si>
    <t>Inventory</t>
  </si>
  <si>
    <t>OCA</t>
  </si>
  <si>
    <t>PP&amp;E</t>
  </si>
  <si>
    <t>Lease</t>
  </si>
  <si>
    <t>Goodwill</t>
  </si>
  <si>
    <t>DT</t>
  </si>
  <si>
    <t>Assets</t>
  </si>
  <si>
    <t>AP</t>
  </si>
  <si>
    <t>AE</t>
  </si>
  <si>
    <t>Net Debt</t>
  </si>
  <si>
    <t>Leqembi (lecanemab)</t>
  </si>
  <si>
    <t>BIIB080</t>
  </si>
  <si>
    <t>MAPT ASO</t>
  </si>
  <si>
    <t xml:space="preserve">CEO: Chris Viehbacher replaced </t>
  </si>
  <si>
    <t>MDD</t>
  </si>
  <si>
    <t>Leqembi</t>
  </si>
  <si>
    <t>Product y/y</t>
  </si>
  <si>
    <t>OLTL</t>
  </si>
  <si>
    <t>Qalsody (tofersen)</t>
  </si>
  <si>
    <t>Qalsody</t>
  </si>
  <si>
    <t>Rheumatoid Arthritis</t>
  </si>
  <si>
    <t>IL-6</t>
  </si>
  <si>
    <t>7/6/23 full approval PDUFA</t>
  </si>
  <si>
    <t>8/5/23 PDUFA</t>
  </si>
  <si>
    <t>BIIB093 discontinued</t>
  </si>
  <si>
    <t>BIIB132 discontinued</t>
  </si>
  <si>
    <t>Q124</t>
  </si>
  <si>
    <t>Q224</t>
  </si>
  <si>
    <t>Q324</t>
  </si>
  <si>
    <t>Q424</t>
  </si>
  <si>
    <t>Founded: 1978</t>
  </si>
  <si>
    <t>Skyclarys</t>
  </si>
  <si>
    <t>Skyclarys (omaveloxolone)</t>
  </si>
  <si>
    <t>Friedreich's Ataxia</t>
  </si>
  <si>
    <t>Tofidence</t>
  </si>
  <si>
    <t>Zurzuvae</t>
  </si>
  <si>
    <t>Zurzuvae (zuranolone)</t>
  </si>
  <si>
    <t>40</t>
  </si>
  <si>
    <t>19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</si>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</sst>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/>
    <xf numFmtId="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3" fontId="0" fillId="0" borderId="0" xfId="0" quotePrefix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4031B99-DC9B-4149-BFC4-2899F1BF33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38966</xdr:colOff>
      <xdr:row>0</xdr:row>
      <xdr:rowOff>0</xdr:rowOff>
    </xdr:from>
    <xdr:to>
      <xdr:col>37</xdr:col>
      <xdr:colOff>38966</xdr:colOff>
      <xdr:row>45</xdr:row>
      <xdr:rowOff>43295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7A0164-871D-34D0-FCC8-B9AAC596230D}"/>
            </a:ext>
          </a:extLst>
        </xdr:cNvPr>
        <xdr:cNvCxnSpPr/>
      </xdr:nvCxnSpPr>
      <xdr:spPr>
        <a:xfrm>
          <a:off x="17160734" y="0"/>
          <a:ext cx="0" cy="6222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25982</xdr:colOff>
      <xdr:row>0</xdr:row>
      <xdr:rowOff>0</xdr:rowOff>
    </xdr:from>
    <xdr:to>
      <xdr:col>20</xdr:col>
      <xdr:colOff>25982</xdr:colOff>
      <xdr:row>76</xdr:row>
      <xdr:rowOff>130343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A5D9F34-9F98-4633-80FD-32FC96B7901E}"/>
            </a:ext>
          </a:extLst>
        </xdr:cNvPr>
        <xdr:cNvCxnSpPr/>
      </xdr:nvCxnSpPr>
      <xdr:spPr>
        <a:xfrm>
          <a:off x="12333285" y="0"/>
          <a:ext cx="0" cy="123223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6BA9-19F6-4D66-A355-F53C1BBA84BC}">
  <dimension ref="B2:K28"/>
  <sheetViews>
    <sheetView zoomScale="175" zoomScaleNormal="175" workbookViewId="0">
      <selection activeCell="K4" sqref="K4"/>
    </sheetView>
  </sheetViews>
  <sheetFormatPr defaultRowHeight="12.75" x14ac:dyDescent="0.2"/>
  <cols>
    <col min="1" max="1" width="3.140625" customWidth="1"/>
    <col min="2" max="2" width="26.42578125" customWidth="1"/>
    <col min="3" max="3" width="17.5703125" customWidth="1"/>
    <col min="4" max="4" width="16.140625" customWidth="1"/>
    <col min="6" max="6" width="11.42578125" customWidth="1"/>
  </cols>
  <sheetData>
    <row r="2" spans="2:11" x14ac:dyDescent="0.2">
      <c r="B2" s="8" t="s">
        <v>6</v>
      </c>
      <c r="C2" s="9" t="s">
        <v>10</v>
      </c>
      <c r="D2" s="9" t="s">
        <v>11</v>
      </c>
      <c r="E2" s="9" t="s">
        <v>12</v>
      </c>
      <c r="F2" s="9" t="s">
        <v>13</v>
      </c>
      <c r="G2" s="10" t="s">
        <v>14</v>
      </c>
      <c r="I2" t="s">
        <v>0</v>
      </c>
      <c r="J2" s="17">
        <v>204.76</v>
      </c>
    </row>
    <row r="3" spans="2:11" x14ac:dyDescent="0.2">
      <c r="B3" s="3" t="s">
        <v>32</v>
      </c>
      <c r="C3" t="s">
        <v>16</v>
      </c>
      <c r="D3" t="s">
        <v>95</v>
      </c>
      <c r="G3" s="4"/>
      <c r="I3" t="s">
        <v>1</v>
      </c>
      <c r="J3" s="1">
        <v>145</v>
      </c>
      <c r="K3" s="2" t="s">
        <v>129</v>
      </c>
    </row>
    <row r="4" spans="2:11" x14ac:dyDescent="0.2">
      <c r="B4" s="3" t="s">
        <v>8</v>
      </c>
      <c r="C4" t="s">
        <v>16</v>
      </c>
      <c r="D4" t="s">
        <v>94</v>
      </c>
      <c r="G4" s="4"/>
      <c r="I4" t="s">
        <v>2</v>
      </c>
      <c r="J4" s="1">
        <f>+J2*J3</f>
        <v>29690.199999999997</v>
      </c>
    </row>
    <row r="5" spans="2:11" x14ac:dyDescent="0.2">
      <c r="B5" s="3" t="s">
        <v>30</v>
      </c>
      <c r="C5" t="s">
        <v>15</v>
      </c>
      <c r="D5" t="s">
        <v>93</v>
      </c>
      <c r="G5" s="4"/>
      <c r="I5" t="s">
        <v>3</v>
      </c>
      <c r="J5" s="1">
        <v>7400</v>
      </c>
      <c r="K5" s="2" t="s">
        <v>129</v>
      </c>
    </row>
    <row r="6" spans="2:11" x14ac:dyDescent="0.2">
      <c r="B6" s="3" t="s">
        <v>9</v>
      </c>
      <c r="C6" t="s">
        <v>16</v>
      </c>
      <c r="G6" s="4"/>
      <c r="I6" t="s">
        <v>4</v>
      </c>
      <c r="J6" s="1">
        <v>6283</v>
      </c>
      <c r="K6" s="2" t="s">
        <v>129</v>
      </c>
    </row>
    <row r="7" spans="2:11" x14ac:dyDescent="0.2">
      <c r="B7" s="3" t="s">
        <v>25</v>
      </c>
      <c r="C7" t="s">
        <v>26</v>
      </c>
      <c r="F7" t="s">
        <v>27</v>
      </c>
      <c r="G7" s="4"/>
      <c r="I7" t="s">
        <v>5</v>
      </c>
      <c r="J7" s="1">
        <f>+J4-J5+J6</f>
        <v>28573.199999999997</v>
      </c>
    </row>
    <row r="8" spans="2:11" x14ac:dyDescent="0.2">
      <c r="B8" s="3" t="s">
        <v>31</v>
      </c>
      <c r="C8" t="s">
        <v>16</v>
      </c>
      <c r="G8" s="4"/>
      <c r="J8" s="1"/>
    </row>
    <row r="9" spans="2:11" x14ac:dyDescent="0.2">
      <c r="B9" s="3" t="s">
        <v>51</v>
      </c>
      <c r="G9" s="4"/>
      <c r="I9" t="s">
        <v>132</v>
      </c>
      <c r="J9" s="1"/>
    </row>
    <row r="10" spans="2:11" x14ac:dyDescent="0.2">
      <c r="B10" s="3" t="s">
        <v>52</v>
      </c>
      <c r="G10" s="4"/>
      <c r="J10" s="1"/>
    </row>
    <row r="11" spans="2:11" x14ac:dyDescent="0.2">
      <c r="B11" s="3" t="s">
        <v>112</v>
      </c>
      <c r="C11" t="s">
        <v>15</v>
      </c>
      <c r="D11" t="s">
        <v>93</v>
      </c>
      <c r="E11" t="s">
        <v>124</v>
      </c>
      <c r="G11" s="4"/>
      <c r="J11" s="1"/>
    </row>
    <row r="12" spans="2:11" x14ac:dyDescent="0.2">
      <c r="B12" s="3" t="s">
        <v>71</v>
      </c>
      <c r="C12" t="s">
        <v>72</v>
      </c>
      <c r="D12" t="s">
        <v>73</v>
      </c>
      <c r="G12" s="4"/>
    </row>
    <row r="13" spans="2:11" x14ac:dyDescent="0.2">
      <c r="B13" s="3" t="s">
        <v>53</v>
      </c>
      <c r="G13" s="4"/>
      <c r="J13" s="1"/>
    </row>
    <row r="14" spans="2:11" x14ac:dyDescent="0.2">
      <c r="B14" s="3" t="s">
        <v>120</v>
      </c>
      <c r="C14" t="s">
        <v>24</v>
      </c>
      <c r="E14" s="19">
        <v>45041</v>
      </c>
      <c r="F14" t="s">
        <v>27</v>
      </c>
      <c r="G14" s="4"/>
    </row>
    <row r="15" spans="2:11" x14ac:dyDescent="0.2">
      <c r="B15" s="3" t="s">
        <v>138</v>
      </c>
      <c r="C15" t="s">
        <v>116</v>
      </c>
      <c r="D15" s="20">
        <v>45143</v>
      </c>
      <c r="E15" t="s">
        <v>125</v>
      </c>
      <c r="F15" t="s">
        <v>23</v>
      </c>
      <c r="G15" s="4"/>
    </row>
    <row r="16" spans="2:11" x14ac:dyDescent="0.2">
      <c r="B16" s="3" t="s">
        <v>134</v>
      </c>
      <c r="C16" t="s">
        <v>135</v>
      </c>
      <c r="E16" s="19"/>
      <c r="G16" s="4"/>
    </row>
    <row r="17" spans="2:9" x14ac:dyDescent="0.2">
      <c r="B17" s="3" t="s">
        <v>90</v>
      </c>
      <c r="C17" t="s">
        <v>91</v>
      </c>
      <c r="D17" t="s">
        <v>92</v>
      </c>
      <c r="G17" s="4"/>
      <c r="I17" t="s">
        <v>98</v>
      </c>
    </row>
    <row r="18" spans="2:9" x14ac:dyDescent="0.2">
      <c r="B18" s="8"/>
      <c r="C18" s="9"/>
      <c r="D18" s="9"/>
      <c r="E18" s="9" t="s">
        <v>88</v>
      </c>
      <c r="F18" s="9"/>
      <c r="G18" s="10"/>
      <c r="I18" t="s">
        <v>115</v>
      </c>
    </row>
    <row r="19" spans="2:9" x14ac:dyDescent="0.2">
      <c r="B19" s="3" t="s">
        <v>17</v>
      </c>
      <c r="C19" t="s">
        <v>18</v>
      </c>
      <c r="E19" t="s">
        <v>97</v>
      </c>
      <c r="G19" s="4"/>
    </row>
    <row r="20" spans="2:9" x14ac:dyDescent="0.2">
      <c r="B20" s="3" t="s">
        <v>19</v>
      </c>
      <c r="C20" t="s">
        <v>20</v>
      </c>
      <c r="D20" t="s">
        <v>89</v>
      </c>
      <c r="E20" t="s">
        <v>96</v>
      </c>
      <c r="F20" t="s">
        <v>21</v>
      </c>
      <c r="G20" s="4"/>
    </row>
    <row r="21" spans="2:9" x14ac:dyDescent="0.2">
      <c r="B21" s="3" t="s">
        <v>22</v>
      </c>
      <c r="C21" t="s">
        <v>122</v>
      </c>
      <c r="D21" t="s">
        <v>123</v>
      </c>
      <c r="E21" t="s">
        <v>87</v>
      </c>
      <c r="G21" s="4"/>
    </row>
    <row r="22" spans="2:9" x14ac:dyDescent="0.2">
      <c r="B22" s="3" t="s">
        <v>28</v>
      </c>
      <c r="C22" t="s">
        <v>20</v>
      </c>
      <c r="D22" t="s">
        <v>29</v>
      </c>
      <c r="G22" s="4"/>
    </row>
    <row r="23" spans="2:9" x14ac:dyDescent="0.2">
      <c r="B23" s="3" t="s">
        <v>86</v>
      </c>
      <c r="G23" s="4"/>
    </row>
    <row r="24" spans="2:9" x14ac:dyDescent="0.2">
      <c r="B24" s="5" t="s">
        <v>113</v>
      </c>
      <c r="C24" s="6" t="s">
        <v>15</v>
      </c>
      <c r="D24" s="6" t="s">
        <v>114</v>
      </c>
      <c r="E24" s="6"/>
      <c r="F24" s="6"/>
      <c r="G24" s="7"/>
    </row>
    <row r="27" spans="2:9" x14ac:dyDescent="0.2">
      <c r="B27" s="25" t="s">
        <v>126</v>
      </c>
    </row>
    <row r="28" spans="2:9" x14ac:dyDescent="0.2">
      <c r="B28" s="25" t="s">
        <v>127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EB2B-BE50-4D86-B93D-DDDB8C03F4F9}">
  <dimension ref="A1:CE65"/>
  <sheetViews>
    <sheetView tabSelected="1" zoomScale="190" zoomScaleNormal="190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X4" sqref="X3:X4"/>
    </sheetView>
  </sheetViews>
  <sheetFormatPr defaultRowHeight="12.75" x14ac:dyDescent="0.2"/>
  <cols>
    <col min="1" max="1" width="5" bestFit="1" customWidth="1"/>
    <col min="2" max="2" width="14.42578125" customWidth="1"/>
    <col min="3" max="17" width="9.140625" style="2"/>
    <col min="59" max="59" width="9" customWidth="1"/>
  </cols>
  <sheetData>
    <row r="1" spans="1:83" x14ac:dyDescent="0.2">
      <c r="A1" s="11" t="s">
        <v>33</v>
      </c>
    </row>
    <row r="2" spans="1:83" x14ac:dyDescent="0.2"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7</v>
      </c>
      <c r="M2" s="2" t="s">
        <v>44</v>
      </c>
      <c r="N2" s="2" t="s">
        <v>45</v>
      </c>
      <c r="O2" s="2" t="s">
        <v>82</v>
      </c>
      <c r="P2" s="2" t="s">
        <v>83</v>
      </c>
      <c r="Q2" s="2" t="s">
        <v>84</v>
      </c>
      <c r="R2" s="2" t="s">
        <v>85</v>
      </c>
      <c r="S2" s="2" t="s">
        <v>128</v>
      </c>
      <c r="T2" s="2" t="s">
        <v>129</v>
      </c>
      <c r="U2" s="2" t="s">
        <v>130</v>
      </c>
      <c r="V2" s="2" t="s">
        <v>131</v>
      </c>
      <c r="W2" s="2"/>
      <c r="X2" s="2"/>
      <c r="Z2">
        <v>2010</v>
      </c>
      <c r="AA2">
        <f>+Z2+1</f>
        <v>2011</v>
      </c>
      <c r="AB2">
        <f t="shared" ref="AB2:CE2" si="0">+AA2+1</f>
        <v>2012</v>
      </c>
      <c r="AC2">
        <f t="shared" si="0"/>
        <v>2013</v>
      </c>
      <c r="AD2">
        <f t="shared" si="0"/>
        <v>2014</v>
      </c>
      <c r="AE2">
        <f t="shared" si="0"/>
        <v>2015</v>
      </c>
      <c r="AF2">
        <f t="shared" si="0"/>
        <v>2016</v>
      </c>
      <c r="AG2">
        <f t="shared" si="0"/>
        <v>2017</v>
      </c>
      <c r="AH2">
        <f t="shared" si="0"/>
        <v>2018</v>
      </c>
      <c r="AI2">
        <f t="shared" si="0"/>
        <v>2019</v>
      </c>
      <c r="AJ2">
        <f t="shared" si="0"/>
        <v>2020</v>
      </c>
      <c r="AK2">
        <f t="shared" si="0"/>
        <v>2021</v>
      </c>
      <c r="AL2">
        <f t="shared" si="0"/>
        <v>2022</v>
      </c>
      <c r="AM2">
        <f t="shared" si="0"/>
        <v>2023</v>
      </c>
      <c r="AN2">
        <f t="shared" si="0"/>
        <v>2024</v>
      </c>
      <c r="AO2">
        <f t="shared" si="0"/>
        <v>2025</v>
      </c>
      <c r="AP2">
        <f t="shared" si="0"/>
        <v>2026</v>
      </c>
      <c r="AQ2">
        <f t="shared" si="0"/>
        <v>2027</v>
      </c>
      <c r="AR2">
        <f t="shared" si="0"/>
        <v>2028</v>
      </c>
      <c r="AS2">
        <f t="shared" si="0"/>
        <v>2029</v>
      </c>
      <c r="AT2">
        <f t="shared" si="0"/>
        <v>2030</v>
      </c>
      <c r="AU2">
        <f t="shared" si="0"/>
        <v>2031</v>
      </c>
      <c r="AV2">
        <f t="shared" si="0"/>
        <v>2032</v>
      </c>
      <c r="AW2">
        <f t="shared" si="0"/>
        <v>2033</v>
      </c>
      <c r="AX2">
        <f t="shared" si="0"/>
        <v>2034</v>
      </c>
      <c r="AY2">
        <f t="shared" si="0"/>
        <v>2035</v>
      </c>
      <c r="AZ2">
        <f t="shared" si="0"/>
        <v>2036</v>
      </c>
      <c r="BA2">
        <f t="shared" si="0"/>
        <v>2037</v>
      </c>
      <c r="BB2">
        <f t="shared" si="0"/>
        <v>2038</v>
      </c>
      <c r="BC2">
        <f t="shared" si="0"/>
        <v>2039</v>
      </c>
      <c r="BD2">
        <f t="shared" si="0"/>
        <v>2040</v>
      </c>
      <c r="BE2">
        <f t="shared" si="0"/>
        <v>2041</v>
      </c>
      <c r="BF2">
        <f t="shared" si="0"/>
        <v>2042</v>
      </c>
      <c r="BG2">
        <f t="shared" si="0"/>
        <v>2043</v>
      </c>
      <c r="BH2">
        <f t="shared" si="0"/>
        <v>2044</v>
      </c>
      <c r="BI2">
        <f t="shared" si="0"/>
        <v>2045</v>
      </c>
      <c r="BJ2">
        <f t="shared" si="0"/>
        <v>2046</v>
      </c>
      <c r="BK2">
        <f t="shared" si="0"/>
        <v>2047</v>
      </c>
      <c r="BL2">
        <f t="shared" si="0"/>
        <v>2048</v>
      </c>
      <c r="BM2">
        <f t="shared" si="0"/>
        <v>2049</v>
      </c>
      <c r="BN2">
        <f t="shared" si="0"/>
        <v>2050</v>
      </c>
      <c r="BO2">
        <f t="shared" si="0"/>
        <v>2051</v>
      </c>
      <c r="BP2">
        <f t="shared" si="0"/>
        <v>2052</v>
      </c>
      <c r="BQ2">
        <f t="shared" si="0"/>
        <v>2053</v>
      </c>
      <c r="BR2">
        <f t="shared" si="0"/>
        <v>2054</v>
      </c>
      <c r="BS2">
        <f t="shared" si="0"/>
        <v>2055</v>
      </c>
      <c r="BT2">
        <f t="shared" si="0"/>
        <v>2056</v>
      </c>
      <c r="BU2">
        <f t="shared" si="0"/>
        <v>2057</v>
      </c>
      <c r="BV2">
        <f t="shared" si="0"/>
        <v>2058</v>
      </c>
      <c r="BW2">
        <f t="shared" si="0"/>
        <v>2059</v>
      </c>
      <c r="BX2">
        <f t="shared" si="0"/>
        <v>2060</v>
      </c>
      <c r="BY2">
        <f t="shared" si="0"/>
        <v>2061</v>
      </c>
      <c r="BZ2">
        <f t="shared" si="0"/>
        <v>2062</v>
      </c>
      <c r="CA2">
        <f t="shared" si="0"/>
        <v>2063</v>
      </c>
      <c r="CB2">
        <f t="shared" si="0"/>
        <v>2064</v>
      </c>
      <c r="CC2">
        <f t="shared" si="0"/>
        <v>2065</v>
      </c>
      <c r="CD2">
        <f t="shared" si="0"/>
        <v>2066</v>
      </c>
      <c r="CE2">
        <f t="shared" si="0"/>
        <v>2067</v>
      </c>
    </row>
    <row r="3" spans="1:83" s="1" customFormat="1" x14ac:dyDescent="0.2">
      <c r="B3" s="1" t="s">
        <v>9</v>
      </c>
      <c r="C3" s="12"/>
      <c r="D3" s="12"/>
      <c r="E3" s="12">
        <v>953.1</v>
      </c>
      <c r="F3" s="12">
        <v>607.9</v>
      </c>
      <c r="G3" s="12">
        <v>479.3</v>
      </c>
      <c r="H3" s="12">
        <v>487.6</v>
      </c>
      <c r="I3" s="12">
        <v>498.6</v>
      </c>
      <c r="J3" s="12">
        <v>486.5</v>
      </c>
      <c r="K3" s="12">
        <v>409.9</v>
      </c>
      <c r="L3" s="12">
        <v>397.9</v>
      </c>
      <c r="M3" s="12">
        <v>339</v>
      </c>
      <c r="N3" s="12">
        <v>297.10000000000002</v>
      </c>
      <c r="O3" s="12">
        <v>274.5</v>
      </c>
      <c r="P3" s="12">
        <v>254.2</v>
      </c>
      <c r="Q3" s="12">
        <v>239.5</v>
      </c>
      <c r="R3" s="12">
        <v>244.3</v>
      </c>
      <c r="S3" s="12">
        <v>254.3</v>
      </c>
      <c r="T3" s="12">
        <v>252.2</v>
      </c>
      <c r="U3" s="12"/>
      <c r="V3" s="12"/>
      <c r="W3" s="12"/>
      <c r="X3" s="12"/>
      <c r="AI3" s="1">
        <f>3306.5+1126.2</f>
        <v>4432.7</v>
      </c>
      <c r="AJ3" s="1">
        <f>2677.7+1163.4</f>
        <v>3841.1</v>
      </c>
      <c r="AK3" s="1">
        <f>SUM(G3:J3)</f>
        <v>1952</v>
      </c>
      <c r="AL3" s="1">
        <f>SUM(K3:N3)</f>
        <v>1443.9</v>
      </c>
      <c r="AM3" s="1">
        <f>+AL3*0.8</f>
        <v>1155.1200000000001</v>
      </c>
      <c r="AN3" s="1">
        <f t="shared" ref="AN3:AU3" si="1">+AM3*0.8</f>
        <v>924.09600000000012</v>
      </c>
      <c r="AO3" s="1">
        <f t="shared" si="1"/>
        <v>739.27680000000009</v>
      </c>
      <c r="AP3" s="1">
        <f t="shared" si="1"/>
        <v>591.42144000000008</v>
      </c>
      <c r="AQ3" s="1">
        <f t="shared" si="1"/>
        <v>473.13715200000007</v>
      </c>
      <c r="AR3" s="1">
        <f t="shared" si="1"/>
        <v>378.50972160000009</v>
      </c>
      <c r="AS3" s="1">
        <f t="shared" si="1"/>
        <v>302.8077772800001</v>
      </c>
      <c r="AT3" s="1">
        <f t="shared" si="1"/>
        <v>242.24622182400009</v>
      </c>
      <c r="AU3" s="1">
        <f t="shared" si="1"/>
        <v>193.79697745920009</v>
      </c>
      <c r="AV3" s="1">
        <f t="shared" ref="AV3" si="2">+AU3*0.8</f>
        <v>155.0375819673601</v>
      </c>
      <c r="AW3" s="1">
        <f t="shared" ref="AW3:BD3" si="3">+AV3*0.8</f>
        <v>124.03006557388808</v>
      </c>
      <c r="AX3" s="1">
        <f t="shared" si="3"/>
        <v>99.224052459110467</v>
      </c>
      <c r="AY3" s="1">
        <f t="shared" si="3"/>
        <v>79.37924196728838</v>
      </c>
      <c r="AZ3" s="1">
        <f t="shared" si="3"/>
        <v>63.503393573830706</v>
      </c>
      <c r="BA3" s="1">
        <f t="shared" si="3"/>
        <v>50.802714859064565</v>
      </c>
      <c r="BB3" s="1">
        <f t="shared" si="3"/>
        <v>40.642171887251656</v>
      </c>
      <c r="BC3" s="1">
        <f t="shared" si="3"/>
        <v>32.513737509801324</v>
      </c>
      <c r="BD3" s="1">
        <f t="shared" si="3"/>
        <v>26.010990007841059</v>
      </c>
    </row>
    <row r="4" spans="1:83" s="1" customFormat="1" x14ac:dyDescent="0.2">
      <c r="B4" s="1" t="s">
        <v>46</v>
      </c>
      <c r="C4" s="12"/>
      <c r="D4" s="12"/>
      <c r="E4" s="12">
        <v>14.4</v>
      </c>
      <c r="F4" s="12">
        <v>38.9</v>
      </c>
      <c r="G4" s="12">
        <v>73.599999999999994</v>
      </c>
      <c r="H4" s="12">
        <v>90.9</v>
      </c>
      <c r="I4" s="12">
        <v>120.9</v>
      </c>
      <c r="J4" s="12">
        <v>124.9</v>
      </c>
      <c r="K4" s="12">
        <v>128</v>
      </c>
      <c r="L4" s="12">
        <v>136.80000000000001</v>
      </c>
      <c r="M4" s="12">
        <v>137.80000000000001</v>
      </c>
      <c r="N4" s="12">
        <v>150.80000000000001</v>
      </c>
      <c r="O4" s="12">
        <v>108.2</v>
      </c>
      <c r="P4" s="12">
        <v>146.19999999999999</v>
      </c>
      <c r="Q4" s="12">
        <v>165.5</v>
      </c>
      <c r="R4" s="12">
        <v>156.4</v>
      </c>
      <c r="S4" s="12">
        <v>127.5</v>
      </c>
      <c r="T4" s="12">
        <v>165.8</v>
      </c>
      <c r="U4" s="12"/>
      <c r="V4" s="12"/>
      <c r="W4" s="12"/>
      <c r="X4" s="12"/>
      <c r="AI4" s="1">
        <v>5.5</v>
      </c>
      <c r="AJ4" s="1">
        <v>64.3</v>
      </c>
      <c r="AK4" s="1">
        <f t="shared" ref="AK4:AK25" si="4">SUM(G4:J4)</f>
        <v>410.29999999999995</v>
      </c>
      <c r="AL4" s="1">
        <f t="shared" ref="AL4:AL25" si="5">SUM(K4:N4)</f>
        <v>553.40000000000009</v>
      </c>
      <c r="AM4" s="1">
        <f>+AL4*1.1</f>
        <v>608.74000000000012</v>
      </c>
      <c r="AN4" s="1">
        <f t="shared" ref="AN4:AO4" si="6">+AM4*1.1</f>
        <v>669.61400000000015</v>
      </c>
      <c r="AO4" s="1">
        <f t="shared" si="6"/>
        <v>736.57540000000017</v>
      </c>
      <c r="AP4" s="1">
        <f>+AO4*1.03</f>
        <v>758.67266200000017</v>
      </c>
      <c r="AQ4" s="1">
        <f t="shared" ref="AQ4:AT4" si="7">+AP4*1.03</f>
        <v>781.43284186000017</v>
      </c>
      <c r="AR4" s="1">
        <f t="shared" si="7"/>
        <v>804.87582711580023</v>
      </c>
      <c r="AS4" s="1">
        <f t="shared" si="7"/>
        <v>829.0221019292743</v>
      </c>
      <c r="AT4" s="1">
        <f t="shared" si="7"/>
        <v>853.89276498715253</v>
      </c>
      <c r="AU4" s="1">
        <f>+AT4*0.5</f>
        <v>426.94638249357627</v>
      </c>
      <c r="AV4" s="1">
        <f>+AU4*0.8</f>
        <v>341.55710599486105</v>
      </c>
      <c r="AW4" s="1">
        <f t="shared" ref="AW4:BD4" si="8">+AV4*0.8</f>
        <v>273.24568479588885</v>
      </c>
      <c r="AX4" s="1">
        <f t="shared" si="8"/>
        <v>218.5965478367111</v>
      </c>
      <c r="AY4" s="1">
        <f t="shared" si="8"/>
        <v>174.87723826936889</v>
      </c>
      <c r="AZ4" s="1">
        <f t="shared" si="8"/>
        <v>139.90179061549512</v>
      </c>
      <c r="BA4" s="1">
        <f t="shared" si="8"/>
        <v>111.92143249239609</v>
      </c>
      <c r="BB4" s="1">
        <f t="shared" si="8"/>
        <v>89.53714599391688</v>
      </c>
      <c r="BC4" s="1">
        <f t="shared" si="8"/>
        <v>71.629716795133504</v>
      </c>
      <c r="BD4" s="1">
        <f t="shared" si="8"/>
        <v>57.303773436106809</v>
      </c>
    </row>
    <row r="5" spans="1:83" s="1" customFormat="1" x14ac:dyDescent="0.2">
      <c r="B5" s="1" t="s">
        <v>8</v>
      </c>
      <c r="C5" s="12"/>
      <c r="D5" s="12"/>
      <c r="E5" s="12">
        <v>380.5</v>
      </c>
      <c r="F5" s="12">
        <v>356.4</v>
      </c>
      <c r="G5" s="12">
        <v>311.10000000000002</v>
      </c>
      <c r="H5" s="12">
        <v>310.89999999999998</v>
      </c>
      <c r="I5" s="12">
        <v>301.3</v>
      </c>
      <c r="J5" s="12">
        <v>285.39999999999998</v>
      </c>
      <c r="K5" s="12">
        <v>229.6</v>
      </c>
      <c r="L5" s="12">
        <v>258.7</v>
      </c>
      <c r="M5" s="12">
        <v>255.1</v>
      </c>
      <c r="N5" s="12">
        <v>230.1</v>
      </c>
      <c r="O5" s="12">
        <v>172.4</v>
      </c>
      <c r="P5" s="12">
        <v>220.3</v>
      </c>
      <c r="Q5" s="12">
        <v>212.2</v>
      </c>
      <c r="R5" s="12">
        <v>206.1</v>
      </c>
      <c r="S5" s="12">
        <v>178.5</v>
      </c>
      <c r="T5" s="12">
        <v>182.8</v>
      </c>
      <c r="U5" s="12"/>
      <c r="V5" s="12"/>
      <c r="W5" s="12"/>
      <c r="X5" s="12"/>
      <c r="AI5" s="1">
        <f>1202.1+463.8</f>
        <v>1665.8999999999999</v>
      </c>
      <c r="AJ5" s="1">
        <f>1083.4+408.5</f>
        <v>1491.9</v>
      </c>
      <c r="AK5" s="1">
        <f t="shared" si="4"/>
        <v>1208.6999999999998</v>
      </c>
      <c r="AL5" s="1">
        <f t="shared" si="5"/>
        <v>973.5</v>
      </c>
      <c r="AM5" s="1">
        <f>+AL5*0.9</f>
        <v>876.15</v>
      </c>
      <c r="AN5" s="1">
        <f t="shared" ref="AN5:BD5" si="9">+AM5*0.9</f>
        <v>788.53499999999997</v>
      </c>
      <c r="AO5" s="1">
        <f t="shared" si="9"/>
        <v>709.68150000000003</v>
      </c>
      <c r="AP5" s="1">
        <f t="shared" si="9"/>
        <v>638.71334999999999</v>
      </c>
      <c r="AQ5" s="1">
        <f t="shared" si="9"/>
        <v>574.84201500000006</v>
      </c>
      <c r="AR5" s="1">
        <f t="shared" si="9"/>
        <v>517.35781350000002</v>
      </c>
      <c r="AS5" s="1">
        <f t="shared" si="9"/>
        <v>465.62203215000005</v>
      </c>
      <c r="AT5" s="1">
        <f t="shared" si="9"/>
        <v>419.05982893500004</v>
      </c>
      <c r="AU5" s="1">
        <f t="shared" si="9"/>
        <v>377.15384604150006</v>
      </c>
      <c r="AV5" s="1">
        <f t="shared" si="9"/>
        <v>339.43846143735004</v>
      </c>
      <c r="AW5" s="1">
        <f t="shared" si="9"/>
        <v>305.49461529361503</v>
      </c>
      <c r="AX5" s="1">
        <f t="shared" si="9"/>
        <v>274.94515376425352</v>
      </c>
      <c r="AY5" s="1">
        <f t="shared" si="9"/>
        <v>247.45063838782818</v>
      </c>
      <c r="AZ5" s="1">
        <f t="shared" si="9"/>
        <v>222.70557454904537</v>
      </c>
      <c r="BA5" s="1">
        <f t="shared" si="9"/>
        <v>200.43501709414085</v>
      </c>
      <c r="BB5" s="1">
        <f t="shared" si="9"/>
        <v>180.39151538472677</v>
      </c>
      <c r="BC5" s="1">
        <f t="shared" si="9"/>
        <v>162.35236384625409</v>
      </c>
      <c r="BD5" s="1">
        <f t="shared" si="9"/>
        <v>146.11712746162868</v>
      </c>
    </row>
    <row r="6" spans="1:83" s="1" customFormat="1" x14ac:dyDescent="0.2">
      <c r="B6" s="1" t="s">
        <v>47</v>
      </c>
      <c r="C6" s="12"/>
      <c r="D6" s="12"/>
      <c r="E6" s="12">
        <v>93.6</v>
      </c>
      <c r="F6" s="12">
        <v>99.6</v>
      </c>
      <c r="G6" s="12">
        <v>89.4</v>
      </c>
      <c r="H6" s="12">
        <v>89.5</v>
      </c>
      <c r="I6" s="12">
        <v>86.2</v>
      </c>
      <c r="J6" s="12">
        <v>92.3</v>
      </c>
      <c r="K6" s="12">
        <v>80</v>
      </c>
      <c r="L6" s="12">
        <v>91.5</v>
      </c>
      <c r="M6" s="12">
        <v>80.900000000000006</v>
      </c>
      <c r="N6" s="12">
        <v>79.5</v>
      </c>
      <c r="O6" s="12">
        <v>73.2</v>
      </c>
      <c r="P6" s="12">
        <v>82.1</v>
      </c>
      <c r="Q6" s="12">
        <v>65.5</v>
      </c>
      <c r="R6" s="12">
        <v>73.900000000000006</v>
      </c>
      <c r="S6" s="12">
        <v>65.099999999999994</v>
      </c>
      <c r="T6" s="12">
        <v>68.099999999999994</v>
      </c>
      <c r="U6" s="12"/>
      <c r="V6" s="12"/>
      <c r="W6" s="12"/>
      <c r="X6" s="12"/>
      <c r="AI6" s="1">
        <f>224.5+211.4</f>
        <v>435.9</v>
      </c>
      <c r="AJ6" s="1">
        <f>190.1+195.5</f>
        <v>385.6</v>
      </c>
      <c r="AK6" s="1">
        <f t="shared" si="4"/>
        <v>357.40000000000003</v>
      </c>
      <c r="AL6" s="1">
        <f t="shared" si="5"/>
        <v>331.9</v>
      </c>
      <c r="AM6" s="1">
        <f>+AL6*0.95</f>
        <v>315.30499999999995</v>
      </c>
      <c r="AN6" s="1">
        <f t="shared" ref="AN6:BD6" si="10">+AM6*0.95</f>
        <v>299.53974999999991</v>
      </c>
      <c r="AO6" s="1">
        <f t="shared" si="10"/>
        <v>284.56276249999991</v>
      </c>
      <c r="AP6" s="1">
        <f t="shared" si="10"/>
        <v>270.33462437499992</v>
      </c>
      <c r="AQ6" s="1">
        <f t="shared" si="10"/>
        <v>256.81789315624991</v>
      </c>
      <c r="AR6" s="1">
        <f t="shared" si="10"/>
        <v>243.97699849843741</v>
      </c>
      <c r="AS6" s="1">
        <f t="shared" si="10"/>
        <v>231.77814857351552</v>
      </c>
      <c r="AT6" s="1">
        <f t="shared" si="10"/>
        <v>220.18924114483974</v>
      </c>
      <c r="AU6" s="1">
        <f t="shared" si="10"/>
        <v>209.17977908759775</v>
      </c>
      <c r="AV6" s="1">
        <f t="shared" si="10"/>
        <v>198.72079013321786</v>
      </c>
      <c r="AW6" s="1">
        <f t="shared" si="10"/>
        <v>188.78475062655696</v>
      </c>
      <c r="AX6" s="1">
        <f t="shared" si="10"/>
        <v>179.34551309522911</v>
      </c>
      <c r="AY6" s="1">
        <f t="shared" si="10"/>
        <v>170.37823744046764</v>
      </c>
      <c r="AZ6" s="1">
        <f t="shared" si="10"/>
        <v>161.85932556844426</v>
      </c>
      <c r="BA6" s="1">
        <f t="shared" si="10"/>
        <v>153.76635929002205</v>
      </c>
      <c r="BB6" s="1">
        <f t="shared" si="10"/>
        <v>146.07804132552096</v>
      </c>
      <c r="BC6" s="1">
        <f t="shared" si="10"/>
        <v>138.77413925924489</v>
      </c>
      <c r="BD6" s="1">
        <f t="shared" si="10"/>
        <v>131.83543229628265</v>
      </c>
    </row>
    <row r="7" spans="1:83" s="1" customFormat="1" x14ac:dyDescent="0.2">
      <c r="B7" s="1" t="s">
        <v>48</v>
      </c>
      <c r="C7" s="12"/>
      <c r="D7" s="12"/>
      <c r="E7" s="12">
        <v>516.5</v>
      </c>
      <c r="F7" s="12">
        <v>475.2</v>
      </c>
      <c r="G7" s="12">
        <v>503.3</v>
      </c>
      <c r="H7" s="12">
        <v>524.20000000000005</v>
      </c>
      <c r="I7" s="12">
        <v>522.79999999999995</v>
      </c>
      <c r="J7" s="12">
        <v>512.70000000000005</v>
      </c>
      <c r="K7" s="12">
        <v>520.79999999999995</v>
      </c>
      <c r="L7" s="12">
        <v>516.20000000000005</v>
      </c>
      <c r="M7" s="12">
        <v>505.5</v>
      </c>
      <c r="N7" s="12">
        <v>488.4</v>
      </c>
      <c r="O7" s="12">
        <v>472.8</v>
      </c>
      <c r="P7" s="12">
        <v>483.1</v>
      </c>
      <c r="Q7" s="12">
        <v>456.3</v>
      </c>
      <c r="R7" s="12">
        <v>464.7</v>
      </c>
      <c r="S7" s="12">
        <v>431.3</v>
      </c>
      <c r="T7" s="12">
        <v>462.2</v>
      </c>
      <c r="U7" s="12"/>
      <c r="V7" s="12"/>
      <c r="W7" s="12"/>
      <c r="X7" s="12"/>
      <c r="AI7" s="1">
        <v>1892.2</v>
      </c>
      <c r="AJ7" s="1">
        <v>1946.1</v>
      </c>
      <c r="AK7" s="1">
        <f t="shared" si="4"/>
        <v>2063</v>
      </c>
      <c r="AL7" s="1">
        <f t="shared" si="5"/>
        <v>2030.9</v>
      </c>
      <c r="AM7" s="1">
        <f>+AL7*1.01</f>
        <v>2051.2090000000003</v>
      </c>
      <c r="AN7" s="1">
        <f t="shared" ref="AN7" si="11">+AM7*1.01</f>
        <v>2071.7210900000005</v>
      </c>
      <c r="AO7" s="1">
        <f>+AN7*0.85</f>
        <v>1760.9629265000003</v>
      </c>
      <c r="AP7" s="1">
        <f t="shared" ref="AP7:BD7" si="12">+AO7*0.85</f>
        <v>1496.8184875250001</v>
      </c>
      <c r="AQ7" s="1">
        <f t="shared" si="12"/>
        <v>1272.2957143962501</v>
      </c>
      <c r="AR7" s="1">
        <f t="shared" si="12"/>
        <v>1081.4513572368126</v>
      </c>
      <c r="AS7" s="1">
        <f t="shared" si="12"/>
        <v>919.23365365129064</v>
      </c>
      <c r="AT7" s="1">
        <f t="shared" si="12"/>
        <v>781.34860560359698</v>
      </c>
      <c r="AU7" s="1">
        <f t="shared" si="12"/>
        <v>664.14631476305738</v>
      </c>
      <c r="AV7" s="1">
        <f t="shared" si="12"/>
        <v>564.52436754859878</v>
      </c>
      <c r="AW7" s="1">
        <f t="shared" si="12"/>
        <v>479.84571241630897</v>
      </c>
      <c r="AX7" s="1">
        <f t="shared" si="12"/>
        <v>407.8688555538626</v>
      </c>
      <c r="AY7" s="1">
        <f t="shared" si="12"/>
        <v>346.68852722078321</v>
      </c>
      <c r="AZ7" s="1">
        <f t="shared" si="12"/>
        <v>294.68524813766572</v>
      </c>
      <c r="BA7" s="1">
        <f t="shared" si="12"/>
        <v>250.48246091701586</v>
      </c>
      <c r="BB7" s="1">
        <f t="shared" si="12"/>
        <v>212.91009177946347</v>
      </c>
      <c r="BC7" s="1">
        <f t="shared" si="12"/>
        <v>180.97357801254395</v>
      </c>
      <c r="BD7" s="1">
        <f t="shared" si="12"/>
        <v>153.82754131066235</v>
      </c>
    </row>
    <row r="8" spans="1:83" s="1" customFormat="1" x14ac:dyDescent="0.2">
      <c r="B8" s="1" t="s">
        <v>49</v>
      </c>
      <c r="C8" s="12"/>
      <c r="D8" s="12"/>
      <c r="E8" s="12">
        <v>26.8</v>
      </c>
      <c r="F8" s="12">
        <v>25.1</v>
      </c>
      <c r="G8" s="12">
        <v>26.6</v>
      </c>
      <c r="H8" s="12">
        <v>26.1</v>
      </c>
      <c r="I8" s="12">
        <v>26.2</v>
      </c>
      <c r="J8" s="12">
        <v>26.7</v>
      </c>
      <c r="K8" s="12">
        <v>26.2</v>
      </c>
      <c r="L8" s="12">
        <v>25.5</v>
      </c>
      <c r="M8" s="12">
        <v>22</v>
      </c>
      <c r="N8" s="12">
        <v>22.9</v>
      </c>
      <c r="O8" s="12">
        <v>24.1</v>
      </c>
      <c r="P8" s="12">
        <v>23.4</v>
      </c>
      <c r="Q8" s="12">
        <v>20</v>
      </c>
      <c r="R8" s="12">
        <v>23</v>
      </c>
      <c r="S8" s="12">
        <v>19.2</v>
      </c>
      <c r="T8" s="12">
        <v>18.7</v>
      </c>
      <c r="U8" s="12"/>
      <c r="V8" s="12"/>
      <c r="W8" s="12"/>
      <c r="X8" s="12"/>
      <c r="AI8" s="1">
        <v>97.1</v>
      </c>
      <c r="AJ8" s="1">
        <v>103.1</v>
      </c>
      <c r="AK8" s="1">
        <f t="shared" si="4"/>
        <v>105.60000000000001</v>
      </c>
      <c r="AL8" s="1">
        <f t="shared" si="5"/>
        <v>96.6</v>
      </c>
      <c r="AM8" s="1">
        <f>+AL8*0.9</f>
        <v>86.94</v>
      </c>
      <c r="AN8" s="1">
        <f t="shared" ref="AN8:BD8" si="13">+AM8*0.9</f>
        <v>78.245999999999995</v>
      </c>
      <c r="AO8" s="1">
        <f t="shared" si="13"/>
        <v>70.421399999999991</v>
      </c>
      <c r="AP8" s="1">
        <f t="shared" si="13"/>
        <v>63.379259999999995</v>
      </c>
      <c r="AQ8" s="1">
        <f t="shared" si="13"/>
        <v>57.041333999999999</v>
      </c>
      <c r="AR8" s="1">
        <f t="shared" si="13"/>
        <v>51.337200600000003</v>
      </c>
      <c r="AS8" s="1">
        <f t="shared" si="13"/>
        <v>46.203480540000001</v>
      </c>
      <c r="AT8" s="1">
        <f t="shared" si="13"/>
        <v>41.583132486000004</v>
      </c>
      <c r="AU8" s="1">
        <f t="shared" si="13"/>
        <v>37.424819237400001</v>
      </c>
      <c r="AV8" s="1">
        <f t="shared" si="13"/>
        <v>33.68233731366</v>
      </c>
      <c r="AW8" s="1">
        <f t="shared" si="13"/>
        <v>30.314103582293999</v>
      </c>
      <c r="AX8" s="1">
        <f t="shared" si="13"/>
        <v>27.282693224064598</v>
      </c>
      <c r="AY8" s="1">
        <f t="shared" si="13"/>
        <v>24.55442390165814</v>
      </c>
      <c r="AZ8" s="1">
        <f t="shared" si="13"/>
        <v>22.098981511492326</v>
      </c>
      <c r="BA8" s="1">
        <f t="shared" si="13"/>
        <v>19.889083360343093</v>
      </c>
      <c r="BB8" s="1">
        <f t="shared" si="13"/>
        <v>17.900175024308783</v>
      </c>
      <c r="BC8" s="1">
        <f t="shared" si="13"/>
        <v>16.110157521877905</v>
      </c>
      <c r="BD8" s="1">
        <f t="shared" si="13"/>
        <v>14.499141769690116</v>
      </c>
    </row>
    <row r="9" spans="1:83" s="1" customFormat="1" x14ac:dyDescent="0.2">
      <c r="B9" s="1" t="s">
        <v>50</v>
      </c>
      <c r="C9" s="12"/>
      <c r="D9" s="12"/>
      <c r="E9" s="12">
        <v>494.4</v>
      </c>
      <c r="F9" s="12">
        <v>498</v>
      </c>
      <c r="G9" s="12">
        <v>520.5</v>
      </c>
      <c r="H9" s="12">
        <v>499.7</v>
      </c>
      <c r="I9" s="12">
        <v>444.1</v>
      </c>
      <c r="J9" s="12">
        <v>440.7</v>
      </c>
      <c r="K9" s="12">
        <v>472.5</v>
      </c>
      <c r="L9" s="12">
        <v>431</v>
      </c>
      <c r="M9" s="12">
        <v>431.1</v>
      </c>
      <c r="N9" s="12">
        <v>458.8</v>
      </c>
      <c r="O9" s="12">
        <v>443.3</v>
      </c>
      <c r="P9" s="12">
        <v>437.1</v>
      </c>
      <c r="Q9" s="12">
        <v>448.2</v>
      </c>
      <c r="R9" s="12">
        <v>412.6</v>
      </c>
      <c r="S9" s="12">
        <v>341.3</v>
      </c>
      <c r="T9" s="12">
        <v>429.1</v>
      </c>
      <c r="U9" s="12"/>
      <c r="V9" s="12"/>
      <c r="W9" s="12"/>
      <c r="X9" s="12"/>
      <c r="AI9" s="1">
        <v>2097</v>
      </c>
      <c r="AJ9" s="1">
        <v>2052.1</v>
      </c>
      <c r="AK9" s="1">
        <f t="shared" si="4"/>
        <v>1905.0000000000002</v>
      </c>
      <c r="AL9" s="1">
        <f t="shared" si="5"/>
        <v>1793.3999999999999</v>
      </c>
      <c r="AM9" s="1">
        <f t="shared" ref="AM9:BD9" si="14">+AL9*0.9</f>
        <v>1614.06</v>
      </c>
      <c r="AN9" s="1">
        <f t="shared" si="14"/>
        <v>1452.654</v>
      </c>
      <c r="AO9" s="1">
        <f t="shared" si="14"/>
        <v>1307.3886</v>
      </c>
      <c r="AP9" s="1">
        <f t="shared" si="14"/>
        <v>1176.6497400000001</v>
      </c>
      <c r="AQ9" s="1">
        <f t="shared" si="14"/>
        <v>1058.984766</v>
      </c>
      <c r="AR9" s="1">
        <f t="shared" si="14"/>
        <v>953.08628940000006</v>
      </c>
      <c r="AS9" s="1">
        <f t="shared" si="14"/>
        <v>857.77766046000011</v>
      </c>
      <c r="AT9" s="1">
        <f t="shared" si="14"/>
        <v>771.9998944140001</v>
      </c>
      <c r="AU9" s="1">
        <f t="shared" si="14"/>
        <v>694.79990497260007</v>
      </c>
      <c r="AV9" s="1">
        <f t="shared" si="14"/>
        <v>625.31991447534006</v>
      </c>
      <c r="AW9" s="1">
        <f t="shared" si="14"/>
        <v>562.78792302780607</v>
      </c>
      <c r="AX9" s="1">
        <f t="shared" si="14"/>
        <v>506.5091307250255</v>
      </c>
      <c r="AY9" s="1">
        <f t="shared" si="14"/>
        <v>455.85821765252297</v>
      </c>
      <c r="AZ9" s="1">
        <f t="shared" si="14"/>
        <v>410.2723958872707</v>
      </c>
      <c r="BA9" s="1">
        <f t="shared" si="14"/>
        <v>369.24515629854363</v>
      </c>
      <c r="BB9" s="1">
        <f t="shared" si="14"/>
        <v>332.32064066868929</v>
      </c>
      <c r="BC9" s="1">
        <f t="shared" si="14"/>
        <v>299.08857660182036</v>
      </c>
      <c r="BD9" s="1">
        <f t="shared" si="14"/>
        <v>269.17971894163833</v>
      </c>
    </row>
    <row r="10" spans="1:83" s="1" customFormat="1" x14ac:dyDescent="0.2">
      <c r="B10" s="1" t="s">
        <v>133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>
        <v>55.9</v>
      </c>
      <c r="S10" s="12">
        <v>78</v>
      </c>
      <c r="T10" s="12">
        <v>100</v>
      </c>
      <c r="U10" s="12"/>
      <c r="V10" s="12"/>
      <c r="W10" s="12"/>
      <c r="X10" s="12"/>
    </row>
    <row r="11" spans="1:83" s="1" customFormat="1" x14ac:dyDescent="0.2">
      <c r="B11" s="1" t="s">
        <v>121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">
        <v>3.3</v>
      </c>
      <c r="S11" s="1">
        <v>4.5999999999999996</v>
      </c>
      <c r="T11" s="1">
        <v>5</v>
      </c>
    </row>
    <row r="12" spans="1:83" s="1" customFormat="1" x14ac:dyDescent="0.2">
      <c r="B12" s="1" t="s">
        <v>51</v>
      </c>
      <c r="C12" s="12"/>
      <c r="D12" s="12"/>
      <c r="E12" s="12">
        <v>124.2</v>
      </c>
      <c r="F12" s="12">
        <v>117.6</v>
      </c>
      <c r="G12" s="12">
        <v>121.7</v>
      </c>
      <c r="H12" s="12">
        <v>121.5</v>
      </c>
      <c r="I12" s="12">
        <v>120.8</v>
      </c>
      <c r="J12" s="12">
        <v>134.4</v>
      </c>
      <c r="K12" s="12">
        <v>114.7</v>
      </c>
      <c r="L12" s="12">
        <v>115.8</v>
      </c>
      <c r="M12" s="12">
        <v>110.2</v>
      </c>
      <c r="N12" s="12">
        <v>100.3</v>
      </c>
      <c r="O12" s="12">
        <v>109</v>
      </c>
      <c r="P12" s="12">
        <v>109.2</v>
      </c>
      <c r="Q12" s="12">
        <v>112.8</v>
      </c>
      <c r="R12" s="12">
        <v>107.8</v>
      </c>
      <c r="S12" s="12">
        <v>118.7</v>
      </c>
      <c r="T12" s="12">
        <v>117.3</v>
      </c>
      <c r="U12" s="12"/>
      <c r="V12" s="12"/>
      <c r="W12" s="12"/>
      <c r="X12" s="12"/>
      <c r="AI12" s="1">
        <v>486.2</v>
      </c>
      <c r="AJ12" s="1">
        <v>481.6</v>
      </c>
      <c r="AK12" s="1">
        <f t="shared" si="4"/>
        <v>498.4</v>
      </c>
      <c r="AL12" s="1">
        <f t="shared" si="5"/>
        <v>441</v>
      </c>
      <c r="AM12" s="1">
        <f t="shared" ref="AM12:BD12" si="15">+AL12*0.9</f>
        <v>396.90000000000003</v>
      </c>
      <c r="AN12" s="1">
        <f t="shared" si="15"/>
        <v>357.21000000000004</v>
      </c>
      <c r="AO12" s="1">
        <f t="shared" si="15"/>
        <v>321.48900000000003</v>
      </c>
      <c r="AP12" s="1">
        <f t="shared" si="15"/>
        <v>289.34010000000006</v>
      </c>
      <c r="AQ12" s="1">
        <f t="shared" si="15"/>
        <v>260.40609000000006</v>
      </c>
      <c r="AR12" s="1">
        <f t="shared" si="15"/>
        <v>234.36548100000007</v>
      </c>
      <c r="AS12" s="1">
        <f t="shared" si="15"/>
        <v>210.92893290000006</v>
      </c>
      <c r="AT12" s="1">
        <f t="shared" si="15"/>
        <v>189.83603961000006</v>
      </c>
      <c r="AU12" s="1">
        <f t="shared" si="15"/>
        <v>170.85243564900006</v>
      </c>
      <c r="AV12" s="1">
        <f t="shared" si="15"/>
        <v>153.76719208410006</v>
      </c>
      <c r="AW12" s="1">
        <f t="shared" si="15"/>
        <v>138.39047287569005</v>
      </c>
      <c r="AX12" s="1">
        <f t="shared" si="15"/>
        <v>124.55142558812105</v>
      </c>
      <c r="AY12" s="1">
        <f t="shared" si="15"/>
        <v>112.09628302930895</v>
      </c>
      <c r="AZ12" s="1">
        <f t="shared" si="15"/>
        <v>100.88665472637805</v>
      </c>
      <c r="BA12" s="1">
        <f t="shared" si="15"/>
        <v>90.797989253740255</v>
      </c>
      <c r="BB12" s="1">
        <f t="shared" si="15"/>
        <v>81.718190328366234</v>
      </c>
      <c r="BC12" s="1">
        <f t="shared" si="15"/>
        <v>73.54637129552961</v>
      </c>
      <c r="BD12" s="1">
        <f t="shared" si="15"/>
        <v>66.191734165976655</v>
      </c>
    </row>
    <row r="13" spans="1:83" s="1" customFormat="1" x14ac:dyDescent="0.2">
      <c r="B13" s="1" t="s">
        <v>52</v>
      </c>
      <c r="C13" s="12"/>
      <c r="D13" s="12"/>
      <c r="E13" s="12">
        <v>56.2</v>
      </c>
      <c r="F13" s="12">
        <v>53.7</v>
      </c>
      <c r="G13" s="12">
        <v>57.9</v>
      </c>
      <c r="H13" s="12">
        <v>55.6</v>
      </c>
      <c r="I13" s="12">
        <v>57.4</v>
      </c>
      <c r="J13" s="12">
        <v>62.5</v>
      </c>
      <c r="K13" s="12">
        <v>57.1</v>
      </c>
      <c r="L13" s="12">
        <v>57.6</v>
      </c>
      <c r="M13" s="12">
        <v>57.7</v>
      </c>
      <c r="N13" s="12">
        <v>52.1</v>
      </c>
      <c r="O13" s="12">
        <v>54.4</v>
      </c>
      <c r="P13" s="12">
        <v>58.8</v>
      </c>
      <c r="Q13" s="12">
        <v>54.4</v>
      </c>
      <c r="R13" s="12">
        <v>54.5</v>
      </c>
      <c r="S13" s="12">
        <v>54.8</v>
      </c>
      <c r="T13" s="12">
        <v>53.2</v>
      </c>
      <c r="U13" s="12"/>
      <c r="V13" s="12"/>
      <c r="W13" s="12"/>
      <c r="X13" s="12"/>
      <c r="AI13" s="1">
        <v>184</v>
      </c>
      <c r="AJ13" s="1">
        <v>216.3</v>
      </c>
      <c r="AK13" s="1">
        <f t="shared" si="4"/>
        <v>233.4</v>
      </c>
      <c r="AL13" s="1">
        <f t="shared" si="5"/>
        <v>224.5</v>
      </c>
      <c r="AM13" s="1">
        <f t="shared" ref="AM13:BD13" si="16">+AL13*0.9</f>
        <v>202.05</v>
      </c>
      <c r="AN13" s="1">
        <f t="shared" si="16"/>
        <v>181.84500000000003</v>
      </c>
      <c r="AO13" s="1">
        <f t="shared" si="16"/>
        <v>163.66050000000004</v>
      </c>
      <c r="AP13" s="1">
        <f t="shared" si="16"/>
        <v>147.29445000000004</v>
      </c>
      <c r="AQ13" s="1">
        <f t="shared" si="16"/>
        <v>132.56500500000004</v>
      </c>
      <c r="AR13" s="1">
        <f t="shared" si="16"/>
        <v>119.30850450000004</v>
      </c>
      <c r="AS13" s="1">
        <f t="shared" si="16"/>
        <v>107.37765405000003</v>
      </c>
      <c r="AT13" s="1">
        <f t="shared" si="16"/>
        <v>96.639888645000028</v>
      </c>
      <c r="AU13" s="1">
        <f t="shared" si="16"/>
        <v>86.975899780500029</v>
      </c>
      <c r="AV13" s="1">
        <f t="shared" si="16"/>
        <v>78.278309802450025</v>
      </c>
      <c r="AW13" s="1">
        <f t="shared" si="16"/>
        <v>70.450478822205028</v>
      </c>
      <c r="AX13" s="1">
        <f t="shared" si="16"/>
        <v>63.405430939984527</v>
      </c>
      <c r="AY13" s="1">
        <f t="shared" si="16"/>
        <v>57.064887845986078</v>
      </c>
      <c r="AZ13" s="1">
        <f t="shared" si="16"/>
        <v>51.358399061387473</v>
      </c>
      <c r="BA13" s="1">
        <f t="shared" si="16"/>
        <v>46.222559155248724</v>
      </c>
      <c r="BB13" s="1">
        <f t="shared" si="16"/>
        <v>41.60030323972385</v>
      </c>
      <c r="BC13" s="1">
        <f t="shared" si="16"/>
        <v>37.440272915751464</v>
      </c>
      <c r="BD13" s="1">
        <f t="shared" si="16"/>
        <v>33.696245624176321</v>
      </c>
    </row>
    <row r="14" spans="1:83" s="1" customFormat="1" x14ac:dyDescent="0.2">
      <c r="B14" s="1" t="s">
        <v>53</v>
      </c>
      <c r="C14" s="12"/>
      <c r="D14" s="12"/>
      <c r="E14" s="12">
        <v>27.5</v>
      </c>
      <c r="F14" s="12">
        <v>26.1</v>
      </c>
      <c r="G14" s="12">
        <v>25.5</v>
      </c>
      <c r="H14" s="12">
        <v>25.3</v>
      </c>
      <c r="I14" s="12">
        <v>24.6</v>
      </c>
      <c r="J14" s="12">
        <v>24</v>
      </c>
      <c r="K14" s="12">
        <v>22.5</v>
      </c>
      <c r="L14" s="12">
        <v>20.5</v>
      </c>
      <c r="M14" s="12">
        <v>19</v>
      </c>
      <c r="N14" s="12">
        <v>19.3</v>
      </c>
      <c r="O14" s="12">
        <v>20.399999999999999</v>
      </c>
      <c r="P14" s="12">
        <v>20.100000000000001</v>
      </c>
      <c r="Q14" s="12">
        <v>20.2</v>
      </c>
      <c r="R14" s="12">
        <v>16.7</v>
      </c>
      <c r="S14" s="12">
        <v>17.8</v>
      </c>
      <c r="T14" s="12">
        <v>13.1</v>
      </c>
      <c r="U14" s="12"/>
      <c r="V14" s="12"/>
      <c r="W14" s="12"/>
      <c r="X14" s="12"/>
      <c r="AI14" s="1">
        <v>68.099999999999994</v>
      </c>
      <c r="AJ14" s="1">
        <v>97.9</v>
      </c>
      <c r="AK14" s="1">
        <f t="shared" si="4"/>
        <v>99.4</v>
      </c>
      <c r="AL14" s="1">
        <f t="shared" si="5"/>
        <v>81.3</v>
      </c>
      <c r="AM14" s="1">
        <f t="shared" ref="AM14:BD14" si="17">+AL14*0.9</f>
        <v>73.17</v>
      </c>
      <c r="AN14" s="1">
        <f t="shared" si="17"/>
        <v>65.853000000000009</v>
      </c>
      <c r="AO14" s="1">
        <f t="shared" si="17"/>
        <v>59.267700000000012</v>
      </c>
      <c r="AP14" s="1">
        <f t="shared" si="17"/>
        <v>53.340930000000014</v>
      </c>
      <c r="AQ14" s="1">
        <f t="shared" si="17"/>
        <v>48.006837000000012</v>
      </c>
      <c r="AR14" s="1">
        <f t="shared" si="17"/>
        <v>43.206153300000011</v>
      </c>
      <c r="AS14" s="1">
        <f t="shared" si="17"/>
        <v>38.885537970000009</v>
      </c>
      <c r="AT14" s="1">
        <f t="shared" si="17"/>
        <v>34.996984173000008</v>
      </c>
      <c r="AU14" s="1">
        <f t="shared" si="17"/>
        <v>31.497285755700009</v>
      </c>
      <c r="AV14" s="1">
        <f t="shared" si="17"/>
        <v>28.347557180130007</v>
      </c>
      <c r="AW14" s="1">
        <f t="shared" si="17"/>
        <v>25.512801462117007</v>
      </c>
      <c r="AX14" s="1">
        <f t="shared" si="17"/>
        <v>22.961521315905308</v>
      </c>
      <c r="AY14" s="1">
        <f t="shared" si="17"/>
        <v>20.665369184314777</v>
      </c>
      <c r="AZ14" s="1">
        <f t="shared" si="17"/>
        <v>18.598832265883299</v>
      </c>
      <c r="BA14" s="1">
        <f t="shared" si="17"/>
        <v>16.738949039294969</v>
      </c>
      <c r="BB14" s="1">
        <f t="shared" si="17"/>
        <v>15.065054135365472</v>
      </c>
      <c r="BC14" s="1">
        <f t="shared" si="17"/>
        <v>13.558548721828926</v>
      </c>
      <c r="BD14" s="1">
        <f t="shared" si="17"/>
        <v>12.202693849646034</v>
      </c>
    </row>
    <row r="15" spans="1:83" s="1" customFormat="1" x14ac:dyDescent="0.2">
      <c r="B15" s="1" t="s">
        <v>54</v>
      </c>
      <c r="C15" s="12"/>
      <c r="D15" s="12"/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0.5</v>
      </c>
      <c r="M15" s="12">
        <v>0.7</v>
      </c>
      <c r="N15" s="12">
        <v>3.1</v>
      </c>
      <c r="O15" s="12">
        <v>8.6</v>
      </c>
      <c r="P15" s="12">
        <v>7</v>
      </c>
      <c r="Q15" s="12">
        <v>6.9</v>
      </c>
      <c r="R15" s="12">
        <v>9.1999999999999993</v>
      </c>
      <c r="S15" s="12">
        <v>5.6</v>
      </c>
      <c r="T15" s="12">
        <v>13.7</v>
      </c>
      <c r="U15" s="12"/>
      <c r="V15" s="12"/>
      <c r="W15" s="12"/>
      <c r="X15" s="12"/>
      <c r="AI15" s="1">
        <v>0</v>
      </c>
      <c r="AJ15" s="1">
        <v>0</v>
      </c>
      <c r="AK15" s="1">
        <f t="shared" si="4"/>
        <v>0</v>
      </c>
      <c r="AL15" s="1">
        <f t="shared" si="5"/>
        <v>4.3</v>
      </c>
      <c r="AM15" s="1">
        <v>50</v>
      </c>
      <c r="AN15" s="1">
        <v>100</v>
      </c>
      <c r="AO15" s="1">
        <f t="shared" ref="AO15:BD15" si="18">+AN15*0.9</f>
        <v>90</v>
      </c>
      <c r="AP15" s="1">
        <f t="shared" si="18"/>
        <v>81</v>
      </c>
      <c r="AQ15" s="1">
        <f t="shared" si="18"/>
        <v>72.900000000000006</v>
      </c>
      <c r="AR15" s="1">
        <f t="shared" si="18"/>
        <v>65.610000000000014</v>
      </c>
      <c r="AS15" s="1">
        <f t="shared" si="18"/>
        <v>59.049000000000014</v>
      </c>
      <c r="AT15" s="1">
        <f t="shared" si="18"/>
        <v>53.144100000000016</v>
      </c>
      <c r="AU15" s="1">
        <f t="shared" si="18"/>
        <v>47.829690000000014</v>
      </c>
      <c r="AV15" s="1">
        <f t="shared" si="18"/>
        <v>43.046721000000012</v>
      </c>
      <c r="AW15" s="1">
        <f t="shared" si="18"/>
        <v>38.742048900000015</v>
      </c>
      <c r="AX15" s="1">
        <f t="shared" si="18"/>
        <v>34.867844010000013</v>
      </c>
      <c r="AY15" s="1">
        <f t="shared" si="18"/>
        <v>31.381059609000012</v>
      </c>
      <c r="AZ15" s="1">
        <f t="shared" si="18"/>
        <v>28.242953648100013</v>
      </c>
      <c r="BA15" s="1">
        <f t="shared" si="18"/>
        <v>25.418658283290011</v>
      </c>
      <c r="BB15" s="1">
        <f t="shared" si="18"/>
        <v>22.876792454961009</v>
      </c>
      <c r="BC15" s="1">
        <f t="shared" si="18"/>
        <v>20.589113209464909</v>
      </c>
      <c r="BD15" s="1">
        <f t="shared" si="18"/>
        <v>18.53020188851842</v>
      </c>
    </row>
    <row r="16" spans="1:83" s="1" customFormat="1" x14ac:dyDescent="0.2">
      <c r="B16" s="1" t="s">
        <v>136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>
        <v>0.8</v>
      </c>
      <c r="U16" s="12"/>
      <c r="V16" s="12"/>
      <c r="W16" s="12"/>
      <c r="X16" s="12"/>
    </row>
    <row r="17" spans="2:56" s="1" customFormat="1" x14ac:dyDescent="0.2">
      <c r="B17" s="1" t="s">
        <v>137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>
        <v>14.9</v>
      </c>
      <c r="U17" s="12"/>
      <c r="V17" s="12"/>
      <c r="W17" s="12"/>
      <c r="X17" s="12"/>
    </row>
    <row r="18" spans="2:56" s="1" customFormat="1" x14ac:dyDescent="0.2">
      <c r="B18" s="1" t="s">
        <v>55</v>
      </c>
      <c r="C18" s="12"/>
      <c r="D18" s="12"/>
      <c r="E18" s="12">
        <v>3.1</v>
      </c>
      <c r="F18" s="12">
        <v>3.1</v>
      </c>
      <c r="G18" s="12">
        <v>2.8</v>
      </c>
      <c r="H18" s="12">
        <v>3.1</v>
      </c>
      <c r="I18" s="12">
        <v>2.5</v>
      </c>
      <c r="J18" s="12">
        <v>2.7</v>
      </c>
      <c r="K18" s="12">
        <v>2.2000000000000002</v>
      </c>
      <c r="L18" s="12">
        <v>2.7</v>
      </c>
      <c r="M18" s="12">
        <v>1.5</v>
      </c>
      <c r="N18" s="12">
        <v>1.8</v>
      </c>
      <c r="O18" s="12">
        <v>2.4</v>
      </c>
      <c r="P18" s="12"/>
      <c r="Q18" s="12"/>
      <c r="AI18" s="1">
        <v>15.2</v>
      </c>
      <c r="AJ18" s="1">
        <v>12.2</v>
      </c>
      <c r="AK18" s="1">
        <f t="shared" si="4"/>
        <v>11.100000000000001</v>
      </c>
      <c r="AL18" s="1">
        <f t="shared" si="5"/>
        <v>8.2000000000000011</v>
      </c>
      <c r="AM18" s="1">
        <f>+AL18*0.9</f>
        <v>7.3800000000000008</v>
      </c>
      <c r="AN18" s="1">
        <f t="shared" ref="AN18:BD18" si="19">+AM18*0.9</f>
        <v>6.6420000000000012</v>
      </c>
      <c r="AO18" s="1">
        <f t="shared" si="19"/>
        <v>5.9778000000000011</v>
      </c>
      <c r="AP18" s="1">
        <f t="shared" si="19"/>
        <v>5.3800200000000009</v>
      </c>
      <c r="AQ18" s="1">
        <f t="shared" si="19"/>
        <v>4.8420180000000013</v>
      </c>
      <c r="AR18" s="1">
        <f t="shared" si="19"/>
        <v>4.3578162000000011</v>
      </c>
      <c r="AS18" s="1">
        <f t="shared" si="19"/>
        <v>3.9220345800000009</v>
      </c>
      <c r="AT18" s="1">
        <f t="shared" si="19"/>
        <v>3.5298311220000009</v>
      </c>
      <c r="AU18" s="1">
        <f t="shared" si="19"/>
        <v>3.1768480098000009</v>
      </c>
      <c r="AV18" s="1">
        <f t="shared" si="19"/>
        <v>2.859163208820001</v>
      </c>
      <c r="AW18" s="1">
        <f t="shared" si="19"/>
        <v>2.573246887938001</v>
      </c>
      <c r="AX18" s="1">
        <f t="shared" si="19"/>
        <v>2.3159221991442012</v>
      </c>
      <c r="AY18" s="1">
        <f t="shared" si="19"/>
        <v>2.0843299792297811</v>
      </c>
      <c r="AZ18" s="1">
        <f t="shared" si="19"/>
        <v>1.8758969813068032</v>
      </c>
      <c r="BA18" s="1">
        <f t="shared" si="19"/>
        <v>1.6883072831761228</v>
      </c>
      <c r="BB18" s="1">
        <f t="shared" si="19"/>
        <v>1.5194765548585105</v>
      </c>
      <c r="BC18" s="1">
        <f t="shared" si="19"/>
        <v>1.3675288993726595</v>
      </c>
      <c r="BD18" s="1">
        <f t="shared" si="19"/>
        <v>1.2307760094353937</v>
      </c>
    </row>
    <row r="19" spans="2:56" s="1" customFormat="1" x14ac:dyDescent="0.2">
      <c r="B19" s="1" t="s">
        <v>117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>
        <v>-18.899999999999999</v>
      </c>
      <c r="P19" s="12"/>
      <c r="Q19" s="12"/>
      <c r="R19" s="26" t="s">
        <v>141</v>
      </c>
      <c r="S19" s="26" t="s">
        <v>140</v>
      </c>
      <c r="T19" s="26" t="s">
        <v>139</v>
      </c>
      <c r="AM19" s="1">
        <v>1500</v>
      </c>
      <c r="AN19" s="1">
        <v>4000</v>
      </c>
      <c r="AO19" s="1">
        <v>6000</v>
      </c>
      <c r="AP19" s="1">
        <v>8000</v>
      </c>
      <c r="AQ19" s="1">
        <f>+AP19*1.05</f>
        <v>8400</v>
      </c>
      <c r="AR19" s="1">
        <f t="shared" ref="AR19:AS19" si="20">+AQ19*1.05</f>
        <v>8820</v>
      </c>
      <c r="AS19" s="1">
        <f t="shared" si="20"/>
        <v>9261</v>
      </c>
      <c r="AT19" s="1">
        <f>+AS19*1.02</f>
        <v>9446.2199999999993</v>
      </c>
      <c r="AU19" s="1">
        <f t="shared" ref="AU19:BD19" si="21">+AT19*1.02</f>
        <v>9635.1443999999992</v>
      </c>
      <c r="AV19" s="1">
        <f t="shared" si="21"/>
        <v>9827.847287999999</v>
      </c>
      <c r="AW19" s="1">
        <f t="shared" si="21"/>
        <v>10024.404233759999</v>
      </c>
      <c r="AX19" s="1">
        <f t="shared" si="21"/>
        <v>10224.892318435199</v>
      </c>
      <c r="AY19" s="1">
        <f t="shared" si="21"/>
        <v>10429.390164803903</v>
      </c>
      <c r="AZ19" s="1">
        <f t="shared" si="21"/>
        <v>10637.977968099982</v>
      </c>
      <c r="BA19" s="1">
        <f t="shared" si="21"/>
        <v>10850.737527461981</v>
      </c>
      <c r="BB19" s="1">
        <f t="shared" si="21"/>
        <v>11067.752278011221</v>
      </c>
      <c r="BC19" s="1">
        <f t="shared" si="21"/>
        <v>11289.107323571447</v>
      </c>
      <c r="BD19" s="1">
        <f t="shared" si="21"/>
        <v>11514.889470042875</v>
      </c>
    </row>
    <row r="20" spans="2:56" s="1" customFormat="1" x14ac:dyDescent="0.2">
      <c r="B20" s="1" t="s">
        <v>56</v>
      </c>
      <c r="C20" s="12"/>
      <c r="D20" s="12"/>
      <c r="E20" s="12">
        <v>0</v>
      </c>
      <c r="F20" s="12">
        <v>0</v>
      </c>
      <c r="G20" s="12">
        <v>0</v>
      </c>
      <c r="H20" s="12">
        <v>1.6</v>
      </c>
      <c r="I20" s="12">
        <v>0.3</v>
      </c>
      <c r="J20" s="12">
        <v>1</v>
      </c>
      <c r="K20" s="12">
        <v>2.8</v>
      </c>
      <c r="L20" s="12">
        <v>0.1</v>
      </c>
      <c r="M20" s="12">
        <v>1.6</v>
      </c>
      <c r="N20" s="12">
        <v>0.3</v>
      </c>
      <c r="O20" s="12"/>
      <c r="P20" s="12"/>
      <c r="Q20" s="12"/>
      <c r="AI20" s="1">
        <v>0</v>
      </c>
      <c r="AJ20" s="1">
        <v>0</v>
      </c>
      <c r="AK20" s="1">
        <f t="shared" si="4"/>
        <v>2.9000000000000004</v>
      </c>
      <c r="AL20" s="1">
        <f t="shared" si="5"/>
        <v>4.8</v>
      </c>
      <c r="AM20" s="1">
        <f t="shared" ref="AM20:BD20" si="22">+AL20*0.9</f>
        <v>4.32</v>
      </c>
      <c r="AN20" s="1">
        <f t="shared" si="22"/>
        <v>3.8880000000000003</v>
      </c>
      <c r="AO20" s="1">
        <f t="shared" si="22"/>
        <v>3.4992000000000005</v>
      </c>
      <c r="AP20" s="1">
        <f t="shared" si="22"/>
        <v>3.1492800000000005</v>
      </c>
      <c r="AQ20" s="1">
        <f t="shared" si="22"/>
        <v>2.8343520000000004</v>
      </c>
      <c r="AR20" s="1">
        <f t="shared" si="22"/>
        <v>2.5509168000000004</v>
      </c>
      <c r="AS20" s="1">
        <f t="shared" si="22"/>
        <v>2.2958251200000004</v>
      </c>
      <c r="AT20" s="1">
        <f t="shared" si="22"/>
        <v>2.0662426080000005</v>
      </c>
      <c r="AU20" s="1">
        <f t="shared" si="22"/>
        <v>1.8596183472000005</v>
      </c>
      <c r="AV20" s="1">
        <f t="shared" si="22"/>
        <v>1.6736565124800005</v>
      </c>
      <c r="AW20" s="1">
        <f t="shared" si="22"/>
        <v>1.5062908612320005</v>
      </c>
      <c r="AX20" s="1">
        <f t="shared" si="22"/>
        <v>1.3556617751088005</v>
      </c>
      <c r="AY20" s="1">
        <f t="shared" si="22"/>
        <v>1.2200955975979204</v>
      </c>
      <c r="AZ20" s="1">
        <f t="shared" si="22"/>
        <v>1.0980860378381283</v>
      </c>
      <c r="BA20" s="1">
        <f t="shared" si="22"/>
        <v>0.98827743405431545</v>
      </c>
      <c r="BB20" s="1">
        <f t="shared" si="22"/>
        <v>0.88944969064888391</v>
      </c>
      <c r="BC20" s="1">
        <f t="shared" si="22"/>
        <v>0.80050472158399555</v>
      </c>
      <c r="BD20" s="1">
        <f t="shared" si="22"/>
        <v>0.72045424942559599</v>
      </c>
    </row>
    <row r="21" spans="2:56" s="1" customFormat="1" x14ac:dyDescent="0.2">
      <c r="B21" s="1" t="s">
        <v>57</v>
      </c>
      <c r="C21" s="12"/>
      <c r="D21" s="12"/>
      <c r="E21" s="12">
        <f>SUM(E3:E20)</f>
        <v>2690.2999999999993</v>
      </c>
      <c r="F21" s="12">
        <f>SUM(F3:F20)</f>
        <v>2301.5999999999995</v>
      </c>
      <c r="G21" s="12">
        <f>SUM(G3:G20)</f>
        <v>2211.7000000000003</v>
      </c>
      <c r="H21" s="12">
        <f>SUM(H3:H20)</f>
        <v>2235.9999999999995</v>
      </c>
      <c r="I21" s="12">
        <f>SUM(I3:I20)</f>
        <v>2205.7000000000003</v>
      </c>
      <c r="J21" s="12">
        <f>SUM(J3:J20)</f>
        <v>2193.7999999999997</v>
      </c>
      <c r="K21" s="12">
        <f>SUM(K3:K20)</f>
        <v>2066.3000000000002</v>
      </c>
      <c r="L21" s="12">
        <f>SUM(L3:L20)</f>
        <v>2054.7999999999997</v>
      </c>
      <c r="M21" s="12">
        <f>SUM(M3:M20)</f>
        <v>1962.1000000000001</v>
      </c>
      <c r="N21" s="12">
        <f>SUM(N3:N20)</f>
        <v>1904.4999999999998</v>
      </c>
      <c r="O21" s="12">
        <f>SUM(O3:O20)</f>
        <v>1744.4</v>
      </c>
      <c r="P21" s="12">
        <f>SUM(P3:P20)</f>
        <v>1841.5</v>
      </c>
      <c r="Q21" s="12">
        <f>SUM(Q3:Q20)</f>
        <v>1801.5000000000002</v>
      </c>
      <c r="R21" s="12">
        <f>SUM(R3:R20)</f>
        <v>1828.4</v>
      </c>
      <c r="S21" s="12">
        <f>SUM(S3:S20)</f>
        <v>1696.6999999999998</v>
      </c>
      <c r="T21" s="12">
        <f>SUM(T3:T20)</f>
        <v>1896.9</v>
      </c>
      <c r="U21" s="12"/>
      <c r="V21" s="12"/>
      <c r="W21" s="12"/>
      <c r="X21" s="12"/>
      <c r="AI21" s="1">
        <f>SUM(AI3:AI20)</f>
        <v>11379.800000000001</v>
      </c>
      <c r="AJ21" s="1">
        <f>SUM(AJ3:AJ20)</f>
        <v>10692.2</v>
      </c>
      <c r="AK21" s="1">
        <f>SUM(AK3:AK20)</f>
        <v>8847.1999999999989</v>
      </c>
      <c r="AL21" s="1">
        <f>SUM(AL3:AL20)</f>
        <v>7987.7000000000007</v>
      </c>
      <c r="AM21" s="1">
        <f>SUM(AM3:AM20)</f>
        <v>8941.3439999999991</v>
      </c>
      <c r="AN21" s="1">
        <f>SUM(AN3:AN20)</f>
        <v>10999.843840000003</v>
      </c>
      <c r="AO21" s="1">
        <f>SUM(AO3:AO20)</f>
        <v>12252.763589</v>
      </c>
      <c r="AP21" s="1">
        <f>SUM(AP3:AP20)</f>
        <v>13575.4943439</v>
      </c>
      <c r="AQ21" s="1">
        <f>SUM(AQ3:AQ20)</f>
        <v>13396.1060184125</v>
      </c>
      <c r="AR21" s="1">
        <f>SUM(AR3:AR20)</f>
        <v>13319.994079751052</v>
      </c>
      <c r="AS21" s="1">
        <f>SUM(AS3:AS20)</f>
        <v>13335.90383920408</v>
      </c>
      <c r="AT21" s="1">
        <f>SUM(AT3:AT20)</f>
        <v>13156.75277555259</v>
      </c>
      <c r="AU21" s="1">
        <f>SUM(AU3:AU20)</f>
        <v>12580.784201597131</v>
      </c>
      <c r="AV21" s="1">
        <f>SUM(AV3:AV20)</f>
        <v>12394.100446658367</v>
      </c>
      <c r="AW21" s="1">
        <f>SUM(AW3:AW20)</f>
        <v>12266.082428885538</v>
      </c>
      <c r="AX21" s="1">
        <f>SUM(AX3:AX20)</f>
        <v>12188.12207092172</v>
      </c>
      <c r="AY21" s="1">
        <f>SUM(AY3:AY20)</f>
        <v>12153.088714889258</v>
      </c>
      <c r="AZ21" s="1">
        <f>SUM(AZ3:AZ20)</f>
        <v>12155.065500664121</v>
      </c>
      <c r="BA21" s="1">
        <f>SUM(BA3:BA20)</f>
        <v>12189.134492222312</v>
      </c>
      <c r="BB21" s="1">
        <f>SUM(BB3:BB20)</f>
        <v>12251.201326479024</v>
      </c>
      <c r="BC21" s="1">
        <f>SUM(BC3:BC20)</f>
        <v>12337.851932881655</v>
      </c>
      <c r="BD21" s="1">
        <f>SUM(BD3:BD20)</f>
        <v>12446.235301053905</v>
      </c>
    </row>
    <row r="22" spans="2:56" s="1" customFormat="1" x14ac:dyDescent="0.2">
      <c r="B22" s="1" t="s">
        <v>74</v>
      </c>
      <c r="C22" s="12"/>
      <c r="D22" s="12"/>
      <c r="E22" s="12">
        <v>272.39999999999998</v>
      </c>
      <c r="F22" s="12">
        <v>202.4</v>
      </c>
      <c r="G22" s="12">
        <v>209.3</v>
      </c>
      <c r="H22" s="12"/>
      <c r="I22" s="12">
        <v>264.3</v>
      </c>
      <c r="J22" s="12">
        <v>261.2</v>
      </c>
      <c r="K22" s="12">
        <v>252.3</v>
      </c>
      <c r="L22" s="12"/>
      <c r="M22" s="12">
        <v>281.10000000000002</v>
      </c>
      <c r="N22" s="12">
        <v>311.10000000000002</v>
      </c>
      <c r="O22" s="12">
        <v>283.60000000000002</v>
      </c>
      <c r="P22" s="12">
        <v>325.5</v>
      </c>
      <c r="Q22" s="12">
        <v>319.10000000000002</v>
      </c>
      <c r="R22" s="1">
        <v>338</v>
      </c>
      <c r="S22" s="1">
        <v>302.7</v>
      </c>
      <c r="T22" s="1">
        <v>336.3</v>
      </c>
      <c r="AI22" s="1">
        <v>748</v>
      </c>
      <c r="AJ22" s="1">
        <v>897.6</v>
      </c>
      <c r="AK22" s="1">
        <f t="shared" si="4"/>
        <v>734.8</v>
      </c>
      <c r="AL22" s="1">
        <f>SUM(K22:N22)</f>
        <v>844.50000000000011</v>
      </c>
      <c r="AM22" s="1">
        <f>+AL22*0.9</f>
        <v>760.05000000000007</v>
      </c>
      <c r="AN22" s="1">
        <f t="shared" ref="AN22:BD22" si="23">+AM22*0.9</f>
        <v>684.04500000000007</v>
      </c>
      <c r="AO22" s="1">
        <f t="shared" si="23"/>
        <v>615.64050000000009</v>
      </c>
      <c r="AP22" s="1">
        <f t="shared" si="23"/>
        <v>554.07645000000014</v>
      </c>
      <c r="AQ22" s="1">
        <f t="shared" si="23"/>
        <v>498.66880500000013</v>
      </c>
      <c r="AR22" s="1">
        <f t="shared" si="23"/>
        <v>448.80192450000015</v>
      </c>
      <c r="AS22" s="1">
        <f t="shared" si="23"/>
        <v>403.92173205000017</v>
      </c>
      <c r="AT22" s="1">
        <f t="shared" si="23"/>
        <v>363.52955884500017</v>
      </c>
      <c r="AU22" s="1">
        <f t="shared" si="23"/>
        <v>327.17660296050013</v>
      </c>
      <c r="AV22" s="1">
        <f t="shared" si="23"/>
        <v>294.45894266445015</v>
      </c>
      <c r="AW22" s="1">
        <f t="shared" si="23"/>
        <v>265.01304839800514</v>
      </c>
      <c r="AX22" s="1">
        <f t="shared" si="23"/>
        <v>238.51174355820464</v>
      </c>
      <c r="AY22" s="1">
        <f t="shared" si="23"/>
        <v>214.66056920238418</v>
      </c>
      <c r="AZ22" s="1">
        <f t="shared" si="23"/>
        <v>193.19451228214578</v>
      </c>
      <c r="BA22" s="1">
        <f t="shared" si="23"/>
        <v>173.8750610539312</v>
      </c>
      <c r="BB22" s="1">
        <f t="shared" si="23"/>
        <v>156.48755494853808</v>
      </c>
      <c r="BC22" s="1">
        <f t="shared" si="23"/>
        <v>140.83879945368426</v>
      </c>
      <c r="BD22" s="1">
        <f t="shared" si="23"/>
        <v>126.75491950831584</v>
      </c>
    </row>
    <row r="23" spans="2:56" s="1" customFormat="1" x14ac:dyDescent="0.2">
      <c r="B23" s="1" t="s">
        <v>75</v>
      </c>
      <c r="C23" s="12"/>
      <c r="D23" s="12"/>
      <c r="E23" s="12">
        <v>287.7</v>
      </c>
      <c r="F23" s="12">
        <v>216.6</v>
      </c>
      <c r="G23" s="12">
        <v>179.7</v>
      </c>
      <c r="H23" s="12"/>
      <c r="I23" s="12">
        <v>151.1</v>
      </c>
      <c r="J23" s="12">
        <v>152.9</v>
      </c>
      <c r="K23" s="12">
        <v>147.1</v>
      </c>
      <c r="L23" s="12"/>
      <c r="M23" s="12">
        <v>135.80000000000001</v>
      </c>
      <c r="N23" s="12">
        <v>136.80000000000001</v>
      </c>
      <c r="O23" s="12">
        <v>112.5</v>
      </c>
      <c r="P23" s="12">
        <v>103.6</v>
      </c>
      <c r="Q23" s="12">
        <v>98.9</v>
      </c>
      <c r="R23" s="1">
        <v>94.4</v>
      </c>
      <c r="S23" s="1">
        <v>87.1</v>
      </c>
      <c r="T23" s="1">
        <v>103.4</v>
      </c>
      <c r="AI23" s="1">
        <v>1542.4</v>
      </c>
      <c r="AJ23" s="1">
        <v>1080.2</v>
      </c>
      <c r="AK23" s="1">
        <f t="shared" si="4"/>
        <v>483.69999999999993</v>
      </c>
      <c r="AL23" s="1">
        <f t="shared" si="5"/>
        <v>419.7</v>
      </c>
      <c r="AM23" s="1">
        <f t="shared" ref="AM23:BD23" si="24">+AL23*0.9</f>
        <v>377.73</v>
      </c>
      <c r="AN23" s="1">
        <f t="shared" si="24"/>
        <v>339.95700000000005</v>
      </c>
      <c r="AO23" s="1">
        <f t="shared" si="24"/>
        <v>305.96130000000005</v>
      </c>
      <c r="AP23" s="1">
        <f t="shared" si="24"/>
        <v>275.36517000000003</v>
      </c>
      <c r="AQ23" s="1">
        <f t="shared" si="24"/>
        <v>247.82865300000003</v>
      </c>
      <c r="AR23" s="1">
        <f t="shared" si="24"/>
        <v>223.04578770000003</v>
      </c>
      <c r="AS23" s="1">
        <f t="shared" si="24"/>
        <v>200.74120893000003</v>
      </c>
      <c r="AT23" s="1">
        <f t="shared" si="24"/>
        <v>180.66708803700004</v>
      </c>
      <c r="AU23" s="1">
        <f t="shared" si="24"/>
        <v>162.60037923330003</v>
      </c>
      <c r="AV23" s="1">
        <f t="shared" si="24"/>
        <v>146.34034130997003</v>
      </c>
      <c r="AW23" s="1">
        <f t="shared" si="24"/>
        <v>131.70630717897302</v>
      </c>
      <c r="AX23" s="1">
        <f t="shared" si="24"/>
        <v>118.53567646107572</v>
      </c>
      <c r="AY23" s="1">
        <f t="shared" si="24"/>
        <v>106.68210881496816</v>
      </c>
      <c r="AZ23" s="1">
        <f t="shared" si="24"/>
        <v>96.013897933471341</v>
      </c>
      <c r="BA23" s="1">
        <f t="shared" si="24"/>
        <v>86.412508140124203</v>
      </c>
      <c r="BB23" s="1">
        <f t="shared" si="24"/>
        <v>77.77125732611178</v>
      </c>
      <c r="BC23" s="1">
        <f t="shared" si="24"/>
        <v>69.994131593500597</v>
      </c>
      <c r="BD23" s="1">
        <f t="shared" si="24"/>
        <v>62.994718434150542</v>
      </c>
    </row>
    <row r="24" spans="2:56" s="1" customFormat="1" x14ac:dyDescent="0.2">
      <c r="B24" s="1" t="s">
        <v>58</v>
      </c>
      <c r="C24" s="12"/>
      <c r="D24" s="12"/>
      <c r="E24" s="12"/>
      <c r="F24" s="12"/>
      <c r="G24" s="12"/>
      <c r="H24" s="12">
        <v>440</v>
      </c>
      <c r="I24" s="12"/>
      <c r="J24" s="12"/>
      <c r="K24" s="12"/>
      <c r="L24" s="12">
        <v>436.3</v>
      </c>
      <c r="M24" s="12">
        <f>+M22+M23</f>
        <v>416.90000000000003</v>
      </c>
      <c r="N24" s="12">
        <f>+N22+N23</f>
        <v>447.90000000000003</v>
      </c>
      <c r="O24" s="12">
        <f>+O22+O23+3.4</f>
        <v>399.5</v>
      </c>
      <c r="P24" s="12">
        <v>4.3</v>
      </c>
      <c r="Q24" s="12">
        <v>2.9</v>
      </c>
      <c r="R24" s="12">
        <v>3.4</v>
      </c>
      <c r="S24" s="12">
        <v>4.2</v>
      </c>
      <c r="T24" s="12">
        <v>4.8</v>
      </c>
      <c r="U24" s="12"/>
      <c r="V24" s="12"/>
      <c r="W24" s="12"/>
      <c r="X24" s="12"/>
      <c r="AK24" s="1">
        <f t="shared" si="4"/>
        <v>440</v>
      </c>
      <c r="AL24" s="1">
        <f t="shared" si="5"/>
        <v>1301.1000000000001</v>
      </c>
      <c r="AM24" s="1">
        <f t="shared" ref="AM24:BD24" si="25">+AL24*0.9</f>
        <v>1170.9900000000002</v>
      </c>
      <c r="AN24" s="1">
        <f t="shared" si="25"/>
        <v>1053.8910000000003</v>
      </c>
      <c r="AO24" s="1">
        <f t="shared" si="25"/>
        <v>948.50190000000032</v>
      </c>
      <c r="AP24" s="1">
        <f t="shared" si="25"/>
        <v>853.65171000000032</v>
      </c>
      <c r="AQ24" s="1">
        <f t="shared" si="25"/>
        <v>768.28653900000029</v>
      </c>
      <c r="AR24" s="1">
        <f t="shared" si="25"/>
        <v>691.45788510000023</v>
      </c>
      <c r="AS24" s="1">
        <f t="shared" si="25"/>
        <v>622.31209659000024</v>
      </c>
      <c r="AT24" s="1">
        <f t="shared" si="25"/>
        <v>560.08088693100024</v>
      </c>
      <c r="AU24" s="1">
        <f t="shared" si="25"/>
        <v>504.0727982379002</v>
      </c>
      <c r="AV24" s="1">
        <f t="shared" si="25"/>
        <v>453.66551841411018</v>
      </c>
      <c r="AW24" s="1">
        <f t="shared" si="25"/>
        <v>408.29896657269916</v>
      </c>
      <c r="AX24" s="1">
        <f t="shared" si="25"/>
        <v>367.46906991542926</v>
      </c>
      <c r="AY24" s="1">
        <f t="shared" si="25"/>
        <v>330.72216292388634</v>
      </c>
      <c r="AZ24" s="1">
        <f t="shared" si="25"/>
        <v>297.6499466314977</v>
      </c>
      <c r="BA24" s="1">
        <f t="shared" si="25"/>
        <v>267.88495196834793</v>
      </c>
      <c r="BB24" s="1">
        <f t="shared" si="25"/>
        <v>241.09645677151315</v>
      </c>
      <c r="BC24" s="1">
        <f t="shared" si="25"/>
        <v>216.98681109436183</v>
      </c>
      <c r="BD24" s="1">
        <f t="shared" si="25"/>
        <v>195.28812998492566</v>
      </c>
    </row>
    <row r="25" spans="2:56" s="1" customFormat="1" x14ac:dyDescent="0.2">
      <c r="B25" s="1" t="s">
        <v>59</v>
      </c>
      <c r="C25" s="12"/>
      <c r="D25" s="12"/>
      <c r="E25" s="12">
        <v>125.7</v>
      </c>
      <c r="F25" s="12">
        <v>132</v>
      </c>
      <c r="G25" s="12">
        <v>93.3</v>
      </c>
      <c r="H25" s="12">
        <v>99</v>
      </c>
      <c r="I25" s="12">
        <v>157.80000000000001</v>
      </c>
      <c r="J25" s="12">
        <v>126.2</v>
      </c>
      <c r="K25" s="12">
        <v>66.099999999999994</v>
      </c>
      <c r="L25" s="12">
        <v>98</v>
      </c>
      <c r="M25" s="12">
        <v>129.5</v>
      </c>
      <c r="N25" s="12">
        <v>191.6</v>
      </c>
      <c r="O25" s="12">
        <v>319.10000000000002</v>
      </c>
      <c r="P25" s="12">
        <f>4.3+197.5-20.7</f>
        <v>181.10000000000002</v>
      </c>
      <c r="Q25" s="12">
        <f>3.7+304.2</f>
        <v>307.89999999999998</v>
      </c>
      <c r="R25" s="12">
        <f>4+118.1</f>
        <v>122.1</v>
      </c>
      <c r="S25" s="12">
        <f>15.2+184.6</f>
        <v>199.79999999999998</v>
      </c>
      <c r="T25" s="12">
        <f>120.8+2.7</f>
        <v>123.5</v>
      </c>
      <c r="U25" s="12"/>
      <c r="V25" s="12"/>
      <c r="W25" s="12"/>
      <c r="X25" s="12"/>
      <c r="AI25" s="1">
        <v>707.7</v>
      </c>
      <c r="AJ25" s="1">
        <v>774.6</v>
      </c>
      <c r="AK25" s="1">
        <f t="shared" si="4"/>
        <v>476.3</v>
      </c>
      <c r="AL25" s="1">
        <f t="shared" si="5"/>
        <v>485.20000000000005</v>
      </c>
      <c r="AM25" s="1">
        <f t="shared" ref="AM25:BD25" si="26">+AL25*0.9</f>
        <v>436.68000000000006</v>
      </c>
      <c r="AN25" s="1">
        <f t="shared" si="26"/>
        <v>393.01200000000006</v>
      </c>
      <c r="AO25" s="1">
        <f t="shared" si="26"/>
        <v>353.71080000000006</v>
      </c>
      <c r="AP25" s="1">
        <f t="shared" si="26"/>
        <v>318.33972000000006</v>
      </c>
      <c r="AQ25" s="1">
        <f t="shared" si="26"/>
        <v>286.50574800000004</v>
      </c>
      <c r="AR25" s="1">
        <f t="shared" si="26"/>
        <v>257.85517320000002</v>
      </c>
      <c r="AS25" s="1">
        <f t="shared" si="26"/>
        <v>232.06965588000003</v>
      </c>
      <c r="AT25" s="1">
        <f t="shared" si="26"/>
        <v>208.86269029200002</v>
      </c>
      <c r="AU25" s="1">
        <f t="shared" si="26"/>
        <v>187.97642126280002</v>
      </c>
      <c r="AV25" s="1">
        <f t="shared" si="26"/>
        <v>169.17877913652001</v>
      </c>
      <c r="AW25" s="1">
        <f t="shared" si="26"/>
        <v>152.260901222868</v>
      </c>
      <c r="AX25" s="1">
        <f t="shared" si="26"/>
        <v>137.03481110058121</v>
      </c>
      <c r="AY25" s="1">
        <f t="shared" si="26"/>
        <v>123.33132999052309</v>
      </c>
      <c r="AZ25" s="1">
        <f t="shared" si="26"/>
        <v>110.99819699147078</v>
      </c>
      <c r="BA25" s="1">
        <f t="shared" si="26"/>
        <v>99.898377292323701</v>
      </c>
      <c r="BB25" s="1">
        <f t="shared" si="26"/>
        <v>89.908539563091338</v>
      </c>
      <c r="BC25" s="1">
        <f t="shared" si="26"/>
        <v>80.9176856067822</v>
      </c>
      <c r="BD25" s="1">
        <f t="shared" si="26"/>
        <v>72.825917046103982</v>
      </c>
    </row>
    <row r="26" spans="2:56" s="13" customFormat="1" x14ac:dyDescent="0.2">
      <c r="B26" s="13" t="s">
        <v>34</v>
      </c>
      <c r="C26" s="14"/>
      <c r="D26" s="14"/>
      <c r="E26" s="14">
        <f t="shared" ref="E26:L26" si="27">SUM(E21:E25)</f>
        <v>3376.099999999999</v>
      </c>
      <c r="F26" s="14">
        <f t="shared" si="27"/>
        <v>2852.5999999999995</v>
      </c>
      <c r="G26" s="14">
        <f t="shared" si="27"/>
        <v>2694.0000000000005</v>
      </c>
      <c r="H26" s="14">
        <f t="shared" si="27"/>
        <v>2774.9999999999995</v>
      </c>
      <c r="I26" s="14">
        <f t="shared" si="27"/>
        <v>2778.9000000000005</v>
      </c>
      <c r="J26" s="14">
        <f t="shared" si="27"/>
        <v>2734.0999999999995</v>
      </c>
      <c r="K26" s="14">
        <f t="shared" si="27"/>
        <v>2531.8000000000002</v>
      </c>
      <c r="L26" s="14">
        <f t="shared" si="27"/>
        <v>2589.1</v>
      </c>
      <c r="M26" s="14">
        <f>+M21+M24+M25</f>
        <v>2508.5</v>
      </c>
      <c r="N26" s="14">
        <f>+N21+N24+N25</f>
        <v>2543.9999999999995</v>
      </c>
      <c r="O26" s="14">
        <f>+O21+O24+O25</f>
        <v>2463</v>
      </c>
      <c r="P26" s="14">
        <f t="shared" ref="P26:T26" si="28">SUM(P21:P25)</f>
        <v>2456</v>
      </c>
      <c r="Q26" s="14">
        <f t="shared" si="28"/>
        <v>2530.3000000000006</v>
      </c>
      <c r="R26" s="14">
        <f t="shared" si="28"/>
        <v>2386.3000000000002</v>
      </c>
      <c r="S26" s="14">
        <f t="shared" si="28"/>
        <v>2290.5</v>
      </c>
      <c r="T26" s="14">
        <f t="shared" si="28"/>
        <v>2464.9000000000005</v>
      </c>
      <c r="U26" s="14"/>
      <c r="V26" s="14"/>
      <c r="W26" s="14"/>
      <c r="X26" s="14"/>
      <c r="AI26" s="14">
        <f t="shared" ref="AI26:AK26" si="29">SUM(AI21:AI25)</f>
        <v>14377.900000000001</v>
      </c>
      <c r="AJ26" s="14">
        <f t="shared" si="29"/>
        <v>13444.600000000002</v>
      </c>
      <c r="AK26" s="14">
        <f t="shared" si="29"/>
        <v>10981.999999999998</v>
      </c>
      <c r="AL26" s="14">
        <f>SUM(AL21:AL25)</f>
        <v>11038.200000000003</v>
      </c>
      <c r="AM26" s="14">
        <f t="shared" ref="AM26:BD26" si="30">SUM(AM21:AM25)</f>
        <v>11686.793999999998</v>
      </c>
      <c r="AN26" s="14">
        <f t="shared" si="30"/>
        <v>13470.748840000004</v>
      </c>
      <c r="AO26" s="14">
        <f t="shared" si="30"/>
        <v>14476.578089000002</v>
      </c>
      <c r="AP26" s="14">
        <f t="shared" si="30"/>
        <v>15576.9273939</v>
      </c>
      <c r="AQ26" s="14">
        <f t="shared" si="30"/>
        <v>15197.3957634125</v>
      </c>
      <c r="AR26" s="14">
        <f t="shared" si="30"/>
        <v>14941.154850251052</v>
      </c>
      <c r="AS26" s="14">
        <f t="shared" si="30"/>
        <v>14794.948532654082</v>
      </c>
      <c r="AT26" s="14">
        <f t="shared" si="30"/>
        <v>14469.892999657592</v>
      </c>
      <c r="AU26" s="14">
        <f t="shared" si="30"/>
        <v>13762.61040329163</v>
      </c>
      <c r="AV26" s="14">
        <f t="shared" si="30"/>
        <v>13457.744028183419</v>
      </c>
      <c r="AW26" s="14">
        <f t="shared" si="30"/>
        <v>13223.361652258083</v>
      </c>
      <c r="AX26" s="14">
        <f t="shared" si="30"/>
        <v>13049.673371957009</v>
      </c>
      <c r="AY26" s="14">
        <f t="shared" si="30"/>
        <v>12928.484885821021</v>
      </c>
      <c r="AZ26" s="14">
        <f t="shared" si="30"/>
        <v>12852.922054502707</v>
      </c>
      <c r="BA26" s="14">
        <f t="shared" si="30"/>
        <v>12817.20539067704</v>
      </c>
      <c r="BB26" s="14">
        <f t="shared" si="30"/>
        <v>12816.46513508828</v>
      </c>
      <c r="BC26" s="14">
        <f t="shared" si="30"/>
        <v>12846.589360629985</v>
      </c>
      <c r="BD26" s="14">
        <f t="shared" si="30"/>
        <v>12904.0989860274</v>
      </c>
    </row>
    <row r="27" spans="2:56" s="1" customFormat="1" x14ac:dyDescent="0.2">
      <c r="B27" s="1" t="s">
        <v>60</v>
      </c>
      <c r="C27" s="12"/>
      <c r="D27" s="12"/>
      <c r="E27" s="12">
        <v>449.1</v>
      </c>
      <c r="F27" s="12">
        <v>490.6</v>
      </c>
      <c r="G27" s="12">
        <v>478.1</v>
      </c>
      <c r="H27" s="12">
        <v>459.7</v>
      </c>
      <c r="I27" s="12">
        <v>511.8</v>
      </c>
      <c r="J27" s="12">
        <v>660.1</v>
      </c>
      <c r="K27" s="12">
        <v>753.9</v>
      </c>
      <c r="L27" s="12">
        <v>484</v>
      </c>
      <c r="M27" s="12">
        <v>469.5</v>
      </c>
      <c r="N27" s="12">
        <v>570.9</v>
      </c>
      <c r="O27" s="12">
        <v>662.8</v>
      </c>
      <c r="P27" s="12">
        <v>592.70000000000005</v>
      </c>
      <c r="Q27" s="12">
        <v>659.6</v>
      </c>
      <c r="R27" s="1">
        <v>586.79999999999995</v>
      </c>
      <c r="S27" s="1">
        <v>500</v>
      </c>
      <c r="T27" s="1">
        <v>503.7</v>
      </c>
      <c r="AI27" s="1">
        <v>1955.4</v>
      </c>
      <c r="AJ27" s="1">
        <v>1805.2</v>
      </c>
      <c r="AK27" s="1">
        <f t="shared" ref="AK27" si="31">SUM(G27:J27)</f>
        <v>2109.6999999999998</v>
      </c>
      <c r="AL27" s="1">
        <f t="shared" ref="AL27" si="32">SUM(K27:N27)</f>
        <v>2278.3000000000002</v>
      </c>
      <c r="AM27" s="1">
        <f>+AM26-AM28</f>
        <v>2103.6229199999998</v>
      </c>
      <c r="AN27" s="1">
        <f t="shared" ref="AN27:BD27" si="33">+AN26-AN28</f>
        <v>2424.7347912000005</v>
      </c>
      <c r="AO27" s="1">
        <f t="shared" si="33"/>
        <v>2605.784056020002</v>
      </c>
      <c r="AP27" s="1">
        <f t="shared" si="33"/>
        <v>2803.8469309020002</v>
      </c>
      <c r="AQ27" s="1">
        <f t="shared" si="33"/>
        <v>2735.5312374142504</v>
      </c>
      <c r="AR27" s="1">
        <f t="shared" si="33"/>
        <v>2689.4078730451893</v>
      </c>
      <c r="AS27" s="1">
        <f t="shared" si="33"/>
        <v>2663.0907358777349</v>
      </c>
      <c r="AT27" s="1">
        <f t="shared" si="33"/>
        <v>2604.5807399383666</v>
      </c>
      <c r="AU27" s="1">
        <f t="shared" si="33"/>
        <v>2477.2698725924947</v>
      </c>
      <c r="AV27" s="1">
        <f t="shared" si="33"/>
        <v>2422.3939250730164</v>
      </c>
      <c r="AW27" s="1">
        <f t="shared" si="33"/>
        <v>2380.205097406455</v>
      </c>
      <c r="AX27" s="1">
        <f t="shared" si="33"/>
        <v>2348.9412069522623</v>
      </c>
      <c r="AY27" s="1">
        <f t="shared" si="33"/>
        <v>2327.1272794477845</v>
      </c>
      <c r="AZ27" s="1">
        <f t="shared" si="33"/>
        <v>2313.5259698104874</v>
      </c>
      <c r="BA27" s="1">
        <f t="shared" si="33"/>
        <v>2307.096970321867</v>
      </c>
      <c r="BB27" s="1">
        <f t="shared" si="33"/>
        <v>2306.9637243158904</v>
      </c>
      <c r="BC27" s="1">
        <f t="shared" si="33"/>
        <v>2312.386084913398</v>
      </c>
      <c r="BD27" s="1">
        <f t="shared" si="33"/>
        <v>2322.7378174849327</v>
      </c>
    </row>
    <row r="28" spans="2:56" s="1" customFormat="1" x14ac:dyDescent="0.2">
      <c r="B28" s="1" t="s">
        <v>61</v>
      </c>
      <c r="C28" s="12"/>
      <c r="D28" s="12"/>
      <c r="E28" s="12">
        <f t="shared" ref="E28:L28" si="34">+E26-E27</f>
        <v>2926.9999999999991</v>
      </c>
      <c r="F28" s="12">
        <f t="shared" si="34"/>
        <v>2361.9999999999995</v>
      </c>
      <c r="G28" s="12">
        <f t="shared" si="34"/>
        <v>2215.9000000000005</v>
      </c>
      <c r="H28" s="12">
        <f t="shared" si="34"/>
        <v>2315.2999999999997</v>
      </c>
      <c r="I28" s="12">
        <f t="shared" si="34"/>
        <v>2267.1000000000004</v>
      </c>
      <c r="J28" s="12">
        <f t="shared" si="34"/>
        <v>2073.9999999999995</v>
      </c>
      <c r="K28" s="12">
        <f t="shared" si="34"/>
        <v>1777.9</v>
      </c>
      <c r="L28" s="12">
        <f t="shared" si="34"/>
        <v>2105.1</v>
      </c>
      <c r="M28" s="12">
        <f t="shared" ref="M28:R28" si="35">+M26-M27</f>
        <v>2039</v>
      </c>
      <c r="N28" s="12">
        <f t="shared" si="35"/>
        <v>1973.0999999999995</v>
      </c>
      <c r="O28" s="12">
        <f t="shared" si="35"/>
        <v>1800.2</v>
      </c>
      <c r="P28" s="12">
        <f t="shared" si="35"/>
        <v>1863.3</v>
      </c>
      <c r="Q28" s="12">
        <f t="shared" si="35"/>
        <v>1870.7000000000007</v>
      </c>
      <c r="R28" s="12">
        <f>+R26-R27</f>
        <v>1799.5000000000002</v>
      </c>
      <c r="S28" s="12">
        <f>+S26-S27</f>
        <v>1790.5</v>
      </c>
      <c r="T28" s="12">
        <f>+T26-T27</f>
        <v>1961.2000000000005</v>
      </c>
      <c r="U28" s="12"/>
      <c r="V28" s="12"/>
      <c r="W28" s="12"/>
      <c r="X28" s="12"/>
      <c r="AI28" s="1">
        <f>+AI26-AI27</f>
        <v>12422.500000000002</v>
      </c>
      <c r="AJ28" s="1">
        <f>+AJ26-AJ27</f>
        <v>11639.400000000001</v>
      </c>
      <c r="AK28" s="1">
        <f>+AK26-AK27</f>
        <v>8872.2999999999993</v>
      </c>
      <c r="AL28" s="1">
        <f>+AL26-AL27</f>
        <v>8759.9000000000015</v>
      </c>
      <c r="AM28" s="1">
        <f>+AM26*0.82</f>
        <v>9583.1710799999983</v>
      </c>
      <c r="AN28" s="1">
        <f t="shared" ref="AN28:BD28" si="36">+AN26*0.82</f>
        <v>11046.014048800003</v>
      </c>
      <c r="AO28" s="1">
        <f t="shared" si="36"/>
        <v>11870.79403298</v>
      </c>
      <c r="AP28" s="1">
        <f t="shared" si="36"/>
        <v>12773.080462997999</v>
      </c>
      <c r="AQ28" s="1">
        <f t="shared" si="36"/>
        <v>12461.86452599825</v>
      </c>
      <c r="AR28" s="1">
        <f t="shared" si="36"/>
        <v>12251.746977205863</v>
      </c>
      <c r="AS28" s="1">
        <f t="shared" si="36"/>
        <v>12131.857796776347</v>
      </c>
      <c r="AT28" s="1">
        <f t="shared" si="36"/>
        <v>11865.312259719225</v>
      </c>
      <c r="AU28" s="1">
        <f t="shared" si="36"/>
        <v>11285.340530699135</v>
      </c>
      <c r="AV28" s="1">
        <f t="shared" si="36"/>
        <v>11035.350103110402</v>
      </c>
      <c r="AW28" s="1">
        <f t="shared" si="36"/>
        <v>10843.156554851628</v>
      </c>
      <c r="AX28" s="1">
        <f t="shared" si="36"/>
        <v>10700.732165004747</v>
      </c>
      <c r="AY28" s="1">
        <f t="shared" si="36"/>
        <v>10601.357606373236</v>
      </c>
      <c r="AZ28" s="1">
        <f t="shared" si="36"/>
        <v>10539.39608469222</v>
      </c>
      <c r="BA28" s="1">
        <f t="shared" si="36"/>
        <v>10510.108420355173</v>
      </c>
      <c r="BB28" s="1">
        <f t="shared" si="36"/>
        <v>10509.501410772389</v>
      </c>
      <c r="BC28" s="1">
        <f t="shared" si="36"/>
        <v>10534.203275716587</v>
      </c>
      <c r="BD28" s="1">
        <f t="shared" si="36"/>
        <v>10581.361168542468</v>
      </c>
    </row>
    <row r="29" spans="2:56" s="1" customFormat="1" x14ac:dyDescent="0.2">
      <c r="B29" s="1" t="s">
        <v>62</v>
      </c>
      <c r="C29" s="12"/>
      <c r="D29" s="12"/>
      <c r="E29" s="12">
        <v>1140.9000000000001</v>
      </c>
      <c r="F29" s="12">
        <v>1726</v>
      </c>
      <c r="G29" s="12">
        <v>514.20000000000005</v>
      </c>
      <c r="H29" s="12">
        <v>585.1</v>
      </c>
      <c r="I29" s="12">
        <v>702.4</v>
      </c>
      <c r="J29" s="12">
        <v>699.5</v>
      </c>
      <c r="K29" s="12">
        <v>551.70000000000005</v>
      </c>
      <c r="L29" s="12">
        <v>528.6</v>
      </c>
      <c r="M29" s="12">
        <v>549.20000000000005</v>
      </c>
      <c r="N29" s="12">
        <v>601.6</v>
      </c>
      <c r="O29" s="12">
        <v>570.6</v>
      </c>
      <c r="P29" s="12">
        <v>583.79999999999995</v>
      </c>
      <c r="Q29" s="12">
        <v>539.1</v>
      </c>
      <c r="R29" s="1">
        <v>568.1</v>
      </c>
      <c r="S29" s="1">
        <v>446.7</v>
      </c>
      <c r="T29" s="1">
        <v>463.6</v>
      </c>
      <c r="AI29" s="1">
        <v>2280.6</v>
      </c>
      <c r="AJ29" s="1">
        <v>3990.9</v>
      </c>
      <c r="AK29" s="1">
        <f t="shared" ref="AK29:AK30" si="37">SUM(G29:J29)</f>
        <v>2501.2000000000003</v>
      </c>
      <c r="AL29" s="1">
        <f t="shared" ref="AL29:AL30" si="38">SUM(K29:N29)</f>
        <v>2231.1000000000004</v>
      </c>
    </row>
    <row r="30" spans="2:56" s="1" customFormat="1" x14ac:dyDescent="0.2">
      <c r="B30" s="1" t="s">
        <v>63</v>
      </c>
      <c r="C30" s="12"/>
      <c r="D30" s="12"/>
      <c r="E30" s="12">
        <v>573.1</v>
      </c>
      <c r="F30" s="12">
        <v>806.3</v>
      </c>
      <c r="G30" s="12">
        <v>595</v>
      </c>
      <c r="H30" s="12">
        <v>637.29999999999995</v>
      </c>
      <c r="I30" s="12">
        <v>654.1</v>
      </c>
      <c r="J30" s="12">
        <v>787.9</v>
      </c>
      <c r="K30" s="12">
        <v>634.9</v>
      </c>
      <c r="L30" s="12">
        <v>572.6</v>
      </c>
      <c r="M30" s="12">
        <v>563.29999999999995</v>
      </c>
      <c r="N30" s="12">
        <v>632.79999999999995</v>
      </c>
      <c r="O30" s="12">
        <v>605</v>
      </c>
      <c r="P30" s="12">
        <v>533.79999999999995</v>
      </c>
      <c r="Q30" s="12">
        <v>553</v>
      </c>
      <c r="R30" s="1">
        <v>587.9</v>
      </c>
      <c r="S30" s="1">
        <v>569.4</v>
      </c>
      <c r="T30" s="1">
        <v>541.5</v>
      </c>
      <c r="AI30" s="1">
        <v>2374.6999999999998</v>
      </c>
      <c r="AJ30" s="1">
        <v>2504.5</v>
      </c>
      <c r="AK30" s="1">
        <f t="shared" si="37"/>
        <v>2674.3</v>
      </c>
      <c r="AL30" s="1">
        <f t="shared" si="38"/>
        <v>2403.6</v>
      </c>
      <c r="AM30" s="1">
        <f>+AL30*0.95</f>
        <v>2283.4199999999996</v>
      </c>
      <c r="AN30" s="1">
        <f t="shared" ref="AN30:BD30" si="39">+AM30*0.95</f>
        <v>2169.2489999999993</v>
      </c>
      <c r="AO30" s="1">
        <f t="shared" si="39"/>
        <v>2060.7865499999994</v>
      </c>
      <c r="AP30" s="1">
        <f t="shared" si="39"/>
        <v>1957.7472224999992</v>
      </c>
      <c r="AQ30" s="1">
        <f t="shared" si="39"/>
        <v>1859.8598613749991</v>
      </c>
      <c r="AR30" s="1">
        <f t="shared" si="39"/>
        <v>1766.866868306249</v>
      </c>
      <c r="AS30" s="1">
        <f t="shared" si="39"/>
        <v>1678.5235248909364</v>
      </c>
      <c r="AT30" s="1">
        <f t="shared" si="39"/>
        <v>1594.5973486463895</v>
      </c>
      <c r="AU30" s="1">
        <f t="shared" si="39"/>
        <v>1514.86748121407</v>
      </c>
      <c r="AV30" s="1">
        <f t="shared" si="39"/>
        <v>1439.1241071533664</v>
      </c>
      <c r="AW30" s="1">
        <f t="shared" si="39"/>
        <v>1367.1679017956981</v>
      </c>
      <c r="AX30" s="1">
        <f t="shared" si="39"/>
        <v>1298.809506705913</v>
      </c>
      <c r="AY30" s="1">
        <f t="shared" si="39"/>
        <v>1233.8690313706172</v>
      </c>
      <c r="AZ30" s="1">
        <f t="shared" si="39"/>
        <v>1172.1755798020863</v>
      </c>
      <c r="BA30" s="1">
        <f t="shared" si="39"/>
        <v>1113.5668008119819</v>
      </c>
      <c r="BB30" s="1">
        <f t="shared" si="39"/>
        <v>1057.8884607713828</v>
      </c>
      <c r="BC30" s="1">
        <f t="shared" si="39"/>
        <v>1004.9940377328136</v>
      </c>
      <c r="BD30" s="1">
        <f t="shared" si="39"/>
        <v>954.74433584617282</v>
      </c>
    </row>
    <row r="31" spans="2:56" s="1" customFormat="1" x14ac:dyDescent="0.2">
      <c r="B31" s="1" t="s">
        <v>64</v>
      </c>
      <c r="C31" s="12"/>
      <c r="D31" s="12"/>
      <c r="E31" s="12">
        <f t="shared" ref="E31:L31" si="40">+E29+E30</f>
        <v>1714</v>
      </c>
      <c r="F31" s="12">
        <f t="shared" si="40"/>
        <v>2532.3000000000002</v>
      </c>
      <c r="G31" s="12">
        <f t="shared" si="40"/>
        <v>1109.2</v>
      </c>
      <c r="H31" s="12">
        <f t="shared" si="40"/>
        <v>1222.4000000000001</v>
      </c>
      <c r="I31" s="12">
        <f t="shared" si="40"/>
        <v>1356.5</v>
      </c>
      <c r="J31" s="12">
        <f t="shared" si="40"/>
        <v>1487.4</v>
      </c>
      <c r="K31" s="12">
        <f t="shared" si="40"/>
        <v>1186.5999999999999</v>
      </c>
      <c r="L31" s="12">
        <f t="shared" si="40"/>
        <v>1101.2</v>
      </c>
      <c r="M31" s="12">
        <f t="shared" ref="M31:N31" si="41">+M29+M30</f>
        <v>1112.5</v>
      </c>
      <c r="N31" s="12">
        <f t="shared" si="41"/>
        <v>1234.4000000000001</v>
      </c>
      <c r="O31" s="12">
        <f t="shared" ref="O31:R31" si="42">+O29+O30</f>
        <v>1175.5999999999999</v>
      </c>
      <c r="P31" s="12">
        <f t="shared" si="42"/>
        <v>1117.5999999999999</v>
      </c>
      <c r="Q31" s="12">
        <f t="shared" si="42"/>
        <v>1092.0999999999999</v>
      </c>
      <c r="R31" s="12">
        <f t="shared" si="42"/>
        <v>1156</v>
      </c>
      <c r="S31" s="12">
        <f>+S29+S30</f>
        <v>1016.0999999999999</v>
      </c>
      <c r="T31" s="12">
        <f>+T29+T30</f>
        <v>1005.1</v>
      </c>
      <c r="U31" s="12"/>
      <c r="V31" s="12"/>
      <c r="W31" s="12"/>
      <c r="X31" s="12"/>
      <c r="AI31" s="1">
        <f t="shared" ref="AI31:AJ31" si="43">+AI29+AI30</f>
        <v>4655.2999999999993</v>
      </c>
      <c r="AJ31" s="1">
        <f t="shared" si="43"/>
        <v>6495.4</v>
      </c>
      <c r="AK31" s="1">
        <f>+AK29+AK30</f>
        <v>5175.5</v>
      </c>
      <c r="AL31" s="1">
        <f>+AL29+AL30</f>
        <v>4634.7000000000007</v>
      </c>
      <c r="AM31" s="1">
        <f t="shared" ref="AM31:BD31" si="44">+AM29+AM30</f>
        <v>2283.4199999999996</v>
      </c>
      <c r="AN31" s="1">
        <f t="shared" si="44"/>
        <v>2169.2489999999993</v>
      </c>
      <c r="AO31" s="1">
        <f t="shared" si="44"/>
        <v>2060.7865499999994</v>
      </c>
      <c r="AP31" s="1">
        <f t="shared" si="44"/>
        <v>1957.7472224999992</v>
      </c>
      <c r="AQ31" s="1">
        <f t="shared" si="44"/>
        <v>1859.8598613749991</v>
      </c>
      <c r="AR31" s="1">
        <f t="shared" si="44"/>
        <v>1766.866868306249</v>
      </c>
      <c r="AS31" s="1">
        <f t="shared" si="44"/>
        <v>1678.5235248909364</v>
      </c>
      <c r="AT31" s="1">
        <f t="shared" si="44"/>
        <v>1594.5973486463895</v>
      </c>
      <c r="AU31" s="1">
        <f t="shared" si="44"/>
        <v>1514.86748121407</v>
      </c>
      <c r="AV31" s="1">
        <f t="shared" si="44"/>
        <v>1439.1241071533664</v>
      </c>
      <c r="AW31" s="1">
        <f t="shared" si="44"/>
        <v>1367.1679017956981</v>
      </c>
      <c r="AX31" s="1">
        <f t="shared" si="44"/>
        <v>1298.809506705913</v>
      </c>
      <c r="AY31" s="1">
        <f t="shared" si="44"/>
        <v>1233.8690313706172</v>
      </c>
      <c r="AZ31" s="1">
        <f t="shared" si="44"/>
        <v>1172.1755798020863</v>
      </c>
      <c r="BA31" s="1">
        <f t="shared" si="44"/>
        <v>1113.5668008119819</v>
      </c>
      <c r="BB31" s="1">
        <f t="shared" si="44"/>
        <v>1057.8884607713828</v>
      </c>
      <c r="BC31" s="1">
        <f t="shared" si="44"/>
        <v>1004.9940377328136</v>
      </c>
      <c r="BD31" s="1">
        <f t="shared" si="44"/>
        <v>954.74433584617282</v>
      </c>
    </row>
    <row r="32" spans="2:56" s="1" customFormat="1" x14ac:dyDescent="0.2">
      <c r="B32" s="1" t="s">
        <v>65</v>
      </c>
      <c r="C32" s="12"/>
      <c r="D32" s="12"/>
      <c r="E32" s="12">
        <f t="shared" ref="E32:L32" si="45">+E28-E31</f>
        <v>1212.9999999999991</v>
      </c>
      <c r="F32" s="12">
        <f t="shared" si="45"/>
        <v>-170.30000000000064</v>
      </c>
      <c r="G32" s="12">
        <f t="shared" si="45"/>
        <v>1106.7000000000005</v>
      </c>
      <c r="H32" s="12">
        <f t="shared" si="45"/>
        <v>1092.8999999999996</v>
      </c>
      <c r="I32" s="12">
        <f t="shared" si="45"/>
        <v>910.60000000000036</v>
      </c>
      <c r="J32" s="12">
        <f t="shared" si="45"/>
        <v>586.59999999999945</v>
      </c>
      <c r="K32" s="12">
        <f t="shared" si="45"/>
        <v>591.30000000000018</v>
      </c>
      <c r="L32" s="12">
        <f t="shared" si="45"/>
        <v>1003.8999999999999</v>
      </c>
      <c r="M32" s="12">
        <f t="shared" ref="M32:N32" si="46">+M28-M31</f>
        <v>926.5</v>
      </c>
      <c r="N32" s="12">
        <f t="shared" si="46"/>
        <v>738.69999999999936</v>
      </c>
      <c r="O32" s="12">
        <f t="shared" ref="O32:R32" si="47">+O28-O31</f>
        <v>624.60000000000014</v>
      </c>
      <c r="P32" s="12">
        <f t="shared" si="47"/>
        <v>745.7</v>
      </c>
      <c r="Q32" s="12">
        <f t="shared" si="47"/>
        <v>778.60000000000082</v>
      </c>
      <c r="R32" s="12">
        <f t="shared" si="47"/>
        <v>643.50000000000023</v>
      </c>
      <c r="S32" s="12">
        <f>+S28-S31</f>
        <v>774.40000000000009</v>
      </c>
      <c r="T32" s="12">
        <f>+T28-T31</f>
        <v>956.10000000000048</v>
      </c>
      <c r="U32" s="12"/>
      <c r="V32" s="12"/>
      <c r="W32" s="12"/>
      <c r="X32" s="12"/>
      <c r="AI32" s="1">
        <f t="shared" ref="AI32:AJ32" si="48">+AI28-AI31</f>
        <v>7767.2000000000025</v>
      </c>
      <c r="AJ32" s="1">
        <f t="shared" si="48"/>
        <v>5144.0000000000018</v>
      </c>
      <c r="AK32" s="1">
        <f>+AK28-AK31</f>
        <v>3696.7999999999993</v>
      </c>
      <c r="AL32" s="1">
        <f>+AL28-AL31</f>
        <v>4125.2000000000007</v>
      </c>
      <c r="AM32" s="1">
        <f t="shared" ref="AM32:BD32" si="49">+AM28-AM31</f>
        <v>7299.7510799999982</v>
      </c>
      <c r="AN32" s="1">
        <f t="shared" si="49"/>
        <v>8876.7650488000036</v>
      </c>
      <c r="AO32" s="1">
        <f t="shared" si="49"/>
        <v>9810.0074829800014</v>
      </c>
      <c r="AP32" s="1">
        <f t="shared" si="49"/>
        <v>10815.333240497999</v>
      </c>
      <c r="AQ32" s="1">
        <f t="shared" si="49"/>
        <v>10602.004664623251</v>
      </c>
      <c r="AR32" s="1">
        <f t="shared" si="49"/>
        <v>10484.880108899613</v>
      </c>
      <c r="AS32" s="1">
        <f t="shared" si="49"/>
        <v>10453.334271885411</v>
      </c>
      <c r="AT32" s="1">
        <f t="shared" si="49"/>
        <v>10270.714911072835</v>
      </c>
      <c r="AU32" s="1">
        <f t="shared" si="49"/>
        <v>9770.4730494850646</v>
      </c>
      <c r="AV32" s="1">
        <f t="shared" si="49"/>
        <v>9596.2259959570365</v>
      </c>
      <c r="AW32" s="1">
        <f t="shared" si="49"/>
        <v>9475.9886530559306</v>
      </c>
      <c r="AX32" s="1">
        <f t="shared" si="49"/>
        <v>9401.922658298834</v>
      </c>
      <c r="AY32" s="1">
        <f t="shared" si="49"/>
        <v>9367.4885750026187</v>
      </c>
      <c r="AZ32" s="1">
        <f t="shared" si="49"/>
        <v>9367.2205048901342</v>
      </c>
      <c r="BA32" s="1">
        <f t="shared" si="49"/>
        <v>9396.5416195431899</v>
      </c>
      <c r="BB32" s="1">
        <f t="shared" si="49"/>
        <v>9451.6129500010065</v>
      </c>
      <c r="BC32" s="1">
        <f t="shared" si="49"/>
        <v>9529.2092379837741</v>
      </c>
      <c r="BD32" s="1">
        <f t="shared" si="49"/>
        <v>9626.6168326962943</v>
      </c>
    </row>
    <row r="33" spans="2:59" s="1" customFormat="1" x14ac:dyDescent="0.2">
      <c r="B33" s="1" t="s">
        <v>66</v>
      </c>
      <c r="C33" s="12"/>
      <c r="D33" s="12"/>
      <c r="E33" s="12">
        <f>73-128.6</f>
        <v>-55.599999999999994</v>
      </c>
      <c r="F33" s="12">
        <f>66.4+683.5</f>
        <v>749.9</v>
      </c>
      <c r="G33" s="12">
        <f>68.5-506.9</f>
        <v>-438.4</v>
      </c>
      <c r="H33" s="12">
        <v>-15.2</v>
      </c>
      <c r="I33" s="12">
        <f>21.2-502.9</f>
        <v>-481.7</v>
      </c>
      <c r="J33" s="12">
        <f>67.3-182.1</f>
        <v>-114.8</v>
      </c>
      <c r="K33" s="12">
        <f>-117.3-263.3</f>
        <v>-380.6</v>
      </c>
      <c r="L33" s="12">
        <v>29.4</v>
      </c>
      <c r="M33" s="12">
        <f>45.3+56</f>
        <v>101.3</v>
      </c>
      <c r="N33" s="12">
        <v>-113.1</v>
      </c>
      <c r="O33" s="12">
        <v>-69.400000000000006</v>
      </c>
      <c r="P33" s="12">
        <v>14.7</v>
      </c>
      <c r="Q33" s="12">
        <v>-300</v>
      </c>
      <c r="R33" s="1">
        <v>-67.3</v>
      </c>
      <c r="S33" s="1">
        <v>-93.7</v>
      </c>
      <c r="T33" s="1">
        <v>-85.2</v>
      </c>
      <c r="AI33" s="1">
        <f>241.6+83.3</f>
        <v>324.89999999999998</v>
      </c>
      <c r="AJ33" s="1">
        <f>232.9+497.4</f>
        <v>730.3</v>
      </c>
      <c r="AK33" s="1">
        <f t="shared" ref="AK33" si="50">SUM(G33:J33)</f>
        <v>-1050.0999999999999</v>
      </c>
      <c r="AL33" s="1">
        <f t="shared" ref="AL33" si="51">SUM(K33:N33)</f>
        <v>-363</v>
      </c>
    </row>
    <row r="34" spans="2:59" s="1" customFormat="1" x14ac:dyDescent="0.2">
      <c r="B34" s="1" t="s">
        <v>67</v>
      </c>
      <c r="C34" s="12"/>
      <c r="D34" s="12"/>
      <c r="E34" s="12">
        <f t="shared" ref="E34:S34" si="52">+E32+E33</f>
        <v>1157.3999999999992</v>
      </c>
      <c r="F34" s="12">
        <f t="shared" si="52"/>
        <v>579.59999999999934</v>
      </c>
      <c r="G34" s="12">
        <f t="shared" si="52"/>
        <v>668.30000000000052</v>
      </c>
      <c r="H34" s="12">
        <f t="shared" si="52"/>
        <v>1077.6999999999996</v>
      </c>
      <c r="I34" s="12">
        <f t="shared" si="52"/>
        <v>428.90000000000038</v>
      </c>
      <c r="J34" s="12">
        <f t="shared" si="52"/>
        <v>471.79999999999944</v>
      </c>
      <c r="K34" s="12">
        <f t="shared" si="52"/>
        <v>210.70000000000016</v>
      </c>
      <c r="L34" s="12">
        <f t="shared" si="52"/>
        <v>1033.3</v>
      </c>
      <c r="M34" s="12">
        <f t="shared" si="52"/>
        <v>1027.8</v>
      </c>
      <c r="N34" s="12">
        <f t="shared" si="52"/>
        <v>625.59999999999934</v>
      </c>
      <c r="O34" s="12">
        <f t="shared" si="52"/>
        <v>555.20000000000016</v>
      </c>
      <c r="P34" s="12">
        <f t="shared" si="52"/>
        <v>760.40000000000009</v>
      </c>
      <c r="Q34" s="12">
        <f t="shared" si="52"/>
        <v>478.60000000000082</v>
      </c>
      <c r="R34" s="12">
        <f t="shared" si="52"/>
        <v>576.20000000000027</v>
      </c>
      <c r="S34" s="12">
        <f t="shared" si="52"/>
        <v>680.7</v>
      </c>
      <c r="T34" s="12">
        <f>+T32+T33</f>
        <v>870.90000000000043</v>
      </c>
      <c r="U34" s="12"/>
      <c r="V34" s="12"/>
      <c r="W34" s="12"/>
      <c r="X34" s="12"/>
      <c r="AI34" s="1">
        <f t="shared" ref="AI34:AJ34" si="53">+AI32+AI33</f>
        <v>8092.1000000000022</v>
      </c>
      <c r="AJ34" s="1">
        <f t="shared" si="53"/>
        <v>5874.300000000002</v>
      </c>
      <c r="AK34" s="1">
        <f>+AK32+AK33</f>
        <v>2646.6999999999994</v>
      </c>
      <c r="AL34" s="1">
        <f>+AL32+AL33</f>
        <v>3762.2000000000007</v>
      </c>
      <c r="AM34" s="1">
        <f t="shared" ref="AM34:BD34" si="54">+AM32+AM33</f>
        <v>7299.7510799999982</v>
      </c>
      <c r="AN34" s="1">
        <f t="shared" si="54"/>
        <v>8876.7650488000036</v>
      </c>
      <c r="AO34" s="1">
        <f t="shared" si="54"/>
        <v>9810.0074829800014</v>
      </c>
      <c r="AP34" s="1">
        <f t="shared" si="54"/>
        <v>10815.333240497999</v>
      </c>
      <c r="AQ34" s="1">
        <f t="shared" si="54"/>
        <v>10602.004664623251</v>
      </c>
      <c r="AR34" s="1">
        <f t="shared" si="54"/>
        <v>10484.880108899613</v>
      </c>
      <c r="AS34" s="1">
        <f t="shared" si="54"/>
        <v>10453.334271885411</v>
      </c>
      <c r="AT34" s="1">
        <f t="shared" si="54"/>
        <v>10270.714911072835</v>
      </c>
      <c r="AU34" s="1">
        <f t="shared" si="54"/>
        <v>9770.4730494850646</v>
      </c>
      <c r="AV34" s="1">
        <f t="shared" si="54"/>
        <v>9596.2259959570365</v>
      </c>
      <c r="AW34" s="1">
        <f t="shared" si="54"/>
        <v>9475.9886530559306</v>
      </c>
      <c r="AX34" s="1">
        <f t="shared" si="54"/>
        <v>9401.922658298834</v>
      </c>
      <c r="AY34" s="1">
        <f t="shared" si="54"/>
        <v>9367.4885750026187</v>
      </c>
      <c r="AZ34" s="1">
        <f t="shared" si="54"/>
        <v>9367.2205048901342</v>
      </c>
      <c r="BA34" s="1">
        <f t="shared" si="54"/>
        <v>9396.5416195431899</v>
      </c>
      <c r="BB34" s="1">
        <f t="shared" si="54"/>
        <v>9451.6129500010065</v>
      </c>
      <c r="BC34" s="1">
        <f t="shared" si="54"/>
        <v>9529.2092379837741</v>
      </c>
      <c r="BD34" s="1">
        <f t="shared" si="54"/>
        <v>9626.6168326962943</v>
      </c>
    </row>
    <row r="35" spans="2:59" s="1" customFormat="1" x14ac:dyDescent="0.2">
      <c r="B35" s="1" t="s">
        <v>68</v>
      </c>
      <c r="C35" s="12"/>
      <c r="D35" s="12"/>
      <c r="E35" s="12">
        <f>240.8+13.1+2.4</f>
        <v>256.3</v>
      </c>
      <c r="F35" s="12">
        <f>13.3-18-0.3</f>
        <v>-4.9999999999999991</v>
      </c>
      <c r="G35" s="12">
        <f>44.2+18.2-5.6</f>
        <v>56.800000000000004</v>
      </c>
      <c r="H35" s="12">
        <f>409.1-34.3+577</f>
        <v>951.8</v>
      </c>
      <c r="I35" s="12">
        <f>-25.9-1.1-11.1</f>
        <v>-38.1</v>
      </c>
      <c r="J35" s="12">
        <f>443.2-17.7-388.7</f>
        <v>36.800000000000011</v>
      </c>
      <c r="K35" s="12">
        <f>125.6+3.3-85.3</f>
        <v>43.600000000000009</v>
      </c>
      <c r="L35" s="12">
        <f>216.7-5.9</f>
        <v>210.79999999999998</v>
      </c>
      <c r="M35" s="12">
        <v>236.2</v>
      </c>
      <c r="N35" s="12">
        <v>54.3</v>
      </c>
      <c r="O35" s="12">
        <v>50.7</v>
      </c>
      <c r="P35" s="12">
        <v>108.9</v>
      </c>
      <c r="Q35" s="12">
        <v>72.900000000000006</v>
      </c>
      <c r="R35" s="12">
        <v>42.7</v>
      </c>
      <c r="S35" s="12">
        <v>71.400000000000006</v>
      </c>
      <c r="T35" s="12">
        <v>115.1</v>
      </c>
      <c r="U35" s="12"/>
      <c r="V35" s="12"/>
      <c r="W35" s="12"/>
      <c r="X35" s="12"/>
      <c r="AI35" s="1">
        <f>1158+79.4</f>
        <v>1237.4000000000001</v>
      </c>
      <c r="AJ35" s="1">
        <f>992.3+59.9</f>
        <v>1052.2</v>
      </c>
      <c r="AK35" s="1">
        <f t="shared" ref="AK35" si="55">SUM(G35:J35)</f>
        <v>1007.3</v>
      </c>
      <c r="AL35" s="1">
        <f t="shared" ref="AL35" si="56">SUM(K35:N35)</f>
        <v>544.9</v>
      </c>
      <c r="AM35" s="1">
        <f>+AM34*0.2</f>
        <v>1459.9502159999997</v>
      </c>
      <c r="AN35" s="1">
        <f t="shared" ref="AN35:BD35" si="57">+AN34*0.2</f>
        <v>1775.3530097600008</v>
      </c>
      <c r="AO35" s="1">
        <f t="shared" si="57"/>
        <v>1962.0014965960004</v>
      </c>
      <c r="AP35" s="1">
        <f t="shared" si="57"/>
        <v>2163.0666480996001</v>
      </c>
      <c r="AQ35" s="1">
        <f t="shared" si="57"/>
        <v>2120.4009329246505</v>
      </c>
      <c r="AR35" s="1">
        <f t="shared" si="57"/>
        <v>2096.9760217799226</v>
      </c>
      <c r="AS35" s="1">
        <f t="shared" si="57"/>
        <v>2090.6668543770825</v>
      </c>
      <c r="AT35" s="1">
        <f t="shared" si="57"/>
        <v>2054.1429822145669</v>
      </c>
      <c r="AU35" s="1">
        <f t="shared" si="57"/>
        <v>1954.094609897013</v>
      </c>
      <c r="AV35" s="1">
        <f t="shared" si="57"/>
        <v>1919.2451991914074</v>
      </c>
      <c r="AW35" s="1">
        <f t="shared" si="57"/>
        <v>1895.1977306111862</v>
      </c>
      <c r="AX35" s="1">
        <f t="shared" si="57"/>
        <v>1880.3845316597669</v>
      </c>
      <c r="AY35" s="1">
        <f t="shared" si="57"/>
        <v>1873.4977150005238</v>
      </c>
      <c r="AZ35" s="1">
        <f t="shared" si="57"/>
        <v>1873.4441009780269</v>
      </c>
      <c r="BA35" s="1">
        <f t="shared" si="57"/>
        <v>1879.3083239086382</v>
      </c>
      <c r="BB35" s="1">
        <f t="shared" si="57"/>
        <v>1890.3225900002014</v>
      </c>
      <c r="BC35" s="1">
        <f t="shared" si="57"/>
        <v>1905.8418475967549</v>
      </c>
      <c r="BD35" s="1">
        <f t="shared" si="57"/>
        <v>1925.323366539259</v>
      </c>
    </row>
    <row r="36" spans="2:59" x14ac:dyDescent="0.2">
      <c r="B36" s="1" t="s">
        <v>69</v>
      </c>
      <c r="E36" s="12">
        <f t="shared" ref="E36:R36" si="58">+E34-E35</f>
        <v>901.09999999999923</v>
      </c>
      <c r="F36" s="12">
        <f t="shared" si="58"/>
        <v>584.59999999999934</v>
      </c>
      <c r="G36" s="12">
        <f t="shared" si="58"/>
        <v>611.50000000000057</v>
      </c>
      <c r="H36" s="12">
        <f t="shared" si="58"/>
        <v>125.89999999999964</v>
      </c>
      <c r="I36" s="12">
        <f t="shared" si="58"/>
        <v>467.0000000000004</v>
      </c>
      <c r="J36" s="12">
        <f t="shared" si="58"/>
        <v>434.99999999999943</v>
      </c>
      <c r="K36" s="12">
        <f t="shared" si="58"/>
        <v>167.10000000000014</v>
      </c>
      <c r="L36" s="12">
        <f t="shared" si="58"/>
        <v>822.5</v>
      </c>
      <c r="M36" s="12">
        <f>+M34-M35</f>
        <v>791.59999999999991</v>
      </c>
      <c r="N36" s="12">
        <f t="shared" si="58"/>
        <v>571.29999999999939</v>
      </c>
      <c r="O36" s="12">
        <f t="shared" si="58"/>
        <v>504.50000000000017</v>
      </c>
      <c r="P36" s="12">
        <f t="shared" si="58"/>
        <v>651.50000000000011</v>
      </c>
      <c r="Q36" s="12">
        <f t="shared" si="58"/>
        <v>405.70000000000084</v>
      </c>
      <c r="R36" s="12">
        <f t="shared" si="58"/>
        <v>533.50000000000023</v>
      </c>
      <c r="S36" s="12">
        <f>+S34-S35</f>
        <v>609.30000000000007</v>
      </c>
      <c r="T36" s="12">
        <f>+T34-T35</f>
        <v>755.80000000000041</v>
      </c>
      <c r="U36" s="12"/>
      <c r="V36" s="12"/>
      <c r="W36" s="12"/>
      <c r="X36" s="12"/>
      <c r="Y36" s="12"/>
      <c r="AI36" s="1">
        <f>+AI34-AI35</f>
        <v>6854.7000000000025</v>
      </c>
      <c r="AJ36" s="1">
        <f>+AJ34-AJ35</f>
        <v>4822.1000000000022</v>
      </c>
      <c r="AK36" s="1">
        <f>+AK34-AK35</f>
        <v>1639.3999999999994</v>
      </c>
      <c r="AL36" s="1">
        <f>+AL34-AL35</f>
        <v>3217.3000000000006</v>
      </c>
      <c r="AM36" s="1">
        <f>+AM34-AM35</f>
        <v>5839.8008639999989</v>
      </c>
      <c r="AN36" s="1">
        <f t="shared" ref="AN36:BD36" si="59">+AN34-AN35</f>
        <v>7101.412039040003</v>
      </c>
      <c r="AO36" s="1">
        <f t="shared" si="59"/>
        <v>7848.0059863840015</v>
      </c>
      <c r="AP36" s="1">
        <f t="shared" si="59"/>
        <v>8652.2665923983986</v>
      </c>
      <c r="AQ36" s="1">
        <f t="shared" si="59"/>
        <v>8481.6037316986003</v>
      </c>
      <c r="AR36" s="1">
        <f t="shared" si="59"/>
        <v>8387.9040871196903</v>
      </c>
      <c r="AS36" s="1">
        <f t="shared" si="59"/>
        <v>8362.6674175083281</v>
      </c>
      <c r="AT36" s="1">
        <f t="shared" si="59"/>
        <v>8216.5719288582677</v>
      </c>
      <c r="AU36" s="1">
        <f t="shared" si="59"/>
        <v>7816.3784395880521</v>
      </c>
      <c r="AV36" s="1">
        <f t="shared" si="59"/>
        <v>7676.9807967656288</v>
      </c>
      <c r="AW36" s="1">
        <f t="shared" si="59"/>
        <v>7580.7909224447449</v>
      </c>
      <c r="AX36" s="1">
        <f t="shared" si="59"/>
        <v>7521.5381266390668</v>
      </c>
      <c r="AY36" s="1">
        <f t="shared" si="59"/>
        <v>7493.9908600020954</v>
      </c>
      <c r="AZ36" s="1">
        <f t="shared" si="59"/>
        <v>7493.7764039121075</v>
      </c>
      <c r="BA36" s="1">
        <f t="shared" si="59"/>
        <v>7517.2332956345517</v>
      </c>
      <c r="BB36" s="1">
        <f t="shared" si="59"/>
        <v>7561.2903600008049</v>
      </c>
      <c r="BC36" s="1">
        <f t="shared" si="59"/>
        <v>7623.3673903870194</v>
      </c>
      <c r="BD36" s="1">
        <f t="shared" si="59"/>
        <v>7701.2934661570353</v>
      </c>
    </row>
    <row r="37" spans="2:59" x14ac:dyDescent="0.2">
      <c r="B37" s="1" t="s">
        <v>1</v>
      </c>
      <c r="E37" s="15">
        <f t="shared" ref="E37:L37" si="60">+E36/E38</f>
        <v>5.7321882951653897</v>
      </c>
      <c r="F37" s="15">
        <f t="shared" si="60"/>
        <v>3.796103896103892</v>
      </c>
      <c r="G37" s="15">
        <f t="shared" si="60"/>
        <v>4.0151017728168128</v>
      </c>
      <c r="H37" s="15">
        <f t="shared" si="60"/>
        <v>0.83877415056628679</v>
      </c>
      <c r="I37" s="15">
        <f t="shared" si="60"/>
        <v>3.1426648721399757</v>
      </c>
      <c r="J37" s="15">
        <f t="shared" si="60"/>
        <v>2.9491525423728775</v>
      </c>
      <c r="K37" s="15">
        <f t="shared" si="60"/>
        <v>1.1321138211382122</v>
      </c>
      <c r="L37" s="15">
        <f t="shared" si="60"/>
        <v>5.625854993160055</v>
      </c>
      <c r="M37" s="15">
        <f t="shared" ref="M37:T37" si="61">+M36/M38</f>
        <v>5.4668508287292807</v>
      </c>
      <c r="N37" s="15">
        <f t="shared" si="61"/>
        <v>3.9345730027548171</v>
      </c>
      <c r="O37" s="15">
        <f t="shared" si="61"/>
        <v>3.4745179063360898</v>
      </c>
      <c r="P37" s="15">
        <f t="shared" si="61"/>
        <v>4.4776632302405508</v>
      </c>
      <c r="Q37" s="15">
        <f t="shared" si="61"/>
        <v>2.801795580110503</v>
      </c>
      <c r="R37" s="15">
        <f t="shared" si="61"/>
        <v>3.661633493479755</v>
      </c>
      <c r="S37" s="15">
        <f t="shared" si="61"/>
        <v>4.1761480466072651</v>
      </c>
      <c r="T37" s="15">
        <f t="shared" si="61"/>
        <v>5.1802604523646361</v>
      </c>
      <c r="U37" s="15"/>
      <c r="V37" s="15"/>
      <c r="W37" s="15"/>
      <c r="X37" s="15"/>
      <c r="AI37" s="17">
        <f>+AI36/AI38</f>
        <v>36.577908217716129</v>
      </c>
      <c r="AJ37" s="17">
        <f>+AJ36/AJ38</f>
        <v>29.895226286422826</v>
      </c>
      <c r="AK37" s="17">
        <f>+AK36/AK38</f>
        <v>10.956725146198826</v>
      </c>
      <c r="AL37" s="17">
        <f>+AL36/AL38</f>
        <v>22.043850633778696</v>
      </c>
      <c r="AM37" s="17">
        <f>+AM36/AM38</f>
        <v>40.012338910585811</v>
      </c>
      <c r="AN37" s="17">
        <f t="shared" ref="AN37:BD37" si="62">+AN36/AN38</f>
        <v>48.656471661802009</v>
      </c>
      <c r="AO37" s="17">
        <f t="shared" si="62"/>
        <v>53.771880687797207</v>
      </c>
      <c r="AP37" s="17">
        <f t="shared" si="62"/>
        <v>59.282402140448092</v>
      </c>
      <c r="AQ37" s="17">
        <f t="shared" si="62"/>
        <v>58.113077983546425</v>
      </c>
      <c r="AR37" s="17">
        <f t="shared" si="62"/>
        <v>57.471079733605279</v>
      </c>
      <c r="AS37" s="17">
        <f t="shared" si="62"/>
        <v>57.298166615336271</v>
      </c>
      <c r="AT37" s="17">
        <f t="shared" si="62"/>
        <v>56.297169776349904</v>
      </c>
      <c r="AU37" s="17">
        <f t="shared" si="62"/>
        <v>53.555179442192895</v>
      </c>
      <c r="AV37" s="17">
        <f t="shared" si="62"/>
        <v>52.600073975783687</v>
      </c>
      <c r="AW37" s="17">
        <f t="shared" si="62"/>
        <v>51.941013514523782</v>
      </c>
      <c r="AX37" s="17">
        <f t="shared" si="62"/>
        <v>51.535033413080285</v>
      </c>
      <c r="AY37" s="17">
        <f t="shared" si="62"/>
        <v>51.346288866064377</v>
      </c>
      <c r="AZ37" s="17">
        <f t="shared" si="62"/>
        <v>51.344819485523182</v>
      </c>
      <c r="BA37" s="17">
        <f t="shared" si="62"/>
        <v>51.505538168102447</v>
      </c>
      <c r="BB37" s="17">
        <f t="shared" si="62"/>
        <v>51.807402261053824</v>
      </c>
      <c r="BC37" s="17">
        <f t="shared" si="62"/>
        <v>52.232733061918601</v>
      </c>
      <c r="BD37" s="17">
        <f t="shared" si="62"/>
        <v>52.766656157293838</v>
      </c>
    </row>
    <row r="38" spans="2:59" x14ac:dyDescent="0.2">
      <c r="B38" s="1" t="s">
        <v>70</v>
      </c>
      <c r="E38" s="12">
        <v>157.19999999999999</v>
      </c>
      <c r="F38" s="12">
        <v>154</v>
      </c>
      <c r="G38" s="12">
        <v>152.30000000000001</v>
      </c>
      <c r="H38" s="12">
        <v>150.1</v>
      </c>
      <c r="I38" s="12">
        <v>148.6</v>
      </c>
      <c r="J38" s="12">
        <v>147.5</v>
      </c>
      <c r="K38" s="12">
        <v>147.6</v>
      </c>
      <c r="L38" s="12">
        <v>146.19999999999999</v>
      </c>
      <c r="M38" s="12">
        <v>144.80000000000001</v>
      </c>
      <c r="N38" s="12">
        <v>145.19999999999999</v>
      </c>
      <c r="O38" s="12">
        <v>145.19999999999999</v>
      </c>
      <c r="P38" s="12">
        <v>145.5</v>
      </c>
      <c r="Q38" s="12">
        <v>144.80000000000001</v>
      </c>
      <c r="R38" s="12">
        <v>145.69999999999999</v>
      </c>
      <c r="S38" s="12">
        <v>145.9</v>
      </c>
      <c r="T38" s="12">
        <v>145.9</v>
      </c>
      <c r="U38" s="12"/>
      <c r="V38" s="12"/>
      <c r="W38" s="12"/>
      <c r="X38" s="12"/>
      <c r="AI38" s="1">
        <v>187.4</v>
      </c>
      <c r="AJ38" s="1">
        <v>161.30000000000001</v>
      </c>
      <c r="AK38" s="1">
        <f>AVERAGE(G38:J38)</f>
        <v>149.625</v>
      </c>
      <c r="AL38" s="1">
        <f>AVERAGE(K38:N38)</f>
        <v>145.94999999999999</v>
      </c>
      <c r="AM38" s="1">
        <f>+AL38</f>
        <v>145.94999999999999</v>
      </c>
      <c r="AN38" s="1">
        <f t="shared" ref="AN38:BD38" si="63">+AM38</f>
        <v>145.94999999999999</v>
      </c>
      <c r="AO38" s="1">
        <f t="shared" si="63"/>
        <v>145.94999999999999</v>
      </c>
      <c r="AP38" s="1">
        <f t="shared" si="63"/>
        <v>145.94999999999999</v>
      </c>
      <c r="AQ38" s="1">
        <f t="shared" si="63"/>
        <v>145.94999999999999</v>
      </c>
      <c r="AR38" s="1">
        <f t="shared" si="63"/>
        <v>145.94999999999999</v>
      </c>
      <c r="AS38" s="1">
        <f t="shared" si="63"/>
        <v>145.94999999999999</v>
      </c>
      <c r="AT38" s="1">
        <f t="shared" si="63"/>
        <v>145.94999999999999</v>
      </c>
      <c r="AU38" s="1">
        <f t="shared" si="63"/>
        <v>145.94999999999999</v>
      </c>
      <c r="AV38" s="1">
        <f t="shared" si="63"/>
        <v>145.94999999999999</v>
      </c>
      <c r="AW38" s="1">
        <f t="shared" si="63"/>
        <v>145.94999999999999</v>
      </c>
      <c r="AX38" s="1">
        <f t="shared" si="63"/>
        <v>145.94999999999999</v>
      </c>
      <c r="AY38" s="1">
        <f t="shared" si="63"/>
        <v>145.94999999999999</v>
      </c>
      <c r="AZ38" s="1">
        <f t="shared" si="63"/>
        <v>145.94999999999999</v>
      </c>
      <c r="BA38" s="1">
        <f t="shared" si="63"/>
        <v>145.94999999999999</v>
      </c>
      <c r="BB38" s="1">
        <f t="shared" si="63"/>
        <v>145.94999999999999</v>
      </c>
      <c r="BC38" s="1">
        <f t="shared" si="63"/>
        <v>145.94999999999999</v>
      </c>
      <c r="BD38" s="1">
        <f t="shared" si="63"/>
        <v>145.94999999999999</v>
      </c>
    </row>
    <row r="39" spans="2:59" x14ac:dyDescent="0.2">
      <c r="BF39" t="s">
        <v>78</v>
      </c>
      <c r="BG39" s="18">
        <v>-0.01</v>
      </c>
    </row>
    <row r="40" spans="2:59" x14ac:dyDescent="0.2">
      <c r="BF40" t="s">
        <v>79</v>
      </c>
      <c r="BG40" s="18">
        <v>0.08</v>
      </c>
    </row>
    <row r="41" spans="2:59" s="23" customFormat="1" x14ac:dyDescent="0.2">
      <c r="B41" s="13" t="s">
        <v>76</v>
      </c>
      <c r="C41" s="21"/>
      <c r="D41" s="21"/>
      <c r="E41" s="21"/>
      <c r="F41" s="21"/>
      <c r="G41" s="21"/>
      <c r="H41" s="21"/>
      <c r="I41" s="22">
        <f t="shared" ref="I41:O41" si="64">+I26/E26-1</f>
        <v>-0.1768904949497937</v>
      </c>
      <c r="J41" s="22">
        <f t="shared" si="64"/>
        <v>-4.1541050269929158E-2</v>
      </c>
      <c r="K41" s="22">
        <f t="shared" si="64"/>
        <v>-6.0207869339272579E-2</v>
      </c>
      <c r="L41" s="22">
        <f t="shared" si="64"/>
        <v>-6.6990990990990817E-2</v>
      </c>
      <c r="M41" s="22">
        <f t="shared" si="64"/>
        <v>-9.7304688905682335E-2</v>
      </c>
      <c r="N41" s="22">
        <f t="shared" si="64"/>
        <v>-6.9529278373139269E-2</v>
      </c>
      <c r="O41" s="22">
        <f t="shared" si="64"/>
        <v>-2.7174342365115844E-2</v>
      </c>
      <c r="P41" s="22">
        <f t="shared" ref="P41:T41" si="65">+P26/L26-1</f>
        <v>-5.1407825112973593E-2</v>
      </c>
      <c r="Q41" s="22">
        <f t="shared" si="65"/>
        <v>8.6904524616306933E-3</v>
      </c>
      <c r="R41" s="22">
        <f t="shared" si="65"/>
        <v>-6.1988993710691553E-2</v>
      </c>
      <c r="S41" s="22">
        <f t="shared" si="65"/>
        <v>-7.0036540803897651E-2</v>
      </c>
      <c r="T41" s="22">
        <f t="shared" si="65"/>
        <v>3.6237785016288715E-3</v>
      </c>
      <c r="U41" s="22"/>
      <c r="V41" s="22"/>
      <c r="W41" s="22"/>
      <c r="X41" s="22"/>
      <c r="AJ41" s="24">
        <f>+AJ26/AI26-1</f>
        <v>-6.4912122076241974E-2</v>
      </c>
      <c r="AK41" s="24">
        <f t="shared" ref="AK41:BD41" si="66">+AK26/AJ26-1</f>
        <v>-0.18316647575978484</v>
      </c>
      <c r="AL41" s="24">
        <f t="shared" si="66"/>
        <v>5.1174649426337648E-3</v>
      </c>
      <c r="AM41" s="24">
        <f t="shared" si="66"/>
        <v>5.8759036799477693E-2</v>
      </c>
      <c r="AN41" s="24">
        <f t="shared" si="66"/>
        <v>0.15264706813519657</v>
      </c>
      <c r="AO41" s="24">
        <f t="shared" si="66"/>
        <v>7.4667656634892721E-2</v>
      </c>
      <c r="AP41" s="24">
        <f t="shared" si="66"/>
        <v>7.6008936513532577E-2</v>
      </c>
      <c r="AQ41" s="24">
        <f t="shared" si="66"/>
        <v>-2.4364986809666034E-2</v>
      </c>
      <c r="AR41" s="24">
        <f t="shared" si="66"/>
        <v>-1.6860843604424858E-2</v>
      </c>
      <c r="AS41" s="24">
        <f t="shared" si="66"/>
        <v>-9.7854763612542639E-3</v>
      </c>
      <c r="AT41" s="24">
        <f t="shared" si="66"/>
        <v>-2.1970710629986789E-2</v>
      </c>
      <c r="AU41" s="24">
        <f t="shared" si="66"/>
        <v>-4.8879601002073669E-2</v>
      </c>
      <c r="AV41" s="24">
        <f t="shared" si="66"/>
        <v>-2.2151784158279675E-2</v>
      </c>
      <c r="AW41" s="24">
        <f t="shared" si="66"/>
        <v>-1.7416171345991494E-2</v>
      </c>
      <c r="AX41" s="24">
        <f t="shared" si="66"/>
        <v>-1.3134956516251184E-2</v>
      </c>
      <c r="AY41" s="24">
        <f t="shared" si="66"/>
        <v>-9.2867064700956625E-3</v>
      </c>
      <c r="AZ41" s="24">
        <f t="shared" si="66"/>
        <v>-5.8446780102736628E-3</v>
      </c>
      <c r="BA41" s="24">
        <f t="shared" si="66"/>
        <v>-2.7788750040038668E-3</v>
      </c>
      <c r="BB41" s="24">
        <f t="shared" si="66"/>
        <v>-5.7754835488421641E-5</v>
      </c>
      <c r="BC41" s="24">
        <f t="shared" si="66"/>
        <v>2.3504316692777305E-3</v>
      </c>
      <c r="BD41" s="24">
        <f t="shared" si="66"/>
        <v>4.4766454179394621E-3</v>
      </c>
      <c r="BF41" s="23" t="s">
        <v>80</v>
      </c>
      <c r="BG41" s="13">
        <f>NPV(BG40,AM36:BD36)+Main!J5-Main!J6</f>
        <v>73154.666167274831</v>
      </c>
    </row>
    <row r="42" spans="2:59" x14ac:dyDescent="0.2">
      <c r="B42" s="1" t="s">
        <v>118</v>
      </c>
      <c r="I42" s="16"/>
      <c r="J42" s="16">
        <f t="shared" ref="J42:O42" si="67">+J21/F21-1</f>
        <v>-4.6836982968369689E-2</v>
      </c>
      <c r="K42" s="16">
        <f t="shared" si="67"/>
        <v>-6.5741284984401127E-2</v>
      </c>
      <c r="L42" s="16">
        <f t="shared" si="67"/>
        <v>-8.103756708407861E-2</v>
      </c>
      <c r="M42" s="16">
        <f t="shared" si="67"/>
        <v>-0.11044112980006349</v>
      </c>
      <c r="N42" s="16">
        <f t="shared" si="67"/>
        <v>-0.1318716382532592</v>
      </c>
      <c r="O42" s="16">
        <f t="shared" si="67"/>
        <v>-0.15578570391521074</v>
      </c>
      <c r="P42" s="16">
        <f t="shared" ref="P42:T42" si="68">+P21/L21-1</f>
        <v>-0.10380572318473802</v>
      </c>
      <c r="Q42" s="16">
        <f t="shared" si="68"/>
        <v>-8.1851077926711091E-2</v>
      </c>
      <c r="R42" s="16">
        <f t="shared" si="68"/>
        <v>-3.9957994224205651E-2</v>
      </c>
      <c r="S42" s="16">
        <f t="shared" si="68"/>
        <v>-2.7344645723458072E-2</v>
      </c>
      <c r="T42" s="16">
        <f t="shared" si="68"/>
        <v>3.0084170513168695E-2</v>
      </c>
      <c r="U42" s="16"/>
      <c r="V42" s="16"/>
      <c r="W42" s="16"/>
      <c r="X42" s="16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G42" s="1"/>
    </row>
    <row r="43" spans="2:59" x14ac:dyDescent="0.2">
      <c r="B43" s="1" t="s">
        <v>77</v>
      </c>
      <c r="E43" s="16">
        <f>+E28/E26</f>
        <v>0.86697668907911496</v>
      </c>
      <c r="F43" s="16">
        <f>+F28/F26</f>
        <v>0.82801654630863075</v>
      </c>
      <c r="G43" s="16">
        <f>+G28/G26</f>
        <v>0.82253155159613967</v>
      </c>
      <c r="H43" s="16">
        <f t="shared" ref="H43" si="69">+H28/H26</f>
        <v>0.83434234234234239</v>
      </c>
      <c r="I43" s="16">
        <f t="shared" ref="I43:J43" si="70">+I28/I26</f>
        <v>0.8158264061319227</v>
      </c>
      <c r="J43" s="16">
        <f t="shared" si="70"/>
        <v>0.7585677188105775</v>
      </c>
      <c r="K43" s="16">
        <f t="shared" ref="K43:O43" si="71">+K28/K26</f>
        <v>0.70222766411248916</v>
      </c>
      <c r="L43" s="16">
        <f t="shared" si="71"/>
        <v>0.8130624541346414</v>
      </c>
      <c r="M43" s="16">
        <f t="shared" si="71"/>
        <v>0.81283635638827989</v>
      </c>
      <c r="N43" s="16">
        <f t="shared" si="71"/>
        <v>0.77558962264150932</v>
      </c>
      <c r="O43" s="16">
        <f t="shared" si="71"/>
        <v>0.73089727974015428</v>
      </c>
      <c r="P43" s="16">
        <f t="shared" ref="P43:T43" si="72">+P28/P26</f>
        <v>0.75867263843648203</v>
      </c>
      <c r="Q43" s="16">
        <f t="shared" si="72"/>
        <v>0.73931944828676455</v>
      </c>
      <c r="R43" s="16">
        <f t="shared" si="72"/>
        <v>0.75409629971084946</v>
      </c>
      <c r="S43" s="16">
        <f t="shared" si="72"/>
        <v>0.78170705086225711</v>
      </c>
      <c r="T43" s="16">
        <f t="shared" si="72"/>
        <v>0.79565093918617391</v>
      </c>
      <c r="U43" s="16"/>
      <c r="V43" s="16"/>
      <c r="W43" s="16"/>
      <c r="X43" s="16"/>
      <c r="AI43" s="18">
        <f t="shared" ref="AI43:AJ43" si="73">+AI28/AI26</f>
        <v>0.86399961051335739</v>
      </c>
      <c r="AJ43" s="18">
        <f t="shared" si="73"/>
        <v>0.86573047915148083</v>
      </c>
      <c r="AK43" s="18">
        <f>+AK28/AK26</f>
        <v>0.80789473684210533</v>
      </c>
      <c r="AL43" s="18">
        <f t="shared" ref="AL43:BD43" si="74">+AL28/AL26</f>
        <v>0.79359859397365506</v>
      </c>
      <c r="AM43" s="18">
        <f t="shared" si="74"/>
        <v>0.82</v>
      </c>
      <c r="AN43" s="18">
        <f t="shared" si="74"/>
        <v>0.82000000000000006</v>
      </c>
      <c r="AO43" s="18">
        <f t="shared" si="74"/>
        <v>0.81999999999999984</v>
      </c>
      <c r="AP43" s="18">
        <f t="shared" si="74"/>
        <v>0.82</v>
      </c>
      <c r="AQ43" s="18">
        <f t="shared" si="74"/>
        <v>0.82</v>
      </c>
      <c r="AR43" s="18">
        <f t="shared" si="74"/>
        <v>0.82000000000000006</v>
      </c>
      <c r="AS43" s="18">
        <f t="shared" si="74"/>
        <v>0.82</v>
      </c>
      <c r="AT43" s="18">
        <f t="shared" si="74"/>
        <v>0.82</v>
      </c>
      <c r="AU43" s="18">
        <f t="shared" si="74"/>
        <v>0.82</v>
      </c>
      <c r="AV43" s="18">
        <f t="shared" si="74"/>
        <v>0.82</v>
      </c>
      <c r="AW43" s="18">
        <f t="shared" si="74"/>
        <v>0.82</v>
      </c>
      <c r="AX43" s="18">
        <f t="shared" si="74"/>
        <v>0.82</v>
      </c>
      <c r="AY43" s="18">
        <f t="shared" si="74"/>
        <v>0.82</v>
      </c>
      <c r="AZ43" s="18">
        <f t="shared" si="74"/>
        <v>0.82</v>
      </c>
      <c r="BA43" s="18">
        <f t="shared" si="74"/>
        <v>0.82000000000000006</v>
      </c>
      <c r="BB43" s="18">
        <f t="shared" si="74"/>
        <v>0.82</v>
      </c>
      <c r="BC43" s="18">
        <f t="shared" si="74"/>
        <v>0.82</v>
      </c>
      <c r="BD43" s="18">
        <f t="shared" si="74"/>
        <v>0.82</v>
      </c>
      <c r="BF43" t="s">
        <v>81</v>
      </c>
      <c r="BG43" s="17">
        <f>BG41/Main!J3</f>
        <v>504.51493908465403</v>
      </c>
    </row>
    <row r="45" spans="2:59" x14ac:dyDescent="0.2">
      <c r="B45" t="s">
        <v>111</v>
      </c>
      <c r="L45" s="12">
        <f>L46-L60</f>
        <v>124.39999999999964</v>
      </c>
      <c r="M45" s="12">
        <f>M46-M60</f>
        <v>1104.8000000000002</v>
      </c>
      <c r="N45" s="12">
        <f>N46-N60</f>
        <v>846.69999999999982</v>
      </c>
      <c r="O45" s="12">
        <f>O46-O60</f>
        <v>1117.5999999999995</v>
      </c>
    </row>
    <row r="46" spans="2:59" s="1" customFormat="1" x14ac:dyDescent="0.2">
      <c r="B46" s="1" t="s">
        <v>3</v>
      </c>
      <c r="C46" s="12"/>
      <c r="D46" s="12"/>
      <c r="E46" s="12"/>
      <c r="F46" s="12"/>
      <c r="G46" s="12"/>
      <c r="H46" s="12"/>
      <c r="I46" s="12"/>
      <c r="J46" s="12"/>
      <c r="K46" s="12"/>
      <c r="L46" s="12">
        <f>4797.9+1102.9+1500.8</f>
        <v>7401.5999999999995</v>
      </c>
      <c r="M46" s="12">
        <f>3675.6+1235.5+860.3+1612.6</f>
        <v>7384</v>
      </c>
      <c r="N46" s="12">
        <f>3419.3+1473.5+705.7+1529.2</f>
        <v>7127.7</v>
      </c>
      <c r="O46" s="12">
        <f>2898.2+2143.1+978.2+1380.8</f>
        <v>7400.2999999999993</v>
      </c>
      <c r="P46" s="12"/>
      <c r="Q46" s="12"/>
      <c r="T46" s="1">
        <f>1908.9+681.5</f>
        <v>2590.4</v>
      </c>
    </row>
    <row r="47" spans="2:59" s="1" customFormat="1" x14ac:dyDescent="0.2">
      <c r="B47" s="1" t="s">
        <v>101</v>
      </c>
      <c r="C47" s="12"/>
      <c r="D47" s="12"/>
      <c r="E47" s="12"/>
      <c r="F47" s="12"/>
      <c r="G47" s="12"/>
      <c r="H47" s="12"/>
      <c r="I47" s="12"/>
      <c r="J47" s="12"/>
      <c r="K47" s="12"/>
      <c r="L47" s="12">
        <v>1567.6</v>
      </c>
      <c r="M47" s="12">
        <v>1568.8</v>
      </c>
      <c r="N47" s="12">
        <v>1705</v>
      </c>
      <c r="O47" s="12">
        <v>1634.4</v>
      </c>
      <c r="P47" s="12"/>
      <c r="Q47" s="12"/>
      <c r="T47" s="1">
        <v>1627.1</v>
      </c>
    </row>
    <row r="48" spans="2:59" s="1" customFormat="1" x14ac:dyDescent="0.2">
      <c r="B48" s="1" t="s">
        <v>58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>
        <v>415.4</v>
      </c>
      <c r="N48" s="12">
        <v>431.4</v>
      </c>
      <c r="O48" s="12">
        <v>393.8</v>
      </c>
      <c r="P48" s="12"/>
      <c r="Q48" s="12"/>
      <c r="T48" s="1">
        <v>451.1</v>
      </c>
    </row>
    <row r="49" spans="2:20" s="1" customFormat="1" x14ac:dyDescent="0.2">
      <c r="B49" s="1" t="s">
        <v>102</v>
      </c>
      <c r="C49" s="12"/>
      <c r="D49" s="12"/>
      <c r="E49" s="12"/>
      <c r="F49" s="12"/>
      <c r="G49" s="12"/>
      <c r="H49" s="12"/>
      <c r="I49" s="12"/>
      <c r="J49" s="12"/>
      <c r="K49" s="12"/>
      <c r="L49" s="12">
        <v>1294.2</v>
      </c>
      <c r="M49" s="12">
        <v>1375</v>
      </c>
      <c r="N49" s="12">
        <v>1344.4</v>
      </c>
      <c r="O49" s="12">
        <v>1281</v>
      </c>
      <c r="P49" s="12"/>
      <c r="Q49" s="12"/>
      <c r="T49" s="1">
        <v>2506.1</v>
      </c>
    </row>
    <row r="50" spans="2:20" s="1" customFormat="1" x14ac:dyDescent="0.2">
      <c r="B50" s="1" t="s">
        <v>103</v>
      </c>
      <c r="C50" s="12"/>
      <c r="D50" s="12"/>
      <c r="E50" s="12"/>
      <c r="F50" s="12"/>
      <c r="G50" s="12"/>
      <c r="H50" s="12"/>
      <c r="I50" s="12"/>
      <c r="J50" s="12"/>
      <c r="K50" s="12"/>
      <c r="L50" s="12">
        <v>2081.1999999999998</v>
      </c>
      <c r="M50" s="12">
        <v>1495.5</v>
      </c>
      <c r="N50" s="12">
        <v>1417.6</v>
      </c>
      <c r="O50" s="12">
        <v>1412</v>
      </c>
      <c r="P50" s="12"/>
      <c r="Q50" s="12"/>
      <c r="T50" s="1">
        <v>615.29999999999995</v>
      </c>
    </row>
    <row r="51" spans="2:20" s="1" customFormat="1" x14ac:dyDescent="0.2">
      <c r="B51" s="1" t="s">
        <v>104</v>
      </c>
      <c r="C51" s="12"/>
      <c r="D51" s="12"/>
      <c r="E51" s="12"/>
      <c r="F51" s="12"/>
      <c r="G51" s="12"/>
      <c r="H51" s="12"/>
      <c r="I51" s="12"/>
      <c r="J51" s="12"/>
      <c r="K51" s="12"/>
      <c r="L51" s="12">
        <v>3355.1</v>
      </c>
      <c r="M51" s="12">
        <v>3266.4</v>
      </c>
      <c r="N51" s="12">
        <v>3298.6</v>
      </c>
      <c r="O51" s="12">
        <v>3300.9</v>
      </c>
      <c r="P51" s="12"/>
      <c r="Q51" s="12"/>
      <c r="T51" s="1">
        <v>3249.3</v>
      </c>
    </row>
    <row r="52" spans="2:20" s="1" customFormat="1" x14ac:dyDescent="0.2">
      <c r="B52" s="1" t="s">
        <v>105</v>
      </c>
      <c r="C52" s="12"/>
      <c r="D52" s="12"/>
      <c r="E52" s="12"/>
      <c r="F52" s="12"/>
      <c r="G52" s="12"/>
      <c r="H52" s="12"/>
      <c r="I52" s="12"/>
      <c r="J52" s="12"/>
      <c r="K52" s="12"/>
      <c r="L52" s="12">
        <v>321.10000000000002</v>
      </c>
      <c r="M52" s="12">
        <v>424.5</v>
      </c>
      <c r="N52" s="12">
        <v>403.9</v>
      </c>
      <c r="O52" s="12">
        <v>399.1</v>
      </c>
      <c r="P52" s="12"/>
      <c r="Q52" s="12"/>
      <c r="T52" s="1">
        <v>389.4</v>
      </c>
    </row>
    <row r="53" spans="2:20" s="1" customFormat="1" x14ac:dyDescent="0.2">
      <c r="B53" s="1" t="s">
        <v>106</v>
      </c>
      <c r="C53" s="12"/>
      <c r="D53" s="12"/>
      <c r="E53" s="12"/>
      <c r="F53" s="12"/>
      <c r="G53" s="12"/>
      <c r="H53" s="12"/>
      <c r="I53" s="12"/>
      <c r="J53" s="12"/>
      <c r="K53" s="12"/>
      <c r="L53" s="12">
        <f>2075.3+5749.6</f>
        <v>7824.9000000000005</v>
      </c>
      <c r="M53" s="12">
        <f>5741.2+2008.9</f>
        <v>7750.1</v>
      </c>
      <c r="N53" s="12">
        <f>1850.1+5749</f>
        <v>7599.1</v>
      </c>
      <c r="O53" s="12">
        <f>1813.3+5751.8</f>
        <v>7565.1</v>
      </c>
      <c r="P53" s="12"/>
      <c r="Q53" s="12"/>
      <c r="T53" s="1">
        <f>8232.9+6227.4</f>
        <v>14460.3</v>
      </c>
    </row>
    <row r="54" spans="2:20" s="1" customFormat="1" x14ac:dyDescent="0.2">
      <c r="B54" s="1" t="s">
        <v>107</v>
      </c>
      <c r="C54" s="12"/>
      <c r="D54" s="12"/>
      <c r="E54" s="12"/>
      <c r="F54" s="12"/>
      <c r="G54" s="12"/>
      <c r="H54" s="12"/>
      <c r="I54" s="12"/>
      <c r="J54" s="12"/>
      <c r="K54" s="12"/>
      <c r="L54" s="12">
        <v>1235.7</v>
      </c>
      <c r="M54" s="12">
        <v>1174.5</v>
      </c>
      <c r="N54" s="12">
        <v>1226.4000000000001</v>
      </c>
      <c r="O54" s="12">
        <v>1211.8</v>
      </c>
      <c r="P54" s="12"/>
      <c r="Q54" s="12"/>
      <c r="T54" s="1">
        <v>915.1</v>
      </c>
    </row>
    <row r="55" spans="2:20" x14ac:dyDescent="0.2">
      <c r="B55" s="1" t="s">
        <v>108</v>
      </c>
      <c r="L55" s="12">
        <f>SUM(L46:L54)</f>
        <v>25081.4</v>
      </c>
      <c r="M55" s="12">
        <f>SUM(M46:M54)</f>
        <v>24854.199999999997</v>
      </c>
      <c r="N55" s="12">
        <f>SUM(N46:N54)</f>
        <v>24554.100000000002</v>
      </c>
      <c r="O55" s="12">
        <f>SUM(O46:O54)</f>
        <v>24598.399999999998</v>
      </c>
      <c r="P55" s="12">
        <f t="shared" ref="P55:T55" si="75">SUM(P46:P54)</f>
        <v>0</v>
      </c>
      <c r="Q55" s="12">
        <f t="shared" si="75"/>
        <v>0</v>
      </c>
      <c r="R55" s="12">
        <f t="shared" si="75"/>
        <v>0</v>
      </c>
      <c r="S55" s="12">
        <f t="shared" si="75"/>
        <v>0</v>
      </c>
      <c r="T55" s="12">
        <f t="shared" si="75"/>
        <v>26804.1</v>
      </c>
    </row>
    <row r="57" spans="2:20" s="1" customFormat="1" x14ac:dyDescent="0.2">
      <c r="B57" s="1" t="s">
        <v>68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>
        <f>237.3+328.9</f>
        <v>566.20000000000005</v>
      </c>
      <c r="N57" s="12">
        <v>259.89999999999998</v>
      </c>
      <c r="O57" s="12">
        <v>235.5</v>
      </c>
      <c r="P57" s="12"/>
      <c r="Q57" s="12"/>
      <c r="T57" s="1">
        <v>281.60000000000002</v>
      </c>
    </row>
    <row r="58" spans="2:20" s="1" customFormat="1" x14ac:dyDescent="0.2">
      <c r="B58" s="1" t="s">
        <v>109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>
        <v>383.2</v>
      </c>
      <c r="N58" s="12">
        <v>491.5</v>
      </c>
      <c r="O58" s="12">
        <v>491.2</v>
      </c>
      <c r="P58" s="12"/>
      <c r="Q58" s="12"/>
      <c r="T58" s="1">
        <v>354.5</v>
      </c>
    </row>
    <row r="59" spans="2:20" s="1" customFormat="1" x14ac:dyDescent="0.2">
      <c r="B59" s="1" t="s">
        <v>110</v>
      </c>
      <c r="C59" s="12"/>
      <c r="D59" s="12"/>
      <c r="E59" s="12"/>
      <c r="F59" s="12"/>
      <c r="G59" s="12"/>
      <c r="H59" s="12"/>
      <c r="I59" s="12"/>
      <c r="J59" s="12"/>
      <c r="K59" s="12"/>
      <c r="L59" s="12">
        <v>4018.2</v>
      </c>
      <c r="M59" s="12">
        <v>3305.9</v>
      </c>
      <c r="N59" s="12">
        <v>2521.4</v>
      </c>
      <c r="O59" s="12">
        <v>2288.1999999999998</v>
      </c>
      <c r="P59" s="12"/>
      <c r="Q59" s="12"/>
      <c r="T59" s="1">
        <v>2472.1</v>
      </c>
    </row>
    <row r="60" spans="2:20" s="1" customFormat="1" x14ac:dyDescent="0.2">
      <c r="B60" s="1" t="s">
        <v>4</v>
      </c>
      <c r="C60" s="12"/>
      <c r="D60" s="12"/>
      <c r="E60" s="12"/>
      <c r="F60" s="12"/>
      <c r="G60" s="12"/>
      <c r="H60" s="12"/>
      <c r="I60" s="12"/>
      <c r="J60" s="12"/>
      <c r="K60" s="12"/>
      <c r="L60" s="12">
        <f>999.8+6277.4</f>
        <v>7277.2</v>
      </c>
      <c r="M60" s="12">
        <v>6279.2</v>
      </c>
      <c r="N60" s="12">
        <v>6281</v>
      </c>
      <c r="O60" s="12">
        <v>6282.7</v>
      </c>
      <c r="P60" s="12"/>
      <c r="Q60" s="12"/>
      <c r="T60" s="1">
        <v>6292</v>
      </c>
    </row>
    <row r="61" spans="2:20" s="1" customFormat="1" x14ac:dyDescent="0.2">
      <c r="B61" s="1" t="s">
        <v>107</v>
      </c>
      <c r="C61" s="12"/>
      <c r="D61" s="12"/>
      <c r="E61" s="12"/>
      <c r="F61" s="12"/>
      <c r="G61" s="12"/>
      <c r="H61" s="12"/>
      <c r="I61" s="12"/>
      <c r="J61" s="12"/>
      <c r="K61" s="12"/>
      <c r="L61" s="12">
        <v>480.6</v>
      </c>
      <c r="M61" s="12">
        <v>354.8</v>
      </c>
      <c r="N61" s="12">
        <v>334.7</v>
      </c>
      <c r="O61" s="12">
        <v>251.3</v>
      </c>
      <c r="P61" s="12"/>
      <c r="Q61" s="12"/>
      <c r="T61" s="1">
        <v>590.6</v>
      </c>
    </row>
    <row r="62" spans="2:20" s="1" customFormat="1" x14ac:dyDescent="0.2">
      <c r="B62" s="1" t="s">
        <v>105</v>
      </c>
      <c r="C62" s="12"/>
      <c r="D62" s="12"/>
      <c r="E62" s="12"/>
      <c r="F62" s="12"/>
      <c r="G62" s="12"/>
      <c r="H62" s="12"/>
      <c r="I62" s="12"/>
      <c r="J62" s="12"/>
      <c r="K62" s="12"/>
      <c r="L62" s="12">
        <v>274.2</v>
      </c>
      <c r="M62" s="12">
        <v>1198.0999999999999</v>
      </c>
      <c r="N62" s="12">
        <v>333</v>
      </c>
      <c r="O62" s="12">
        <v>327</v>
      </c>
      <c r="P62" s="12"/>
      <c r="Q62" s="12"/>
      <c r="T62" s="1">
        <v>367.5</v>
      </c>
    </row>
    <row r="63" spans="2:20" s="1" customFormat="1" x14ac:dyDescent="0.2">
      <c r="B63" s="1" t="s">
        <v>119</v>
      </c>
      <c r="C63" s="12"/>
      <c r="D63" s="12"/>
      <c r="E63" s="12"/>
      <c r="F63" s="12"/>
      <c r="G63" s="12"/>
      <c r="H63" s="12"/>
      <c r="I63" s="12"/>
      <c r="J63" s="12"/>
      <c r="K63" s="12"/>
      <c r="L63" s="12">
        <v>1167.8</v>
      </c>
      <c r="M63" s="12"/>
      <c r="N63" s="12">
        <v>944.2</v>
      </c>
      <c r="O63" s="12">
        <v>935.5</v>
      </c>
      <c r="P63" s="12"/>
      <c r="Q63" s="12"/>
      <c r="T63" s="1">
        <v>556.70000000000005</v>
      </c>
    </row>
    <row r="64" spans="2:20" s="1" customFormat="1" x14ac:dyDescent="0.2">
      <c r="B64" s="1" t="s">
        <v>100</v>
      </c>
      <c r="C64" s="12"/>
      <c r="D64" s="12"/>
      <c r="E64" s="12"/>
      <c r="F64" s="12"/>
      <c r="G64" s="12"/>
      <c r="H64" s="12"/>
      <c r="I64" s="12"/>
      <c r="J64" s="12"/>
      <c r="K64" s="12"/>
      <c r="L64" s="12">
        <v>11863.4</v>
      </c>
      <c r="M64" s="12">
        <v>12766.8</v>
      </c>
      <c r="N64" s="12">
        <v>13388.4</v>
      </c>
      <c r="O64" s="12">
        <v>13787</v>
      </c>
      <c r="P64" s="12"/>
      <c r="Q64" s="12"/>
      <c r="T64" s="1">
        <v>15889.1</v>
      </c>
    </row>
    <row r="65" spans="2:21" s="1" customFormat="1" x14ac:dyDescent="0.2">
      <c r="B65" s="1" t="s">
        <v>99</v>
      </c>
      <c r="C65" s="12"/>
      <c r="D65" s="12"/>
      <c r="E65" s="12"/>
      <c r="F65" s="12"/>
      <c r="G65" s="12"/>
      <c r="H65" s="12"/>
      <c r="I65" s="12"/>
      <c r="J65" s="12"/>
      <c r="K65" s="12"/>
      <c r="L65" s="12">
        <f>SUM(L57:L64)</f>
        <v>25081.4</v>
      </c>
      <c r="M65" s="12">
        <f>SUM(M57:M64)</f>
        <v>24854.199999999997</v>
      </c>
      <c r="N65" s="12">
        <f>SUM(N57:N64)</f>
        <v>24554.1</v>
      </c>
      <c r="O65" s="12">
        <f>SUM(O57:O64)</f>
        <v>24598.399999999998</v>
      </c>
      <c r="P65" s="12">
        <f t="shared" ref="P65:U65" si="76">SUM(P57:P64)</f>
        <v>0</v>
      </c>
      <c r="Q65" s="12">
        <f t="shared" si="76"/>
        <v>0</v>
      </c>
      <c r="R65" s="12">
        <f t="shared" si="76"/>
        <v>0</v>
      </c>
      <c r="S65" s="12">
        <f t="shared" si="76"/>
        <v>0</v>
      </c>
      <c r="T65" s="12">
        <f t="shared" si="76"/>
        <v>26804.100000000002</v>
      </c>
      <c r="U65" s="12"/>
    </row>
  </sheetData>
  <hyperlinks>
    <hyperlink ref="A1" location="Main!A1" display="Main" xr:uid="{B820F574-645F-4D74-9059-6520877C6957}"/>
  </hyperlink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2022-10-12T00:37:40Z</dcterms:created>
  <dcterms:modified xsi:type="dcterms:W3CDTF">2024-09-01T05:36:53Z</dcterms:modified>
</cp:coreProperties>
</file>