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8DB6CF5-51C6-42AE-A5AB-848BD91CFA61}" xr6:coauthVersionLast="47" xr6:coauthVersionMax="47" xr10:uidLastSave="{00000000-0000-0000-0000-000000000000}"/>
  <bookViews>
    <workbookView xWindow="-51210" yWindow="390" windowWidth="38700" windowHeight="1534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8" i="1" l="1"/>
  <c r="J53" i="1" l="1"/>
  <c r="F53" i="1" s="1"/>
  <c r="G53" i="1"/>
  <c r="G42" i="1" l="1"/>
  <c r="G34" i="1" l="1"/>
  <c r="J34" i="1"/>
  <c r="F34" i="1" s="1"/>
  <c r="G48" i="1"/>
  <c r="G52" i="1"/>
  <c r="H34" i="1" l="1"/>
  <c r="G44" i="1"/>
  <c r="G67" i="1"/>
  <c r="G40" i="1" l="1"/>
  <c r="G32" i="1" l="1"/>
  <c r="G30" i="1" l="1"/>
  <c r="G33" i="1" l="1"/>
  <c r="G29" i="1" l="1"/>
  <c r="J29" i="1" l="1"/>
  <c r="G31" i="1"/>
  <c r="G28" i="1"/>
  <c r="G23" i="1" l="1"/>
  <c r="G25" i="1" l="1"/>
  <c r="G24" i="1"/>
  <c r="G184" i="1" l="1"/>
  <c r="J184" i="1"/>
  <c r="F184" i="1" s="1"/>
  <c r="H184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397" i="1" l="1"/>
  <c r="F397" i="1" s="1"/>
  <c r="G397" i="1"/>
  <c r="H397" i="1" l="1"/>
  <c r="J104" i="1"/>
  <c r="F104" i="1" s="1"/>
  <c r="G104" i="1"/>
  <c r="H104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5" i="1" l="1"/>
  <c r="F112" i="1" l="1"/>
  <c r="G103" i="1"/>
  <c r="J103" i="1"/>
  <c r="F103" i="1" s="1"/>
  <c r="G27" i="1"/>
  <c r="H103" i="1" l="1"/>
  <c r="G116" i="1"/>
  <c r="J116" i="1"/>
  <c r="F116" i="1" s="1"/>
  <c r="G148" i="1"/>
  <c r="J148" i="1"/>
  <c r="F148" i="1" s="1"/>
  <c r="H116" i="1" l="1"/>
  <c r="H148" i="1"/>
  <c r="J147" i="1"/>
  <c r="F147" i="1" s="1"/>
  <c r="G147" i="1"/>
  <c r="F12" i="5" a="1"/>
  <c r="F12" i="5" s="1"/>
  <c r="G290" i="1"/>
  <c r="J290" i="1"/>
  <c r="F290" i="1" s="1"/>
  <c r="G291" i="1"/>
  <c r="J291" i="1"/>
  <c r="E291" i="1"/>
  <c r="H147" i="1" l="1"/>
  <c r="F291" i="1"/>
  <c r="H291" i="1" s="1"/>
  <c r="H290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0" i="1" l="1"/>
  <c r="J60" i="1"/>
  <c r="F60" i="1" s="1"/>
  <c r="H60" i="1" l="1"/>
  <c r="J117" i="1"/>
  <c r="F117" i="1" s="1"/>
  <c r="G117" i="1"/>
  <c r="H117" i="1" l="1"/>
  <c r="G109" i="1"/>
  <c r="J109" i="1"/>
  <c r="F109" i="1" s="1"/>
  <c r="H109" i="1" l="1"/>
  <c r="J65" i="1"/>
  <c r="F65" i="1" s="1"/>
  <c r="G58" i="1" l="1"/>
  <c r="J58" i="1"/>
  <c r="F58" i="1" s="1"/>
  <c r="H58" i="1" l="1"/>
  <c r="G26" i="1"/>
  <c r="F26" i="1"/>
  <c r="H26" i="1" l="1"/>
  <c r="J52" i="1"/>
  <c r="F52" i="1" s="1"/>
  <c r="H52" i="1" s="1"/>
  <c r="J48" i="1"/>
  <c r="F48" i="1" s="1"/>
  <c r="G64" i="1"/>
  <c r="J64" i="1"/>
  <c r="F64" i="1" s="1"/>
  <c r="H48" i="1" l="1"/>
  <c r="H64" i="1"/>
  <c r="K13" i="1"/>
  <c r="G47" i="1" l="1"/>
  <c r="G46" i="1"/>
  <c r="J47" i="1"/>
  <c r="F47" i="1" s="1"/>
  <c r="J46" i="1"/>
  <c r="F46" i="1" s="1"/>
  <c r="G110" i="1"/>
  <c r="J110" i="1"/>
  <c r="F110" i="1" s="1"/>
  <c r="G56" i="1"/>
  <c r="J56" i="1"/>
  <c r="F56" i="1" s="1"/>
  <c r="G105" i="1"/>
  <c r="J105" i="1"/>
  <c r="F105" i="1" s="1"/>
  <c r="H110" i="1" l="1"/>
  <c r="H47" i="1"/>
  <c r="H46" i="1"/>
  <c r="H56" i="1"/>
  <c r="H105" i="1"/>
  <c r="G49" i="1"/>
  <c r="J49" i="1"/>
  <c r="F49" i="1" s="1"/>
  <c r="J42" i="1"/>
  <c r="F42" i="1" s="1"/>
  <c r="H49" i="1" l="1"/>
  <c r="H42" i="1"/>
  <c r="J62" i="1"/>
  <c r="F62" i="1" s="1"/>
  <c r="G62" i="1"/>
  <c r="H62" i="1" l="1"/>
  <c r="J16" i="1" l="1"/>
  <c r="G106" i="1" l="1"/>
  <c r="J106" i="1"/>
  <c r="F106" i="1" s="1"/>
  <c r="H106" i="1" l="1"/>
  <c r="G186" i="1"/>
  <c r="J186" i="1"/>
  <c r="F186" i="1" s="1"/>
  <c r="H186" i="1" l="1"/>
  <c r="J45" i="1"/>
  <c r="G45" i="1"/>
  <c r="L9" i="1" l="1"/>
  <c r="M9" i="1" s="1"/>
  <c r="G54" i="1"/>
  <c r="J54" i="1"/>
  <c r="F54" i="1" s="1"/>
  <c r="H54" i="1" l="1"/>
  <c r="J8" i="1"/>
  <c r="F8" i="1" s="1"/>
  <c r="H8" i="1" l="1"/>
  <c r="J44" i="1" l="1"/>
  <c r="F44" i="1" s="1"/>
  <c r="H44" i="1" s="1"/>
  <c r="G57" i="1"/>
  <c r="J57" i="1"/>
  <c r="F57" i="1" s="1"/>
  <c r="G59" i="1"/>
  <c r="J59" i="1"/>
  <c r="F59" i="1" s="1"/>
  <c r="J32" i="1"/>
  <c r="F32" i="1" s="1" a="1"/>
  <c r="F32" i="1" s="1"/>
  <c r="H32" i="1" s="1"/>
  <c r="F179" i="1"/>
  <c r="H57" i="1" l="1"/>
  <c r="H59" i="1"/>
  <c r="G66" i="1"/>
  <c r="J66" i="1"/>
  <c r="F66" i="1" s="1"/>
  <c r="H66" i="1" l="1"/>
  <c r="J50" i="1"/>
  <c r="F50" i="1" s="1"/>
  <c r="P55" i="1" l="1"/>
  <c r="O55" i="1"/>
  <c r="N55" i="1"/>
  <c r="L55" i="1"/>
  <c r="M55" i="1" s="1"/>
  <c r="G55" i="1"/>
  <c r="F55" i="1"/>
  <c r="H55" i="1" l="1"/>
  <c r="G39" i="1" l="1"/>
  <c r="J39" i="1"/>
  <c r="F39" i="1" s="1"/>
  <c r="J51" i="1"/>
  <c r="F51" i="1" s="1"/>
  <c r="G51" i="1"/>
  <c r="H39" i="1" l="1"/>
  <c r="G41" i="1"/>
  <c r="J41" i="1"/>
  <c r="F41" i="1" s="1"/>
  <c r="H41" i="1" l="1"/>
  <c r="G13" i="1" l="1"/>
  <c r="J13" i="1"/>
  <c r="F13" i="1" s="1"/>
  <c r="H13" i="1" l="1"/>
  <c r="J40" i="1"/>
  <c r="F40" i="1" s="1"/>
  <c r="H40" i="1" l="1"/>
  <c r="G37" i="1"/>
  <c r="J37" i="1"/>
  <c r="F37" i="1" s="1"/>
  <c r="H37" i="1" l="1"/>
  <c r="F16" i="1"/>
  <c r="H16" i="1" s="1"/>
  <c r="B6" i="1" l="1"/>
  <c r="B7" i="1" s="1"/>
  <c r="B8" i="1" s="1"/>
  <c r="B9" i="1" s="1"/>
  <c r="F45" i="1"/>
  <c r="H45" i="1" s="1"/>
  <c r="B10" i="1" l="1"/>
  <c r="H53" i="1"/>
  <c r="J35" i="1"/>
  <c r="F35" i="1" s="1"/>
  <c r="G35" i="1"/>
  <c r="F29" i="1"/>
  <c r="H29" i="1" s="1"/>
  <c r="G11" i="1"/>
  <c r="J11" i="1"/>
  <c r="F11" i="1" s="1"/>
  <c r="G10" i="1"/>
  <c r="J10" i="1"/>
  <c r="F10" i="1" s="1"/>
  <c r="H35" i="1" l="1"/>
  <c r="H11" i="1"/>
  <c r="H10" i="1"/>
  <c r="G38" i="1"/>
  <c r="J38" i="1"/>
  <c r="F38" i="1" s="1"/>
  <c r="H38" i="1" l="1"/>
  <c r="J33" i="1" l="1"/>
  <c r="F33" i="1" s="1"/>
  <c r="H33" i="1" s="1"/>
  <c r="J31" i="1"/>
  <c r="F31" i="1" s="1"/>
  <c r="H31" i="1" l="1"/>
  <c r="J30" i="1"/>
  <c r="F30" i="1" s="1"/>
  <c r="H30" i="1" l="1"/>
  <c r="G36" i="1"/>
  <c r="J36" i="1" l="1"/>
  <c r="G188" i="1" l="1"/>
  <c r="J188" i="1"/>
  <c r="F188" i="1" s="1"/>
  <c r="J107" i="1"/>
  <c r="F107" i="1" s="1"/>
  <c r="G107" i="1"/>
  <c r="G118" i="1"/>
  <c r="J118" i="1"/>
  <c r="F118" i="1" s="1"/>
  <c r="H188" i="1" l="1"/>
  <c r="H118" i="1"/>
  <c r="H107" i="1"/>
  <c r="J28" i="1"/>
  <c r="F28" i="1" s="1"/>
  <c r="H28" i="1" s="1"/>
  <c r="J27" i="1"/>
  <c r="F27" i="1" s="1"/>
  <c r="H27" i="1" s="1"/>
  <c r="J24" i="1"/>
  <c r="J25" i="1" s="1"/>
  <c r="G209" i="1" l="1"/>
  <c r="J209" i="1"/>
  <c r="F209" i="1" s="1"/>
  <c r="G80" i="1"/>
  <c r="J80" i="1"/>
  <c r="F80" i="1" s="1"/>
  <c r="H80" i="1" l="1"/>
  <c r="H209" i="1"/>
  <c r="J67" i="1"/>
  <c r="F67" i="1" s="1"/>
  <c r="H67" i="1" s="1"/>
  <c r="B11" i="1" l="1"/>
  <c r="B12" i="1" s="1"/>
  <c r="J43" i="1"/>
  <c r="F43" i="1" s="1"/>
  <c r="G43" i="1"/>
  <c r="J22" i="1"/>
  <c r="H43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6" i="1"/>
  <c r="J20" i="1"/>
  <c r="F20" i="1" s="1"/>
  <c r="H20" i="1" l="1"/>
  <c r="G200" i="1"/>
  <c r="J200" i="1"/>
  <c r="F200" i="1" s="1"/>
  <c r="G63" i="1"/>
  <c r="J63" i="1"/>
  <c r="F63" i="1" s="1"/>
  <c r="H63" i="1" l="1"/>
  <c r="H20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1" i="1" l="1"/>
  <c r="J61" i="1"/>
  <c r="F61" i="1" s="1"/>
  <c r="H61" i="1" l="1"/>
  <c r="G187" i="1"/>
  <c r="F187" i="1"/>
  <c r="H187" i="1" l="1"/>
  <c r="H51" i="1" l="1"/>
  <c r="G108" i="1"/>
  <c r="F108" i="1"/>
  <c r="G185" i="1"/>
  <c r="F185" i="1"/>
  <c r="F22" i="1"/>
  <c r="G22" i="1"/>
  <c r="H108" i="1" l="1"/>
  <c r="H185" i="1"/>
  <c r="H22" i="1"/>
  <c r="G211" i="1"/>
  <c r="F211" i="1"/>
  <c r="H36" i="1" l="1"/>
  <c r="H211" i="1"/>
  <c r="G65" i="1"/>
  <c r="H65" i="1" l="1"/>
  <c r="F7" i="1"/>
  <c r="G50" i="1" l="1"/>
  <c r="H50" i="1" l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0" i="1"/>
  <c r="F210" i="1"/>
  <c r="G208" i="1"/>
  <c r="F208" i="1"/>
  <c r="H5" i="1"/>
  <c r="H7" i="1"/>
  <c r="H216" i="1" l="1"/>
  <c r="H25" i="1"/>
  <c r="H12" i="1"/>
  <c r="H215" i="1"/>
  <c r="H217" i="1"/>
  <c r="H17" i="1"/>
  <c r="H212" i="1"/>
  <c r="H24" i="1"/>
  <c r="H213" i="1"/>
  <c r="H15" i="1"/>
  <c r="H208" i="1"/>
  <c r="H210" i="1"/>
  <c r="H14" i="1"/>
  <c r="H19" i="1"/>
  <c r="H214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39" i="1" s="1"/>
  <c r="B40" i="1" s="1"/>
  <c r="B41" i="1" s="1"/>
  <c r="B43" i="1" s="1"/>
  <c r="B44" i="1" s="1"/>
  <c r="B45" i="1" s="1"/>
  <c r="B46" i="1" s="1"/>
  <c r="B5" i="5"/>
  <c r="B6" i="5" s="1"/>
  <c r="B7" i="5" s="1"/>
  <c r="B47" i="1" l="1"/>
  <c r="B48" i="1" s="1"/>
  <c r="B49" i="1" s="1"/>
  <c r="B50" i="1" s="1"/>
  <c r="B51" i="1" s="1"/>
  <c r="B52" i="1" s="1"/>
  <c r="B53" i="1" s="1"/>
  <c r="B54" i="1" s="1"/>
  <c r="B55" i="1" s="1"/>
  <c r="B57" i="1" s="1"/>
  <c r="B58" i="1" s="1"/>
  <c r="B56" i="1" s="1"/>
  <c r="B59" i="1" s="1"/>
  <c r="B4" i="5"/>
  <c r="B42" i="1" l="1"/>
  <c r="B60" i="1"/>
  <c r="B61" i="1" s="1"/>
  <c r="B62" i="1" s="1"/>
  <c r="A25" i="4"/>
  <c r="B63" i="1" l="1"/>
  <c r="B64" i="1" s="1"/>
  <c r="B65" i="1" s="1"/>
  <c r="B66" i="1" s="1"/>
  <c r="B67" i="1" l="1"/>
  <c r="B68" i="1" s="1"/>
  <c r="B69" i="1" s="1"/>
  <c r="B70" i="1" s="1"/>
  <c r="B71" i="1" s="1"/>
  <c r="B72" i="1" s="1"/>
  <c r="B73" i="1" s="1"/>
  <c r="B74" i="1" s="1"/>
  <c r="B75" i="1" s="1"/>
  <c r="B76" i="1" s="1"/>
  <c r="B8" i="5"/>
  <c r="B9" i="5" s="1"/>
  <c r="A26" i="4"/>
  <c r="B77" i="1" l="1"/>
  <c r="B78" i="1" s="1"/>
  <c r="B10" i="5"/>
  <c r="A27" i="4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l="1"/>
  <c r="B99" i="1" s="1"/>
  <c r="B100" i="1" s="1"/>
  <c r="B101" i="1" s="1"/>
  <c r="A28" i="4"/>
  <c r="A30" i="4" l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A29" i="4" l="1"/>
  <c r="B113" i="1"/>
  <c r="B114" i="1" s="1"/>
  <c r="B115" i="1" s="1"/>
  <c r="B116" i="1" s="1"/>
  <c r="B117" i="1" s="1"/>
  <c r="B118" i="1" s="1"/>
  <c r="B119" i="1" s="1"/>
  <c r="B120" i="1" s="1"/>
  <c r="B121" i="1" s="1"/>
  <c r="A31" i="4" l="1"/>
  <c r="B122" i="1"/>
  <c r="B123" i="1" s="1"/>
  <c r="B124" i="1" s="1"/>
  <c r="A32" i="4" l="1"/>
  <c r="B125" i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A33" i="4" l="1"/>
  <c r="B155" i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84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l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1" i="1"/>
  <c r="B316" i="1" l="1"/>
  <c r="B317" i="1" s="1"/>
  <c r="B318" i="1" s="1"/>
  <c r="B319" i="1" s="1"/>
  <c r="B320" i="1" s="1"/>
  <c r="B321" i="1" s="1"/>
  <c r="A35" i="4"/>
  <c r="A34" i="4" l="1"/>
  <c r="B322" i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<sst xmlns="http://schemas.openxmlformats.org/spreadsheetml/2006/main" count="1588" uniqueCount="1174">
  <si>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</si>
  <si>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</si>
  <si>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</si>
  <si>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</si>
  <si>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</si>
  <si>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</si>
  <si>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</si>
  <si>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</si>
  <si>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</si>
  <si>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</si>
  <si>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</si>
  <si>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</si>
  <si>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</si>
  <si>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</si>
  <si>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</si>
  <si>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</si>
  <si>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</si>
  <si>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</si>
  <si>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</si>
  <si>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</si>
  <si>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</si>
  <si>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</si>
  <si>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</si>
  <si>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</si>
  <si>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</si>
  <si>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</si>
  <si>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</si>
  <si>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</si>
  <si>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</si>
  <si>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</si>
  <si>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</si>
  <si>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</si>
  <si>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</si>
  <si>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</si>
  <si>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</si>
  <si>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</si>
  <si>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</si>
  <si>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</si>
  <si>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</si>
  <si>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</si>
  <si>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</si>
  <si>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</si>
  <si>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</si>
  <si>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</si>
  <si>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</si>
  <si>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</si>
  <si>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</si>
  <si>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</si>
  <si>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</si>
  <si>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</si>
  <si>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</si>
  <si>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</si>
  <si>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</si>
  <si>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</si>
  <si>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</si>
  <si>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</si>
  <si>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</si>
  <si>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</si>
  <si>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</si>
  <si>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</si>
  <si>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</si>
  <si>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</si>
  <si>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</si>
  <si>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</si>
  <si>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</si>
  <si>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</si>
  <si>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</si>
  <si>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</si>
  <si>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</si>
  <si>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</si>
  <si>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</si>
  <si>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</si>
  <si>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</si>
  <si>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</si>
  <si>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</si>
  <si>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</si>
  <si>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</si>
  <si>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</si>
  <si>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</si>
  <si>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</si>
  <si>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</si>
  <si>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</si>
  <si>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</si>
  <si>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</si>
  <si>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</si>
  <si>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</si>
  <si>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</si>
  <si>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</si>
  <si>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</si>
  <si>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</si>
  <si>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</si>
  <si>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</si>
  <si>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</si>
  <si>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</si>
  <si>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</si>
  <si>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</si>
  <si>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</si>
  <si>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</si>
  <si>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</si>
  <si>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</si>
  <si>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</si>
  <si>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</si>
  <si>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</si>
  <si>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</si>
  <si>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</si>
  <si>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</si>
  <si>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</si>
  <si>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</si>
  <si>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</si>
  <si>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</si>
  <si>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</si>
  <si>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</si>
  <si>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</si>
  <si>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</si>
  <si>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</si>
  <si>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</si>
  <si>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</si>
  <si>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</si>
  <si>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</si>
  <si>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</si>
  <si>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</si>
  <si>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</si>
  <si>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</si>
  <si>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</si>
  <si>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</si>
  <si>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</si>
  <si>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</si>
  <si>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</si>
  <si>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</si>
  <si>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</si>
  <si>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</si>
  <si>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</si>
  <si>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</si>
  <si>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</si>
  <si>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</si>
  <si>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</si>
  <si>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</si>
  <si>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</si>
  <si>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</si>
  <si>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</si>
  <si>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</si>
  <si>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</si>
  <si>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</si>
  <si>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</si>
  <si>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</si>
  <si>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</si>
  <si>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</si>
  <si>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</si>
  <si>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</si>
  <si>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</si>
  <si>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</si>
  <si>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</si>
  <si>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</si>
  <si>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</si>
  <si>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</si>
  <si>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</si>
  <si>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</si>
  <si>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</si>
  <si>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</si>
  <si>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</si>
  <si>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</si>
  <si>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</si>
  <si>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</si>
  <si>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</si>
  <si>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</si>
  <si>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</si>
  <si>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</si>
  <si>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</si>
  <si>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</si>
  <si>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</si>
  <si>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</si>
  <si>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</si>
  <si>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</si>
  <si>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</si>
  <si>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</si>
  <si>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</si>
  <si>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</si>
  <si>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</si>
  <si>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</si>
  <si>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</si>
  <si>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</si>
  <si>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</si>
  <si>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</si>
  <si>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</si>
  <si>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</si>
  <si>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</si>
  <si>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</si>
  <si>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</si>
  <si>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</si>
  <si>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</si>
  <si>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</si>
  <si>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</si>
  <si>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</si>
  <si>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</si>
  <si>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</si>
  <si>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</si>
  <si>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</si>
  <si>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</si>
  <si>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</si>
  <si>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</si>
  <si>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</si>
  <si>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</si>
  <si>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</si>
  <si>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</si>
  <si>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</si>
  <si>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</si>
  <si>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</si>
  <si>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</si>
  <si>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</si>
  <si>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</si>
  <si>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</si>
  <si>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</si>
  <si>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</si>
  <si>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</si>
  <si>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</si>
  <si>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</si>
  <si>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</si>
  <si>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</si>
  <si>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</si>
  <si>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</si>
  <si>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</si>
  <si>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</si>
  <si>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</si>
  <si>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</si>
  <si>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</si>
  <si>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</si>
  <si>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</si>
  <si>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</si>
  <si>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</si>
  <si>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</si>
  <si>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</si>
  <si>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</si>
  <si>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</si>
  <si>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</si>
  <si>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</si>
  <si>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</si>
  <si>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</si>
  <si>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</si>
  <si>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</si>
  <si>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</si>
  <si>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</si>
  <si>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</si>
  <si>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</si>
  <si>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</si>
  <si>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</si>
  <si>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</si>
  <si>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</si>
  <si>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</si>
  <si>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</si>
  <si>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</si>
  <si>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</si>
  <si>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</si>
  <si>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</si>
  <si>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</si>
  <si>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</si>
  <si>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</si>
  <si>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</si>
  <si>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</si>
  <si>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</si>
  <si>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</si>
  <si>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</si>
  <si>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</si>
  <si>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</si>
  <si>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</si>
  <si>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</si>
  <si>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</si>
  <si>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</si>
  <si>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</si>
  <si>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</si>
  <si>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</si>
  <si>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</si>
  <si>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</si>
  <si>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</si>
  <si>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</si>
  <si>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</si>
  <si>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</si>
  <si>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</si>
  <si>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</si>
  <si>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</si>
  <si>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</si>
  <si>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</si>
  <si>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</si>
  <si>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</si>
  <si>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</si>
  <si>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</si>
  <si>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</si>
  <si>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</si>
  <si>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</si>
  <si>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</si>
  <si>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</si>
  <si>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</si>
  <si>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</si>
  <si>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</si>
  <si>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</si>
  <si>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</si>
  <si>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</si>
  <si>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</si>
  <si>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</si>
  <si>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</si>
  <si>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</si>
  <si>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</si>
  <si>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</si>
  <si>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</si>
  <si>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</si>
  <si>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</si>
  <si>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</si>
  <si>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</si>
  <si>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</si>
  <si>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</si>
  <si>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</si>
  <si>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</si>
  <si>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</si>
  <si>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</si>
  <si>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</si>
  <si>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</si>
  <si>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</si>
  <si>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</si>
  <si>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</si>
  <si>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</si>
  <si>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</si>
  <si>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</si>
  <si>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</si>
  <si>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</si>
  <si>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</si>
  <si>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</si>
  <si>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</si>
  <si>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</si>
  <si>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</si>
  <si>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</si>
  <si>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</si>
  <si>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</si>
  <si>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</si>
  <si>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</si>
  <si>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</si>
  <si>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</si>
  <si>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</si>
  <si>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</si>
  <si>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</si>
  <si>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</si>
  <si>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</si>
  <si>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</si>
  <si>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</si>
  <si>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</si>
  <si>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</si>
  <si>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</si>
  <si>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</si>
  <si>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</si>
  <si>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</si>
  <si>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</si>
  <si>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</si>
  <si>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</si>
  <si>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</si>
  <si>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</si>
  <si>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</si>
  <si>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</si>
  <si>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</si>
  <si>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</si>
  <si>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</si>
  <si>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</si>
  <si>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</si>
  <si>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</si>
  <si>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</si>
  <si>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</si>
  <si>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</si>
  <si>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</si>
  <si>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</si>
  <si>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</si>
  <si>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</si>
  <si>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</si>
  <si>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</si>
  <si>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</si>
  <si>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</si>
  <si>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</si>
  <si>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</si>
  <si>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</si>
  <si>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</si>
  <si>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</si>
  <si>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</si>
  <si>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</si>
  <si>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</si>
  <si>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</si>
  <si>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</si>
  <si>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</si>
  <si>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</si>
  <si>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</si>
  <si>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</si>
  <si>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</si>
  <si>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</si>
  <si>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</si>
  <si>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</si>
  <si>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</si>
  <si>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</si>
  <si>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</si>
  <si>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</si>
  <si>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</si>
  <si>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</si>
  <si>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</si>
  <si>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</si>
  <si>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</si>
  <si>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</si>
  <si>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</si>
  <si>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</si>
  <si>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</si>
  <si>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</si>
  <si>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</si>
  <si>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</si>
  <si>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</si>
  <si>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</si>
  <si>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</si>
  <si>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</si>
  <si>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</si>
  <si>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</si>
  <si>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</si>
  <si>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</si>
  <si>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</si>
  <si>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</si>
  <si>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</si>
  <si>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</si>
  <si>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</si>
  <si>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</si>
  <si>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</si>
  <si>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</si>
  <si>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</si>
  <si>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</si>
  <si>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</si>
  <si>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</si>
  <si>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</si>
  <si>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</si>
  <si>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</si>
  <si>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</si>
  <si>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</si>
  <si>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</si>
  <si>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</si>
  <si>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</si>
  <si>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</si>
  <si>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</si>
  <si>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</si>
  <si>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</si>
  <si>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</si>
  <si>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</si>
  <si>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</si>
  <si>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</si>
  <si>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</si>
  <si>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</si>
  <si>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</si>
  <si>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</si>
  <si>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</si>
  <si>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</si>
  <si>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</si>
  <si>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</si>
  <si>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</si>
  <si>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</si>
  <si>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</si>
  <si>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</si>
  <si>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</si>
  <si>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</si>
  <si>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</si>
  <si>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</si>
  <si>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</si>
  <si>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</si>
  <si>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</si>
  <si>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</si>
  <si>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</si>
  <si>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</si>
  <si>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</si>
  <si>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</si>
  <si>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</si>
  <si>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</si>
  <si>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</si>
  <si>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</si>
  <si>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</si>
  <si>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</si>
  <si>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</si>
  <si>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</si>
  <si>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</si>
  <si>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</si>
  <si>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</si>
  <si>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</si>
  <si>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</si>
  <si>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</si>
  <si>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</si>
  <si>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</si>
  <si>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</si>
  <si>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</si>
  <si>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</si>
  <si>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</si>
  <si>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</si>
  <si>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</si>
  <si>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</si>
  <si>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</si>
  <si>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</si>
  <si>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</si>
  <si>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</si>
  <si>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</si>
  <si>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</si>
  <si>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</si>
  <si>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</si>
  <si>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</si>
  <si>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</si>
  <si>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</si>
  <si>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</si>
  <si>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</si>
  <si>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</si>
  <si>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</si>
  <si>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</si>
  <si>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</si>
  <si>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</si>
  <si>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</si>
  <si>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</si>
  <si>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</si>
  <si>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</si>
  <si>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</si>
  <si>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</si>
  <si>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</si>
  <si>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</si>
  <si>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</si>
  <si>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</si>
  <si>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</si>
  <si>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</si>
  <si>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</si>
  <si>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</si>
  <si>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</si>
  <si>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</si>
  <si>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</si>
  <si>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</si>
  <si>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</si>
  <si>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</si>
  <si>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</si>
  <si>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</si>
  <si>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</si>
  <si>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</si>
  <si>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</si>
  <si>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</si>
  <si>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</si>
  <si>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</si>
  <si>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</si>
  <si>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</si>
  <si>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</si>
  <si>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</si>
  <si>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</si>
  <si>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</si>
  <si>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</si>
  <si>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</si>
  <si>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</si>
  <si>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</si>
  <si>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</si>
  <si>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</si>
  <si>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</si>
  <si>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</si>
  <si>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</si>
  <si>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</si>
  <si>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</si>
  <si>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</si>
  <si>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</si>
  <si>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</si>
  <si>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</si>
  <si>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</si>
  <si>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</si>
  <si>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</si>
  <si>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</si>
  <si>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</si>
  <si>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</si>
  <si>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</si>
  <si>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</si>
  <si>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</si>
  <si>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</si>
  <si>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</si>
  <si>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</si>
  <si>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</si>
  <si>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</si>
  <si>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</si>
  <si>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</si>
  <si>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</si>
  <si>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</si>
  <si>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</si>
  <si>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</si>
  <si>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</si>
  <si>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</si>
  <si>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</si>
  <si>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</si>
  <si>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</si>
  <si>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</si>
  <si>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</si>
  <si>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</si>
  <si>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</si>
  <si>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</si>
  <si>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</si>
  <si>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</si>
  <si>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</si>
  <si>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</si>
  <si>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</si>
  <si>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</si>
  <si>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</si>
  <si>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</si>
  <si>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</si>
  <si>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</si>
  <si>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</si>
  <si>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</si>
  <si>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</si>
  <si>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</si>
  <si>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</si>
  <si>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</si>
  <si>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</si>
  <si>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</si>
  <si>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</si>
  <si>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</si>
  <si>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</si>
  <si>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</si>
  <si>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</si>
  <si>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</si>
  <si>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</si>
  <si>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</si>
  <si>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</si>
  <si>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</si>
  <si>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</si>
  <si>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</si>
  <si>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</si>
  <si>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</si>
  <si>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</si>
  <si>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</si>
  <si>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</si>
  <si>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</si>
  <si>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</si>
  <si>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</si>
  <si>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</si>
  <si>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</si>
  <si>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</si>
  <si>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</si>
  <si>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</si>
  <si>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</si>
  <si>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</si>
  <si>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</si>
  <si>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</si>
  <si>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</si>
  <si>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</si>
  <si>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</si>
  <si>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</si>
  <si>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</si>
  <si>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</si>
  <si>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</si>
  <si>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</si>
  <si>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</si>
  <si>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</si>
  <si>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</si>
  <si>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</si>
  <si>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</si>
  <si>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</si>
  <si>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</si>
  <si>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</si>
  <si>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</si>
  <si>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</si>
  <si>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</si>
  <si>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</si>
  <si>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</si>
  <si>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</si>
  <si>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</si>
  <si>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</si>
  <si>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</si>
  <si>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</si>
  <si>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</si>
  <si>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</si>
  <si>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</si>
  <si>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</si>
  <si>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</si>
  <si>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</si>
  <si>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</si>
  <si>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</si>
  <si>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</si>
  <si>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</si>
  <si>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</si>
  <si>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</si>
  <si>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</si>
  <si>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</si>
  <si>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</si>
  <si>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</si>
  <si>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</si>
  <si>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</si>
  <si>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</si>
  <si>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</si>
  <si>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</si>
  <si>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</si>
  <si>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</si>
  <si>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</si>
  <si>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</si>
  <si>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</si>
  <si>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</si>
  <si>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</si>
  <si>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</si>
  <si>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</si>
  <si>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</si>
  <si>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</si>
  <si>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</si>
  <si>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</si>
  <si>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</si>
  <si>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</si>
  <si>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</si>
  <si>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</si>
  <si>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</si>
  <si>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</si>
  <si>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</si>
  <si>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</si>
  <si>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</si>
  <si>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</si>
  <si>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</si>
  <si>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</si>
  <si>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</si>
  <si>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</si>
  <si>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</si>
  <si>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</si>
  <si>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</si>
  <si>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</si>
  <si>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</si>
  <si>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</si>
  <si>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</si>
  <si>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</si>
  <si>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</si>
  <si>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</si>
  <si>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</si>
  <si>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</si>
  <si>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</si>
  <si>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</si>
  <si>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</si>
  <si>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</si>
  <si>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</si>
  <si>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</si>
  <si>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</si>
  <si>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</si>
  <si>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</si>
  <si>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</si>
  <si>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</si>
  <si>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</si>
  <si>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</si>
  <si>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</si>
  <si>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</si>
  <si>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</si>
  <si>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</si>
  <si>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</si>
  <si>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</si>
  <si>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</si>
  <si>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</si>
  <si>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</si>
  <si>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</si>
  <si>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</si>
  <si>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</si>
  <si>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</si>
  <si>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</si>
  <si>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</si>
  <si>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</si>
  <si>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</si>
  <si>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</si>
  <si>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</si>
  <si>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</si>
  <si>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</si>
  <si>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</si>
  <si>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</si>
  <si>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</si>
  <si>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</si>
  <si>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</si>
  <si>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</si>
  <si>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</si>
  <si>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</si>
  <si>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</si>
  <si>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</si>
  <si>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</si>
  <si>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</si>
  <si>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</si>
  <si>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</si>
  <si>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</si>
  <si>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</si>
  <si>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</si>
  <si>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</si>
  <si>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</si>
  <si>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</si>
  <si>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</si>
  <si>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</si>
  <si>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</si>
  <si>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</si>
  <si>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</si>
  <si>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</si>
  <si>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</si>
  <si>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</si>
  <si>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</si>
  <si>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</si>
  <si>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</si>
  <si>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</si>
  <si>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</si>
  <si>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</si>
  <si>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</si>
  <si>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</si>
  <si>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</si>
  <si>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</si>
  <si>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</si>
  <si>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</si>
  <si>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</si>
  <si>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</si>
  <si>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</si>
  <si>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</si>
  <si>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</si>
  <si>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</si>
  <si>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</si>
  <si>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</si>
  <si>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</si>
  <si>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</si>
  <si>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</si>
  <si>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</si>
  <si>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</si>
  <si>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</si>
  <si>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</si>
  <si>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</si>
  <si>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</si>
  <si>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</si>
  <si>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</si>
  <si>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</si>
  <si>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</si>
  <si>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</si>
  <si>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</si>
  <si>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</si>
  <si>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</si>
  <si>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</si>
  <si>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</si>
  <si>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</si>
  <si>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</si>
  <si>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</si>
  <si>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</si>
  <si>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</si>
  <si>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</si>
  <si>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</si>
  <si>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</si>
  <si>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</si>
  <si>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</si>
  <si>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</si>
  <si>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</si>
  <si>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</si>
  <si>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</si>
  <si>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</si>
  <si>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</si>
  <si>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</si>
  <si>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</si>
  <si>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</si>
  <si>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</si>
  <si>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</si>
  <si>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</si>
  <si>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</si>
  <si>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</si>
  <si>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</si>
  <si>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</si>
  <si>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</si>
  <si>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</si>
  <si>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</si>
  <si>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</si>
  <si>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</si>
  <si>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</si>
  <si>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</si>
  <si>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</si>
  <si>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</si>
  <si>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</si>
  <si>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</si>
  <si>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</si>
  <si>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</si>
  <si>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</si>
  <si>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</si>
  <si>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</si>
  <si>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</si>
  <si>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</si>
  <si>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</si>
  <si>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</si>
  <si>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</si>
  <si>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</si>
  <si>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</si>
  <si>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</si>
  <si>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</si>
  <si>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</si>
  <si>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</si>
  <si>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</si>
  <si>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</si>
  <si>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</si>
  <si>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</si>
  <si>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</si>
  <si>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</si>
  <si>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</si>
  <si>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</si>
  <si>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</si>
  <si>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</si>
  <si>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</si>
  <si>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</si>
  <si>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</si>
  <si>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</si>
  <si>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</si>
  <si>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</si>
  <si>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</si>
  <si>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</si>
  <si>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</si>
  <si>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</si>
  <si>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</si>
  <si>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</si>
  <si>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</si>
  <si>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</si>
  <si>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</si>
  <si>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</si>
  <si>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</si>
  <si>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</si>
  <si>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</si>
  <si>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</si>
  <si>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</si>
  <si>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</si>
  <si>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</si>
  <si>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</si>
  <si>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</si>
  <si>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</si>
  <si>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</si>
  <si>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</si>
  <si>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</si>
  <si>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</si>
  <si>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</si>
  <si>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</si>
  <si>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</si>
  <si>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</si>
  <si>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</si>
  <si>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</si>
  <si>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</si>
  <si>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</si>
  <si>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</si>
  <si>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</si>
  <si>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</si>
  <si>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</si>
  <si>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</si>
  <si>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</si>
  <si>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</si>
  <si>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</si>
  <si>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</si>
  <si>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</si>
  <si>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</si>
  <si>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</si>
  <si>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</si>
  <si>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</si>
  <si>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</si>
  <si>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</si>
  <si>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</si>
  <si>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</si>
  <si>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</si>
  <si>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</si>
  <si>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</si>
  <si>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</si>
  <si>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</si>
  <si>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</si>
  <si>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</si>
  <si>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</si>
  <si>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</si>
  <si>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</si>
  <si>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</si>
  <si>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</si>
  <si>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</si>
  <si>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</si>
  <si>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</si>
  <si>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</si>
  <si>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</si>
  <si>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</si>
  <si>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</si>
  <si>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</si>
  <si>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</si>
  <si>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</si>
  <si>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</si>
  <si>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</si>
  <si>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</si>
  <si>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</si>
  <si>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</si>
  <si>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</si>
  <si>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</si>
  <si>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</si>
  <si>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</si>
  <si>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</si>
  <si>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</si>
  <si>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</si>
  <si>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</si>
  <si>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</si>
  <si>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</si>
  <si>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</si>
  <si>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</si>
  <si>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</si>
  <si>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</si>
  <si>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</si>
  <si>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</si>
  <si>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</si>
  <si>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</si>
  <si>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</si>
  <si>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</si>
  <si>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</si>
  <si>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</si>
  <si>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</si>
  <si>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</si>
  <si>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</si>
  <si>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</si>
  <si>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</si>
  <si>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</si>
  <si>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</si>
  <si>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</si>
  <si>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</si>
  <si>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</si>
  <si>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</si>
  <si>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</si>
  <si>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</si>
  <si>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</si>
  <si>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</si>
  <si>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</si>
  <si>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</si>
  <si>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</si>
  <si>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</si>
  <si>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</si>
  <si>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</si>
  <si>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</si>
  <si>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</si>
  <si>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</si>
  <si>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</si>
  <si>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</si>
  <si>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</si>
  <si>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</si>
  <si>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</si>
  <si>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</si>
  <si>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</si>
  <si>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</si>
  <si>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</si>
  <si>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</si>
  <si>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</si>
  <si>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</si>
  <si>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</si>
  <si>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</si>
  <si>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</si>
  <si>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</si>
  <si>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</si>
  <si>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</si>
  <si>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</si>
  <si>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</si>
  <si>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</si>
  <si>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</si>
  <si>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</si>
  <si>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</si>
  <si>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</si>
  <si>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</si>
  <si>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</si>
  <si>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</si>
  <si>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</si>
  <si>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</si>
  <si>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</si>
  <si>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</si>
  <si>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</si>
  <si>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</si>
  <si>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</si>
  <si>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</si>
  <si>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</si>
  <si>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</si>
  <si>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</si>
  <si>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</si>
  <si>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</si>
  <si>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</si>
  <si>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</si>
  <si>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</si>
  <si>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</si>
  <si>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</si>
  <si>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</si>
  <si>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</si>
  <si>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</si>
  <si>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</si>
  <si>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</si>
  <si>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</si>
  <si>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</si>
  <si>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</si>
  <si>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</si>
  <si>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</si>
  <si>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</si>
  <si>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</si>
  <si>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</si>
  <si>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</si>
  <si>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</si>
  <si>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</si>
  <si>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</si>
  <si>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</si>
  <si>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</si>
  <si>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</si>
  <si>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</si>
  <si>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</si>
  <si>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</si>
  <si>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</si>
  <si>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</si>
  <si>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</si>
  <si>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</si>
  <si>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</si>
  <si>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</si>
  <si>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</si>
  <si>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</si>
  <si>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</si>
  <si>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</si>
  <si>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</si>
  <si>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</si>
  <si>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</si>
  <si>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</si>
  <si>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</si>
  <si>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</si>
  <si>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</si>
  <si>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</si>
  <si>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</si>
  <si>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</si>
  <si>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</si>
  <si>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</si>
  <si>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</si>
  <si>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</si>
  <si>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</si>
  <si>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</si>
  <si>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</si>
  <si>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</si>
  <si>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</si>
  <si>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</si>
  <si>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</si>
  <si>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</si>
  <si>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</si>
  <si>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</si>
  <si>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</si>
  <si>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</si>
  <si>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</si>
  <si>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</si>
  <si>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</si>
  <si>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</si>
  <si>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</si>
  <si>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</si>
  <si>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</si>
  <si>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</si>
  <si>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</si>
  <si>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</si>
  <si>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</si>
  <si>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</si>
  <si>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</si>
  <si>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</si>
  <si>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</si>
  <si>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</si>
  <si>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</si>
  <si>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</si>
  <si>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</si>
  <si>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</si>
  <si>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</si>
  <si>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</si>
  <si>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</si>
  <si>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</si>
  <si>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</si>
  <si>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</si>
  <si>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</si>
  <si>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</si>
  <si>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</si>
  <si>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</si>
  <si>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</si>
  <si>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</si>
  <si>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</si>
  <si>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</si>
  <si>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</si>
  <si>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</si>
  <si>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</si>
  <si>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</si>
  <si>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</si>
  <si>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</si>
  <si>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</si>
  <si>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</si>
  <si>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</si>
  <si>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</si>
  <si>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</si>
  <si>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HIMS</t>
  </si>
  <si>
    <t>CTAS</t>
  </si>
  <si>
    <t>SQ</t>
  </si>
  <si>
    <t>GTLB</t>
  </si>
  <si>
    <t>DG</t>
  </si>
  <si>
    <t>FDX</t>
  </si>
  <si>
    <t>XPEV</t>
  </si>
  <si>
    <t>RKLB</t>
  </si>
  <si>
    <t>Canon</t>
  </si>
  <si>
    <t>NBIX - luva</t>
  </si>
  <si>
    <t>QXO</t>
  </si>
  <si>
    <t>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</si>
</sst>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6" Type="http://schemas.openxmlformats.org/officeDocument/2006/relationships/externalLink" Target="externalLinks/externalLink8.xml"/><Relationship Id="rId107" Type="http://schemas.openxmlformats.org/officeDocument/2006/relationships/sharedStrings" Target="sharedStrings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sheetMetadata" Target="metadata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6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calcChain" Target="calcChain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-0.05</v>
          </cell>
        </row>
        <row r="28">
          <cell r="AP28">
            <v>0.02</v>
          </cell>
        </row>
        <row r="29">
          <cell r="AP29">
            <v>0.08</v>
          </cell>
        </row>
        <row r="31">
          <cell r="AP31">
            <v>210.46429533987495</v>
          </cell>
        </row>
      </sheetData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8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" sqref="D1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RANDBETWEEN(1,B209)</f>
        <v>3</v>
      </c>
    </row>
    <row r="2" spans="1:30" x14ac:dyDescent="0.2">
      <c r="K2" s="9">
        <f>MIN(K4:K59)</f>
        <v>44926</v>
      </c>
      <c r="Q2" s="43" t="s">
        <v>317</v>
      </c>
      <c r="R2" s="43"/>
      <c r="S2" s="43"/>
      <c r="T2" s="43"/>
      <c r="U2" s="43"/>
      <c r="V2" s="43"/>
      <c r="W2" s="43" t="s">
        <v>316</v>
      </c>
      <c r="X2" s="43"/>
      <c r="Y2" s="43"/>
      <c r="Z2" s="43"/>
      <c r="AA2" s="43"/>
      <c r="AB2" s="43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305</v>
      </c>
      <c r="K3" s="3" t="s">
        <v>311</v>
      </c>
      <c r="L3" s="3" t="s">
        <v>318</v>
      </c>
      <c r="M3" s="3" t="s">
        <v>320</v>
      </c>
      <c r="N3" s="3" t="s">
        <v>321</v>
      </c>
      <c r="O3" s="3" t="s">
        <v>322</v>
      </c>
      <c r="P3" s="3" t="s">
        <v>319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1014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1100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26</v>
      </c>
      <c r="D5" s="1" t="s">
        <v>27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1069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26</v>
      </c>
      <c r="D6" t="s">
        <v>323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1097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1100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1100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28</v>
      </c>
      <c r="D9" s="1" t="s">
        <v>29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1100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38</v>
      </c>
      <c r="D10" s="1" t="s">
        <v>39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1100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38</v>
      </c>
      <c r="D11" s="1" t="s">
        <v>424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30</v>
      </c>
      <c r="D12" s="1" t="s">
        <v>31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1100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30</v>
      </c>
      <c r="D13" t="s">
        <v>429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1100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1145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34</v>
      </c>
      <c r="D15" s="1" t="s">
        <v>35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1100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24</v>
      </c>
      <c r="D16" s="1" t="s">
        <v>25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1100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36</v>
      </c>
      <c r="D17" s="1" t="s">
        <v>1144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1100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36</v>
      </c>
      <c r="D18" t="s">
        <v>37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32</v>
      </c>
      <c r="D19" s="1" t="s">
        <v>33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1100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52</v>
      </c>
      <c r="D20" s="1" t="s">
        <v>53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1100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46</v>
      </c>
      <c r="D21" s="1" t="s">
        <v>47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1100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48</v>
      </c>
      <c r="D22" s="1" t="s">
        <v>49</v>
      </c>
      <c r="E22" s="7">
        <v>482.41</v>
      </c>
      <c r="F22" s="6">
        <f>+E22*[17]Main!$M$3</f>
        <v>124511.08374922999</v>
      </c>
      <c r="G22" s="6">
        <f>+[17]Main!$M$5-[17]Main!$M$6</f>
        <v>10188.6</v>
      </c>
      <c r="H22" s="6">
        <f t="shared" si="0"/>
        <v>114322.48374922998</v>
      </c>
      <c r="I22" s="3" t="s">
        <v>1100</v>
      </c>
      <c r="J22" s="6">
        <f>+[17]Main!$M$3</f>
        <v>258.10220299999997</v>
      </c>
      <c r="K22" s="9">
        <v>45435</v>
      </c>
    </row>
    <row r="23" spans="1:29" x14ac:dyDescent="0.2">
      <c r="A23"/>
      <c r="B23" s="1">
        <f>+B22+1</f>
        <v>16</v>
      </c>
      <c r="C23" s="5" t="s">
        <v>45</v>
      </c>
      <c r="D23" s="1" t="s">
        <v>428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1100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40</v>
      </c>
      <c r="D24" s="1" t="s">
        <v>41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1100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40</v>
      </c>
      <c r="D25" s="1" t="s">
        <v>42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1100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43</v>
      </c>
      <c r="D26" s="1" t="s">
        <v>44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1100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62</v>
      </c>
      <c r="D27" s="1" t="s">
        <v>63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1100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62</v>
      </c>
      <c r="D28" s="1" t="s">
        <v>341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1100</v>
      </c>
      <c r="J28" s="6">
        <f>+[21]Main!$K$4</f>
        <v>1569</v>
      </c>
      <c r="K28" s="9">
        <v>45535</v>
      </c>
    </row>
    <row r="29" spans="1:29" x14ac:dyDescent="0.2">
      <c r="B29" s="1">
        <f t="shared" ref="B29:B41" si="4">+B28+1</f>
        <v>20</v>
      </c>
      <c r="C29" s="5" t="s">
        <v>84</v>
      </c>
      <c r="D29" s="1" t="s">
        <v>85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1100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56</v>
      </c>
      <c r="D30" s="1" t="s">
        <v>57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1100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259</v>
      </c>
      <c r="D31" t="s">
        <v>260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1100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269</v>
      </c>
      <c r="D32" t="s">
        <v>270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1100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261</v>
      </c>
      <c r="D33" t="s">
        <v>262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1069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275</v>
      </c>
      <c r="D34" t="s">
        <v>275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1100</v>
      </c>
      <c r="J34" s="6">
        <f>+[27]Main!$J$3</f>
        <v>190</v>
      </c>
      <c r="K34" s="9">
        <v>45537</v>
      </c>
    </row>
    <row r="35" spans="1:30" x14ac:dyDescent="0.2">
      <c r="A35"/>
      <c r="B35" s="1">
        <f t="shared" si="4"/>
        <v>26</v>
      </c>
      <c r="C35" s="5" t="s">
        <v>58</v>
      </c>
      <c r="D35" s="1" t="s">
        <v>59</v>
      </c>
      <c r="E35" s="7">
        <v>262</v>
      </c>
      <c r="F35" s="6">
        <f>+E35*J35</f>
        <v>33635.694406000002</v>
      </c>
      <c r="G35" s="6">
        <f>+[28]Main!$L$5-[28]Main!$L$6</f>
        <v>246.8090000000002</v>
      </c>
      <c r="H35" s="6">
        <f>F35-G35</f>
        <v>33388.885406000001</v>
      </c>
      <c r="I35" s="3" t="s">
        <v>1100</v>
      </c>
      <c r="J35" s="6">
        <f>+[28]Main!$L$3</f>
        <v>128.38051300000001</v>
      </c>
      <c r="K35" s="9">
        <v>45537</v>
      </c>
      <c r="AC35" s="1">
        <v>2002</v>
      </c>
      <c r="AD35" s="1" t="s">
        <v>621</v>
      </c>
    </row>
    <row r="36" spans="1:30" x14ac:dyDescent="0.2">
      <c r="B36" s="1">
        <f t="shared" si="4"/>
        <v>27</v>
      </c>
      <c r="C36" s="5" t="s">
        <v>76</v>
      </c>
      <c r="D36" s="1" t="s">
        <v>77</v>
      </c>
      <c r="E36" s="7">
        <v>12.08</v>
      </c>
      <c r="F36" s="6">
        <f>E36*[29]Main!$M$3</f>
        <v>14417.72719304</v>
      </c>
      <c r="G36" s="6">
        <f>[29]Main!$M$5-[29]Main!$M$6</f>
        <v>-16182</v>
      </c>
      <c r="H36" s="6">
        <f>F36-G36</f>
        <v>30599.727193040002</v>
      </c>
      <c r="I36" s="3" t="s">
        <v>1100</v>
      </c>
      <c r="J36" s="6">
        <f>+[29]Main!$M$3</f>
        <v>1193.5204630000001</v>
      </c>
      <c r="K36" s="9">
        <v>45537</v>
      </c>
      <c r="AC36" s="1">
        <v>1961</v>
      </c>
    </row>
    <row r="37" spans="1:30" x14ac:dyDescent="0.2">
      <c r="A37"/>
      <c r="B37" s="1">
        <f t="shared" si="4"/>
        <v>28</v>
      </c>
      <c r="C37" s="5" t="s">
        <v>66</v>
      </c>
      <c r="D37" s="1" t="s">
        <v>67</v>
      </c>
      <c r="E37" s="3">
        <v>37.94</v>
      </c>
      <c r="F37" s="6">
        <f>+E37*J37</f>
        <v>19349.399999999998</v>
      </c>
      <c r="G37" s="6">
        <f>+[30]Main!$K$5-[30]Main!$K$6</f>
        <v>-10809</v>
      </c>
      <c r="H37" s="6">
        <f>+F37-G37</f>
        <v>30158.399999999998</v>
      </c>
      <c r="I37" s="3" t="s">
        <v>1100</v>
      </c>
      <c r="J37" s="6">
        <f>+[30]Main!$K$3</f>
        <v>510</v>
      </c>
      <c r="K37" s="9">
        <v>45536</v>
      </c>
      <c r="AC37" s="1">
        <v>1931</v>
      </c>
    </row>
    <row r="38" spans="1:30" x14ac:dyDescent="0.2">
      <c r="A38"/>
      <c r="B38" s="1">
        <f t="shared" si="4"/>
        <v>29</v>
      </c>
      <c r="C38" s="5" t="s">
        <v>267</v>
      </c>
      <c r="D38" t="s">
        <v>268</v>
      </c>
      <c r="E38" s="7">
        <v>204.76</v>
      </c>
      <c r="F38" s="6">
        <f>+E38*J38</f>
        <v>29690.199999999997</v>
      </c>
      <c r="G38" s="6">
        <f>+[31]Main!$J$5-[31]Main!$J$6</f>
        <v>1117</v>
      </c>
      <c r="H38" s="6">
        <f>+F38-G38</f>
        <v>28573.199999999997</v>
      </c>
      <c r="I38" s="3" t="s">
        <v>1100</v>
      </c>
      <c r="J38" s="6">
        <f>+[31]Main!$J$3</f>
        <v>145</v>
      </c>
      <c r="K38" s="9">
        <v>45536</v>
      </c>
      <c r="AC38" s="1">
        <v>1978</v>
      </c>
      <c r="AD38" s="1" t="s">
        <v>621</v>
      </c>
    </row>
    <row r="39" spans="1:30" x14ac:dyDescent="0.2">
      <c r="A39"/>
      <c r="B39" s="1">
        <f t="shared" si="4"/>
        <v>30</v>
      </c>
      <c r="C39" s="5" t="s">
        <v>64</v>
      </c>
      <c r="D39" s="1" t="s">
        <v>65</v>
      </c>
      <c r="E39" s="7">
        <v>517.32000000000005</v>
      </c>
      <c r="F39" s="6">
        <f>+E39*J39</f>
        <v>30728.920258440001</v>
      </c>
      <c r="G39" s="6">
        <f>+[32]Main!$K$5-[32]Main!$K$6</f>
        <v>3102.3469999999998</v>
      </c>
      <c r="H39" s="6">
        <f>F39-G39</f>
        <v>27626.573258440003</v>
      </c>
      <c r="I39" s="3" t="s">
        <v>1100</v>
      </c>
      <c r="J39" s="6">
        <f>+[32]Main!$K$3</f>
        <v>59.400216999999998</v>
      </c>
      <c r="K39" s="9">
        <v>45537</v>
      </c>
      <c r="AC39">
        <v>2008</v>
      </c>
    </row>
    <row r="40" spans="1:30" x14ac:dyDescent="0.2">
      <c r="B40" s="1">
        <f t="shared" si="4"/>
        <v>31</v>
      </c>
      <c r="C40" s="5" t="s">
        <v>82</v>
      </c>
      <c r="D40" s="1" t="s">
        <v>83</v>
      </c>
      <c r="E40" s="17">
        <v>1792</v>
      </c>
      <c r="F40" s="6">
        <f>+E40*J40/JPY</f>
        <v>22486.213397590363</v>
      </c>
      <c r="G40" s="6">
        <f>([33]Main!$K$5-[33]Main!$K$6)/JPY</f>
        <v>-5033.4526678141137</v>
      </c>
      <c r="H40" s="6">
        <f>+F40-G40</f>
        <v>27519.666065404475</v>
      </c>
      <c r="I40" s="3" t="s">
        <v>1100</v>
      </c>
      <c r="J40" s="6">
        <f>+[33]Main!$K$3</f>
        <v>1822.6130000000001</v>
      </c>
      <c r="K40" s="9">
        <v>45537</v>
      </c>
      <c r="AC40">
        <v>1940</v>
      </c>
    </row>
    <row r="41" spans="1:30" x14ac:dyDescent="0.2">
      <c r="A41"/>
      <c r="B41" s="1">
        <f t="shared" si="4"/>
        <v>32</v>
      </c>
      <c r="C41" s="5" t="s">
        <v>78</v>
      </c>
      <c r="D41" s="1" t="s">
        <v>79</v>
      </c>
      <c r="E41" s="7">
        <v>29.37</v>
      </c>
      <c r="F41" s="6">
        <f>+E41*J41</f>
        <v>17429.895176760001</v>
      </c>
      <c r="G41" s="6">
        <f>+[34]Main!$L$5-[34]Main!$L$6</f>
        <v>-4677.3590000000004</v>
      </c>
      <c r="H41" s="6">
        <f>+F41-G41</f>
        <v>22107.254176760001</v>
      </c>
      <c r="I41" s="3" t="s">
        <v>1100</v>
      </c>
      <c r="J41" s="6">
        <f>+[34]Main!$L$3</f>
        <v>593.45914800000003</v>
      </c>
      <c r="K41" s="9">
        <v>45537</v>
      </c>
      <c r="AC41" s="1">
        <v>1996</v>
      </c>
    </row>
    <row r="42" spans="1:30" x14ac:dyDescent="0.2">
      <c r="A42"/>
      <c r="B42" s="1">
        <f>+B48+1</f>
        <v>38</v>
      </c>
      <c r="C42" s="5" t="s">
        <v>359</v>
      </c>
      <c r="D42" t="s">
        <v>360</v>
      </c>
      <c r="E42" s="20">
        <v>198500</v>
      </c>
      <c r="F42" s="6">
        <f>+E42*J42/KRW</f>
        <v>19737.396199930219</v>
      </c>
      <c r="G42" s="6">
        <f>([35]Main!$J$5-[35]Main!$J$6)/KRW</f>
        <v>-768.78087927424986</v>
      </c>
      <c r="H42" s="6">
        <f>F42-G42</f>
        <v>20506.17707920447</v>
      </c>
      <c r="I42" s="3" t="s">
        <v>1100</v>
      </c>
      <c r="J42" s="6">
        <f>+[35]Main!$J$3</f>
        <v>142.48709700000001</v>
      </c>
      <c r="K42" s="9">
        <v>45537</v>
      </c>
    </row>
    <row r="43" spans="1:30" x14ac:dyDescent="0.2">
      <c r="A43"/>
      <c r="B43" s="1">
        <f>+B41+1</f>
        <v>33</v>
      </c>
      <c r="C43" s="14" t="s">
        <v>54</v>
      </c>
      <c r="D43" s="1" t="s">
        <v>55</v>
      </c>
      <c r="E43" s="7">
        <v>77</v>
      </c>
      <c r="F43" s="6">
        <f>+E43*J43</f>
        <v>29598.496619999998</v>
      </c>
      <c r="G43" s="6">
        <f>+[36]Main!$L$5-[36]Main!$L$6</f>
        <v>10814</v>
      </c>
      <c r="H43" s="6">
        <f>F43-G43</f>
        <v>18784.496619999998</v>
      </c>
      <c r="I43" s="3" t="s">
        <v>1100</v>
      </c>
      <c r="J43" s="6">
        <f>+[36]Main!$L$3</f>
        <v>384.39605999999998</v>
      </c>
      <c r="K43" s="9">
        <v>45535</v>
      </c>
      <c r="AD43" s="1" t="s">
        <v>621</v>
      </c>
    </row>
    <row r="44" spans="1:30" x14ac:dyDescent="0.2">
      <c r="B44" s="1">
        <f>+B43+1</f>
        <v>34</v>
      </c>
      <c r="C44" s="5" t="s">
        <v>80</v>
      </c>
      <c r="D44" s="1" t="s">
        <v>81</v>
      </c>
      <c r="E44" s="7">
        <v>190</v>
      </c>
      <c r="F44" s="6">
        <f>+E44*J44</f>
        <v>19892.745209999997</v>
      </c>
      <c r="G44" s="6">
        <f>[37]Main!$L$5-[37]Main!$L$6</f>
        <v>1581.0029999999999</v>
      </c>
      <c r="H44" s="6">
        <f>F44-G44</f>
        <v>18311.742209999997</v>
      </c>
      <c r="I44" s="3" t="s">
        <v>1100</v>
      </c>
      <c r="J44" s="6">
        <f>+[37]Main!$L$3</f>
        <v>104.69865899999999</v>
      </c>
      <c r="K44" s="9">
        <v>45537</v>
      </c>
    </row>
    <row r="45" spans="1:30" x14ac:dyDescent="0.2">
      <c r="A45"/>
      <c r="B45" s="1">
        <f>+B44+1</f>
        <v>35</v>
      </c>
      <c r="C45" s="5" t="s">
        <v>70</v>
      </c>
      <c r="D45" s="1" t="s">
        <v>71</v>
      </c>
      <c r="E45" s="7">
        <v>91.21</v>
      </c>
      <c r="F45" s="6">
        <f>+E45*J45</f>
        <v>17364.817194619998</v>
      </c>
      <c r="G45" s="6">
        <f>+[38]Main!$L$5-[38]Main!$L$6</f>
        <v>692.48099999999977</v>
      </c>
      <c r="H45" s="6">
        <f t="shared" ref="H45" si="5">F45-G45</f>
        <v>16672.336194619998</v>
      </c>
      <c r="I45" s="3" t="s">
        <v>1100</v>
      </c>
      <c r="J45" s="6">
        <f>+[38]Main!$L$3</f>
        <v>190.382822</v>
      </c>
      <c r="K45" s="9">
        <v>45537</v>
      </c>
      <c r="AC45">
        <v>1997</v>
      </c>
      <c r="AD45" s="1" t="s">
        <v>1156</v>
      </c>
    </row>
    <row r="46" spans="1:30" x14ac:dyDescent="0.2">
      <c r="A46"/>
      <c r="B46" s="1">
        <f>+B45+1</f>
        <v>36</v>
      </c>
      <c r="C46" s="5" t="s">
        <v>60</v>
      </c>
      <c r="D46" s="1" t="s">
        <v>61</v>
      </c>
      <c r="E46" s="3">
        <v>27.44</v>
      </c>
      <c r="F46" s="6">
        <f>+E46*J46*10</f>
        <v>18147.967829600002</v>
      </c>
      <c r="G46" s="6">
        <f>([39]Main!$K$7-[39]Main!$K$8)/DKK</f>
        <v>2373.9195230998512</v>
      </c>
      <c r="H46" s="6">
        <f>F46-G46</f>
        <v>15774.04830650015</v>
      </c>
      <c r="I46" s="3" t="s">
        <v>1100</v>
      </c>
      <c r="J46" s="6">
        <f>+[39]Main!$K$4</f>
        <v>66.136909000000003</v>
      </c>
      <c r="K46" s="9">
        <v>45537</v>
      </c>
      <c r="AC46" s="1">
        <v>1999</v>
      </c>
      <c r="AD46" s="1" t="s">
        <v>1157</v>
      </c>
    </row>
    <row r="47" spans="1:30" x14ac:dyDescent="0.2">
      <c r="A47"/>
      <c r="B47" s="1">
        <f>+B46</f>
        <v>36</v>
      </c>
      <c r="C47" s="5" t="s">
        <v>60</v>
      </c>
      <c r="D47" t="s">
        <v>524</v>
      </c>
      <c r="E47" s="6">
        <v>1869.5</v>
      </c>
      <c r="F47" s="6">
        <f>+E47*J47/DKK</f>
        <v>18426.669355514161</v>
      </c>
      <c r="G47" s="6">
        <f>([39]Main!$K$7-[39]Main!$K$8)/DKK</f>
        <v>2373.9195230998512</v>
      </c>
      <c r="H47" s="6">
        <f>F47-G47</f>
        <v>16052.749832414309</v>
      </c>
      <c r="I47" s="3" t="s">
        <v>1100</v>
      </c>
      <c r="J47" s="6">
        <f>+[39]Main!$K$4</f>
        <v>66.136909000000003</v>
      </c>
      <c r="K47" s="9">
        <v>45537</v>
      </c>
      <c r="AC47" s="1">
        <v>1999</v>
      </c>
      <c r="AD47" s="1" t="s">
        <v>1157</v>
      </c>
    </row>
    <row r="48" spans="1:30" x14ac:dyDescent="0.2">
      <c r="A48"/>
      <c r="B48" s="1">
        <f t="shared" ref="B48:B62" si="6">+B47+1</f>
        <v>37</v>
      </c>
      <c r="C48" s="5" t="s">
        <v>86</v>
      </c>
      <c r="D48" s="1" t="s">
        <v>87</v>
      </c>
      <c r="E48" s="7">
        <v>9</v>
      </c>
      <c r="F48" s="6">
        <f>+E48*J48</f>
        <v>6187.9941720000006</v>
      </c>
      <c r="G48" s="6">
        <f>([40]Main!$L$5-[40]Main!$L$6)*EUR</f>
        <v>-9434.5526700000009</v>
      </c>
      <c r="H48" s="6">
        <f>F48-G48</f>
        <v>15622.546842000002</v>
      </c>
      <c r="I48" s="3" t="s">
        <v>1100</v>
      </c>
      <c r="J48" s="6">
        <f>+[40]Main!$L$3</f>
        <v>687.55490800000007</v>
      </c>
      <c r="K48" s="9">
        <v>45537</v>
      </c>
    </row>
    <row r="49" spans="1:29" x14ac:dyDescent="0.2">
      <c r="B49" s="1">
        <f t="shared" si="6"/>
        <v>38</v>
      </c>
      <c r="C49" s="5" t="s">
        <v>129</v>
      </c>
      <c r="D49" s="1" t="s">
        <v>130</v>
      </c>
      <c r="E49" s="7">
        <v>138.38999999999999</v>
      </c>
      <c r="F49" s="6">
        <f>+E49*J49</f>
        <v>13197.746962259998</v>
      </c>
      <c r="G49" s="6">
        <f>+[41]Main!$L$5-[41]Main!$L$6</f>
        <v>234.15900000000011</v>
      </c>
      <c r="H49" s="6">
        <f>+F49-G49</f>
        <v>12963.587962259999</v>
      </c>
      <c r="I49" s="3" t="s">
        <v>1100</v>
      </c>
      <c r="J49" s="6">
        <f>+[41]Main!$L$3</f>
        <v>95.366333999999995</v>
      </c>
      <c r="K49" s="9">
        <v>45537</v>
      </c>
    </row>
    <row r="50" spans="1:29" x14ac:dyDescent="0.2">
      <c r="A50"/>
      <c r="B50" s="1">
        <f t="shared" si="6"/>
        <v>39</v>
      </c>
      <c r="C50" s="5" t="s">
        <v>90</v>
      </c>
      <c r="D50" s="1" t="s">
        <v>91</v>
      </c>
      <c r="E50" s="7">
        <v>363.55</v>
      </c>
      <c r="F50" s="6">
        <f>+E50*J50</f>
        <v>16174.767034800001</v>
      </c>
      <c r="G50" s="6">
        <f>[42]Main!$K$5-[42]Main!$K$6</f>
        <v>3801.8999999999996</v>
      </c>
      <c r="H50" s="6">
        <f>F50-G50</f>
        <v>12372.867034800001</v>
      </c>
      <c r="I50" s="3" t="s">
        <v>1100</v>
      </c>
      <c r="J50" s="6">
        <f>+[42]Main!$K$3</f>
        <v>44.491176000000003</v>
      </c>
      <c r="K50" s="9">
        <v>45537</v>
      </c>
    </row>
    <row r="51" spans="1:29" x14ac:dyDescent="0.2">
      <c r="B51" s="1">
        <f t="shared" si="6"/>
        <v>40</v>
      </c>
      <c r="C51" s="5" t="s">
        <v>50</v>
      </c>
      <c r="D51" s="1" t="s">
        <v>51</v>
      </c>
      <c r="E51" s="7">
        <v>65.72</v>
      </c>
      <c r="F51" s="6">
        <f>+E51*J51</f>
        <v>12657.542334440001</v>
      </c>
      <c r="G51" s="6">
        <f>+[43]Main!$K$5-[43]Main!$K$6</f>
        <v>1549.0429999999999</v>
      </c>
      <c r="H51" s="6">
        <f>F51-G51</f>
        <v>11108.499334440001</v>
      </c>
      <c r="I51" s="3" t="s">
        <v>1100</v>
      </c>
      <c r="J51" s="6">
        <f>+[43]Main!$K$3</f>
        <v>192.598027</v>
      </c>
      <c r="K51" s="9">
        <v>45537</v>
      </c>
    </row>
    <row r="52" spans="1:29" x14ac:dyDescent="0.2">
      <c r="A52"/>
      <c r="B52" s="1">
        <f t="shared" si="6"/>
        <v>41</v>
      </c>
      <c r="C52" s="5" t="s">
        <v>278</v>
      </c>
      <c r="D52" t="s">
        <v>279</v>
      </c>
      <c r="E52" s="17">
        <v>6022</v>
      </c>
      <c r="F52" s="6">
        <f>+E52*J52/JPY</f>
        <v>11871.835559820998</v>
      </c>
      <c r="G52" s="6">
        <f>+([44]Main!$K$5-[44]Main!$K$6)/JPY</f>
        <v>861.49397590361446</v>
      </c>
      <c r="H52" s="6">
        <f>F52-G52</f>
        <v>11010.341583917383</v>
      </c>
      <c r="I52" s="3" t="s">
        <v>1100</v>
      </c>
      <c r="J52" s="6">
        <f>+[44]Main!$K$3</f>
        <v>286.34741200000002</v>
      </c>
      <c r="K52" s="9">
        <v>45537</v>
      </c>
    </row>
    <row r="53" spans="1:29" x14ac:dyDescent="0.2">
      <c r="B53" s="1">
        <f t="shared" si="6"/>
        <v>42</v>
      </c>
      <c r="C53" s="5" t="s">
        <v>92</v>
      </c>
      <c r="D53" s="1" t="s">
        <v>93</v>
      </c>
      <c r="E53" s="3">
        <v>127.06</v>
      </c>
      <c r="F53" s="6">
        <f>+E53*J53</f>
        <v>12830.04219794</v>
      </c>
      <c r="G53" s="6">
        <f>+[45]Main!$L$5-[45]Main!$L$6</f>
        <v>1820.3</v>
      </c>
      <c r="H53" s="6">
        <f>F53-G53</f>
        <v>11009.742197940001</v>
      </c>
      <c r="I53" s="3" t="s">
        <v>1100</v>
      </c>
      <c r="J53" s="6">
        <f>+[45]Main!$L$3</f>
        <v>100.976249</v>
      </c>
      <c r="K53" s="9">
        <v>45538</v>
      </c>
    </row>
    <row r="54" spans="1:29" x14ac:dyDescent="0.2">
      <c r="A54"/>
      <c r="B54" s="1">
        <f t="shared" si="6"/>
        <v>43</v>
      </c>
      <c r="C54" s="5" t="s">
        <v>68</v>
      </c>
      <c r="D54" s="1" t="s">
        <v>69</v>
      </c>
      <c r="E54" s="17">
        <v>4360</v>
      </c>
      <c r="F54" s="6">
        <f>+E54*J54/JPY</f>
        <v>16285.240837452668</v>
      </c>
      <c r="G54" s="6">
        <f>([46]Main!$L$5-[46]Main!$L$6)/JPY</f>
        <v>5497.5834767642</v>
      </c>
      <c r="H54" s="6">
        <f t="shared" ref="H54:H59" si="7">F54-G54</f>
        <v>10787.657360688467</v>
      </c>
      <c r="I54" s="3" t="s">
        <v>426</v>
      </c>
      <c r="J54" s="6">
        <f>+[46]Main!$L$3</f>
        <v>542.53009899999995</v>
      </c>
      <c r="K54" s="9">
        <v>44930</v>
      </c>
    </row>
    <row r="55" spans="1:29" x14ac:dyDescent="0.2">
      <c r="A55"/>
      <c r="B55" s="1">
        <f t="shared" si="6"/>
        <v>44</v>
      </c>
      <c r="C55" s="5" t="s">
        <v>94</v>
      </c>
      <c r="D55" s="1" t="s">
        <v>95</v>
      </c>
      <c r="E55" s="7">
        <v>115</v>
      </c>
      <c r="F55" s="6">
        <f>+E55*J55</f>
        <v>7101.6536500000002</v>
      </c>
      <c r="G55" s="6">
        <f>+[47]Main!$K$5-[47]Main!$K$6</f>
        <v>-3725.9790000000003</v>
      </c>
      <c r="H55" s="6">
        <f>+F55-G55</f>
        <v>10827.63265</v>
      </c>
      <c r="I55" s="3" t="s">
        <v>1100</v>
      </c>
      <c r="J55" s="6">
        <f>+[47]Main!$K$3</f>
        <v>61.753509999999999</v>
      </c>
      <c r="K55" s="9">
        <v>45537</v>
      </c>
      <c r="L55" s="7">
        <f>+[47]Model!$AP$31</f>
        <v>210.46429533987495</v>
      </c>
      <c r="M55" s="10">
        <f>+L55/E55-1</f>
        <v>0.83012430730326048</v>
      </c>
      <c r="N55" s="10">
        <f>+[47]Model!$AP$28</f>
        <v>0.02</v>
      </c>
      <c r="O55" s="10">
        <f>+[47]Model!$AP$27</f>
        <v>-0.05</v>
      </c>
      <c r="P55" s="10">
        <f>+[47]Model!$AP$29</f>
        <v>0.08</v>
      </c>
    </row>
    <row r="56" spans="1:29" x14ac:dyDescent="0.2">
      <c r="A56"/>
      <c r="B56" s="1">
        <f>+B58+1</f>
        <v>47</v>
      </c>
      <c r="C56" s="5" t="s">
        <v>100</v>
      </c>
      <c r="D56" s="1" t="s">
        <v>101</v>
      </c>
      <c r="E56" s="7">
        <v>64</v>
      </c>
      <c r="F56" s="6">
        <f>+E56*J56</f>
        <v>8107.3919999999998</v>
      </c>
      <c r="G56" s="6">
        <f>+[48]Main!$M$5-[48]Main!$M$6</f>
        <v>-973.48500000000013</v>
      </c>
      <c r="H56" s="6">
        <f>+F56-G56</f>
        <v>9080.8770000000004</v>
      </c>
      <c r="I56" s="3" t="s">
        <v>1100</v>
      </c>
      <c r="J56" s="6">
        <f>+[48]Main!$M$3</f>
        <v>126.678</v>
      </c>
      <c r="K56" s="9">
        <v>45538</v>
      </c>
    </row>
    <row r="57" spans="1:29" x14ac:dyDescent="0.2">
      <c r="A57"/>
      <c r="B57" s="1">
        <f>+B55+1</f>
        <v>45</v>
      </c>
      <c r="C57" s="5" t="s">
        <v>415</v>
      </c>
      <c r="D57" t="s">
        <v>416</v>
      </c>
      <c r="E57" s="19">
        <v>14.84</v>
      </c>
      <c r="F57" s="6">
        <f>+E57*J57/HKD</f>
        <v>11195.882170547771</v>
      </c>
      <c r="G57" s="6">
        <f>([49]Main!$J$5-[49]Main!$J$6)/HKD</f>
        <v>2154.8816560509554</v>
      </c>
      <c r="H57" s="6">
        <f t="shared" si="7"/>
        <v>9041.0005144968163</v>
      </c>
      <c r="I57" s="3" t="s">
        <v>306</v>
      </c>
      <c r="J57" s="6">
        <f>+[49]Main!$J$3</f>
        <v>5922.3500700000004</v>
      </c>
      <c r="K57" s="9">
        <v>44926</v>
      </c>
    </row>
    <row r="58" spans="1:29" x14ac:dyDescent="0.2">
      <c r="B58" s="1">
        <f t="shared" si="6"/>
        <v>46</v>
      </c>
      <c r="C58" s="5" t="s">
        <v>370</v>
      </c>
      <c r="D58" t="s">
        <v>371</v>
      </c>
      <c r="E58" s="15">
        <v>38.75</v>
      </c>
      <c r="F58" s="24">
        <f>E58*J58</f>
        <v>8103.5997950000001</v>
      </c>
      <c r="G58" s="6">
        <f>([50]Main!$M$5-[50]Main!$M$6)*EUR</f>
        <v>-817.5150000000001</v>
      </c>
      <c r="H58" s="6">
        <f>+F58-G58</f>
        <v>8921.1147949999995</v>
      </c>
      <c r="I58" s="3" t="s">
        <v>23</v>
      </c>
      <c r="J58" s="6">
        <f>[50]Main!$M$3</f>
        <v>209.125156</v>
      </c>
      <c r="K58" s="9">
        <v>44990</v>
      </c>
      <c r="AC58" s="1">
        <v>1926</v>
      </c>
    </row>
    <row r="59" spans="1:29" x14ac:dyDescent="0.2">
      <c r="A59"/>
      <c r="B59" s="1">
        <f>+B56+1</f>
        <v>48</v>
      </c>
      <c r="C59" s="5" t="s">
        <v>413</v>
      </c>
      <c r="D59" t="s">
        <v>414</v>
      </c>
      <c r="E59" s="19">
        <v>4.57</v>
      </c>
      <c r="F59" s="6">
        <f>+E59*J59/HKD</f>
        <v>10862.525383277709</v>
      </c>
      <c r="G59" s="6">
        <f>([51]Main!$K$5-[51]Main!$K$6)/HKD</f>
        <v>3753.9449681528663</v>
      </c>
      <c r="H59" s="6">
        <f t="shared" si="7"/>
        <v>7108.5804151248431</v>
      </c>
      <c r="I59" s="3" t="s">
        <v>306</v>
      </c>
      <c r="J59" s="6">
        <f>+[51]Main!$K$3</f>
        <v>18658.823689000001</v>
      </c>
      <c r="K59" s="9">
        <v>44926</v>
      </c>
    </row>
    <row r="60" spans="1:29" x14ac:dyDescent="0.2">
      <c r="B60" s="1">
        <f t="shared" si="6"/>
        <v>49</v>
      </c>
      <c r="C60" s="5" t="s">
        <v>139</v>
      </c>
      <c r="D60" s="1" t="s">
        <v>140</v>
      </c>
      <c r="E60" s="7">
        <v>126</v>
      </c>
      <c r="F60" s="6">
        <f>E60*J60</f>
        <v>7034.7766860000002</v>
      </c>
      <c r="G60" s="6">
        <f>[52]Main!$L$5-[52]Main!$L$6</f>
        <v>402.00300000000004</v>
      </c>
      <c r="H60" s="6">
        <f>F60-G60</f>
        <v>6632.7736860000005</v>
      </c>
      <c r="J60" s="6">
        <f>[52]Main!$L$3</f>
        <v>55.831561000000001</v>
      </c>
      <c r="AC60" s="1">
        <v>2007</v>
      </c>
    </row>
    <row r="61" spans="1:29" x14ac:dyDescent="0.2">
      <c r="B61" s="1">
        <f t="shared" si="6"/>
        <v>50</v>
      </c>
      <c r="C61" s="5" t="s">
        <v>301</v>
      </c>
      <c r="D61" t="s">
        <v>302</v>
      </c>
      <c r="E61" s="22">
        <v>1721.48</v>
      </c>
      <c r="F61" s="6">
        <f>+E61*J61/100*GBP</f>
        <v>5214.3629200000005</v>
      </c>
      <c r="G61" s="6">
        <f>+[53]Main!$K$5-[53]Main!$K$6</f>
        <v>-337</v>
      </c>
      <c r="H61" s="6">
        <f t="shared" ref="H61:H67" si="8">+F61-G61</f>
        <v>5551.3629200000005</v>
      </c>
      <c r="I61" s="3" t="s">
        <v>23</v>
      </c>
      <c r="J61" s="6">
        <f>+[53]Main!$K$3</f>
        <v>233</v>
      </c>
    </row>
    <row r="62" spans="1:29" x14ac:dyDescent="0.2">
      <c r="B62" s="1">
        <f t="shared" si="6"/>
        <v>51</v>
      </c>
      <c r="C62" s="5" t="s">
        <v>102</v>
      </c>
      <c r="D62" s="1" t="s">
        <v>103</v>
      </c>
      <c r="E62" s="3">
        <v>49.82</v>
      </c>
      <c r="F62" s="6">
        <f>+E62*J62</f>
        <v>7076.9477395199992</v>
      </c>
      <c r="G62" s="6">
        <f>+[54]Main!$L$5-[54]Main!$L$6</f>
        <v>816.24800000000005</v>
      </c>
      <c r="H62" s="6">
        <f t="shared" si="8"/>
        <v>6260.6997395199996</v>
      </c>
      <c r="I62" s="9" t="s">
        <v>426</v>
      </c>
      <c r="J62" s="6">
        <f>+[54]Main!$L$3</f>
        <v>142.05033599999999</v>
      </c>
      <c r="K62" s="9">
        <v>44959</v>
      </c>
    </row>
    <row r="63" spans="1:29" x14ac:dyDescent="0.2">
      <c r="A63" t="s">
        <v>340</v>
      </c>
      <c r="B63" s="1">
        <f t="shared" ref="B63:B71" si="9">+B62+1</f>
        <v>52</v>
      </c>
      <c r="C63" s="5" t="s">
        <v>137</v>
      </c>
      <c r="D63" s="1" t="s">
        <v>138</v>
      </c>
      <c r="E63" s="3">
        <v>28.45</v>
      </c>
      <c r="F63" s="6">
        <f>+J63*E63</f>
        <v>4673.0341237499997</v>
      </c>
      <c r="G63" s="6">
        <f>+[55]Main!$L$5-[55]Main!$L$6</f>
        <v>465.44</v>
      </c>
      <c r="H63" s="6">
        <f t="shared" si="8"/>
        <v>4207.5941237500001</v>
      </c>
      <c r="I63" s="3" t="s">
        <v>306</v>
      </c>
      <c r="J63" s="6">
        <f>+[55]Main!$L$3</f>
        <v>164.25427500000001</v>
      </c>
      <c r="K63" s="9">
        <v>44782</v>
      </c>
    </row>
    <row r="64" spans="1:29" x14ac:dyDescent="0.2">
      <c r="B64" s="1">
        <f t="shared" si="9"/>
        <v>53</v>
      </c>
      <c r="C64" s="5" t="s">
        <v>124</v>
      </c>
      <c r="D64" s="1" t="s">
        <v>125</v>
      </c>
      <c r="E64" s="3">
        <v>26.15</v>
      </c>
      <c r="F64" s="6">
        <f>+E64*J64</f>
        <v>8471.3186499999993</v>
      </c>
      <c r="G64" s="6">
        <f>+[56]Main!$M$5-[56]Main!$M$6</f>
        <v>2065.1990000000001</v>
      </c>
      <c r="H64" s="6">
        <f t="shared" si="8"/>
        <v>6406.1196499999987</v>
      </c>
      <c r="I64" s="3" t="s">
        <v>527</v>
      </c>
      <c r="J64" s="6">
        <f>+[56]Main!$M$3</f>
        <v>323.95100000000002</v>
      </c>
      <c r="K64" s="9">
        <v>44971</v>
      </c>
    </row>
    <row r="65" spans="1:30" x14ac:dyDescent="0.2">
      <c r="A65" t="s">
        <v>340</v>
      </c>
      <c r="B65" s="1">
        <f t="shared" si="9"/>
        <v>54</v>
      </c>
      <c r="C65" s="5" t="s">
        <v>135</v>
      </c>
      <c r="D65" s="1" t="s">
        <v>136</v>
      </c>
      <c r="E65" s="7">
        <v>39.65</v>
      </c>
      <c r="F65" s="6">
        <f>E65*J65</f>
        <v>4617.5203671999998</v>
      </c>
      <c r="G65" s="6">
        <f>+[57]Main!$L$5-[57]Main!$L$6</f>
        <v>673.54899999999998</v>
      </c>
      <c r="H65" s="6">
        <f t="shared" si="8"/>
        <v>3943.9713671999998</v>
      </c>
      <c r="I65" s="3" t="s">
        <v>527</v>
      </c>
      <c r="J65" s="6">
        <f>[57]Main!$L$3</f>
        <v>116.457008</v>
      </c>
      <c r="K65" s="9">
        <v>45066</v>
      </c>
      <c r="AC65" s="1">
        <v>2009</v>
      </c>
      <c r="AD65" s="1" t="s">
        <v>1013</v>
      </c>
    </row>
    <row r="66" spans="1:30" x14ac:dyDescent="0.2">
      <c r="A66" t="s">
        <v>340</v>
      </c>
      <c r="B66" s="1">
        <f t="shared" si="9"/>
        <v>55</v>
      </c>
      <c r="C66" s="5" t="s">
        <v>439</v>
      </c>
      <c r="D66" t="s">
        <v>440</v>
      </c>
      <c r="E66" s="7">
        <v>89.98</v>
      </c>
      <c r="F66" s="6">
        <f>+E66*J66</f>
        <v>3907.4860567599999</v>
      </c>
      <c r="G66" s="6">
        <f>+[58]Main!$L$5-[58]Main!$L$6</f>
        <v>133.33705900000001</v>
      </c>
      <c r="H66" s="6">
        <f t="shared" si="8"/>
        <v>3774.1489977599999</v>
      </c>
      <c r="I66" s="3" t="s">
        <v>426</v>
      </c>
      <c r="J66" s="6">
        <f>+[58]Main!$L$3</f>
        <v>43.426161999999998</v>
      </c>
      <c r="K66" s="9">
        <v>44920</v>
      </c>
    </row>
    <row r="67" spans="1:30" x14ac:dyDescent="0.2">
      <c r="A67"/>
      <c r="B67" s="1">
        <f t="shared" si="9"/>
        <v>56</v>
      </c>
      <c r="C67" s="5" t="s">
        <v>74</v>
      </c>
      <c r="D67" s="1" t="s">
        <v>75</v>
      </c>
      <c r="E67" s="7">
        <v>87</v>
      </c>
      <c r="F67" s="6">
        <f>+E67*J67</f>
        <v>21113.629887000003</v>
      </c>
      <c r="G67" s="6">
        <f>+[59]Main!$K$5-[59]Main!$K$6</f>
        <v>18458.399999999998</v>
      </c>
      <c r="H67" s="6">
        <f t="shared" si="8"/>
        <v>2655.229887000005</v>
      </c>
      <c r="I67" s="3" t="s">
        <v>1100</v>
      </c>
      <c r="J67" s="6">
        <f>+[59]Main!$K$3</f>
        <v>242.68540100000001</v>
      </c>
      <c r="K67" s="9">
        <v>45537</v>
      </c>
      <c r="AC67" s="1">
        <v>2008</v>
      </c>
    </row>
    <row r="68" spans="1:30" x14ac:dyDescent="0.2">
      <c r="A68" t="s">
        <v>340</v>
      </c>
      <c r="B68" s="1">
        <f t="shared" si="9"/>
        <v>57</v>
      </c>
      <c r="C68" s="1" t="s">
        <v>387</v>
      </c>
      <c r="D68" t="s">
        <v>389</v>
      </c>
    </row>
    <row r="69" spans="1:30" x14ac:dyDescent="0.2">
      <c r="B69" s="1">
        <f t="shared" si="9"/>
        <v>58</v>
      </c>
      <c r="C69" s="1" t="s">
        <v>96</v>
      </c>
      <c r="D69" s="1" t="s">
        <v>97</v>
      </c>
      <c r="E69" s="3">
        <v>18.89</v>
      </c>
      <c r="F69" s="6">
        <v>9880</v>
      </c>
    </row>
    <row r="70" spans="1:30" x14ac:dyDescent="0.2">
      <c r="B70" s="1">
        <f t="shared" si="9"/>
        <v>59</v>
      </c>
      <c r="C70" s="1" t="s">
        <v>120</v>
      </c>
      <c r="D70" s="1" t="s">
        <v>121</v>
      </c>
      <c r="E70" s="3">
        <v>57.55</v>
      </c>
      <c r="F70" s="6">
        <v>7850</v>
      </c>
    </row>
    <row r="71" spans="1:30" x14ac:dyDescent="0.2">
      <c r="A71" t="s">
        <v>340</v>
      </c>
      <c r="B71" s="1">
        <f t="shared" si="9"/>
        <v>60</v>
      </c>
      <c r="C71" t="s">
        <v>374</v>
      </c>
      <c r="D71" t="s">
        <v>375</v>
      </c>
    </row>
    <row r="72" spans="1:30" x14ac:dyDescent="0.2">
      <c r="A72" t="s">
        <v>340</v>
      </c>
      <c r="B72" s="1">
        <f t="shared" ref="B72:B109" si="10">B71+1</f>
        <v>61</v>
      </c>
      <c r="C72" t="s">
        <v>376</v>
      </c>
      <c r="D72" t="s">
        <v>377</v>
      </c>
    </row>
    <row r="73" spans="1:30" x14ac:dyDescent="0.2">
      <c r="A73"/>
      <c r="B73" s="1">
        <f t="shared" si="10"/>
        <v>62</v>
      </c>
      <c r="C73" t="s">
        <v>378</v>
      </c>
      <c r="D73" t="s">
        <v>379</v>
      </c>
    </row>
    <row r="74" spans="1:30" x14ac:dyDescent="0.2">
      <c r="B74" s="1">
        <f t="shared" si="10"/>
        <v>63</v>
      </c>
      <c r="C74" t="s">
        <v>372</v>
      </c>
      <c r="D74" t="s">
        <v>373</v>
      </c>
    </row>
    <row r="75" spans="1:30" x14ac:dyDescent="0.2">
      <c r="B75" s="1">
        <f t="shared" si="10"/>
        <v>64</v>
      </c>
      <c r="C75" t="s">
        <v>280</v>
      </c>
      <c r="D75" t="s">
        <v>281</v>
      </c>
    </row>
    <row r="76" spans="1:30" x14ac:dyDescent="0.2">
      <c r="A76"/>
      <c r="B76" s="1">
        <f t="shared" si="10"/>
        <v>65</v>
      </c>
      <c r="C76" t="s">
        <v>364</v>
      </c>
      <c r="D76" t="s">
        <v>365</v>
      </c>
    </row>
    <row r="77" spans="1:30" x14ac:dyDescent="0.2">
      <c r="A77"/>
      <c r="B77" s="1">
        <f t="shared" si="10"/>
        <v>66</v>
      </c>
      <c r="C77" t="s">
        <v>362</v>
      </c>
      <c r="D77" t="s">
        <v>363</v>
      </c>
    </row>
    <row r="78" spans="1:30" x14ac:dyDescent="0.2">
      <c r="B78" s="1">
        <f t="shared" si="10"/>
        <v>67</v>
      </c>
      <c r="C78" t="s">
        <v>276</v>
      </c>
      <c r="D78" t="s">
        <v>277</v>
      </c>
    </row>
    <row r="79" spans="1:30" x14ac:dyDescent="0.2">
      <c r="B79" s="1">
        <f t="shared" si="10"/>
        <v>68</v>
      </c>
      <c r="C79" t="s">
        <v>273</v>
      </c>
      <c r="D79" t="s">
        <v>274</v>
      </c>
    </row>
    <row r="80" spans="1:30" x14ac:dyDescent="0.2">
      <c r="A80"/>
      <c r="B80" s="1">
        <f t="shared" si="10"/>
        <v>69</v>
      </c>
      <c r="C80" s="5" t="s">
        <v>356</v>
      </c>
      <c r="D80" t="s">
        <v>704</v>
      </c>
      <c r="E80" s="3">
        <v>12.73</v>
      </c>
      <c r="F80" s="6">
        <f>+E80*J80</f>
        <v>8858.5378750700002</v>
      </c>
      <c r="G80" s="6">
        <f>+[60]Main!$K$5-[60]Main!$K$6</f>
        <v>1840.732</v>
      </c>
      <c r="H80" s="6">
        <f>+F80-G80</f>
        <v>7017.8058750700002</v>
      </c>
      <c r="I80" s="3" t="s">
        <v>306</v>
      </c>
      <c r="J80" s="6">
        <f>+[60]Main!$K$3</f>
        <v>695.87885900000003</v>
      </c>
      <c r="K80" s="9">
        <v>44816</v>
      </c>
    </row>
    <row r="81" spans="1:6" x14ac:dyDescent="0.2">
      <c r="B81" s="1">
        <f t="shared" si="10"/>
        <v>70</v>
      </c>
      <c r="C81" t="s">
        <v>368</v>
      </c>
      <c r="D81" t="s">
        <v>369</v>
      </c>
    </row>
    <row r="82" spans="1:6" x14ac:dyDescent="0.2">
      <c r="A82"/>
      <c r="B82" s="1">
        <f t="shared" si="10"/>
        <v>71</v>
      </c>
      <c r="C82" t="s">
        <v>1085</v>
      </c>
      <c r="D82" t="s">
        <v>1086</v>
      </c>
    </row>
    <row r="83" spans="1:6" x14ac:dyDescent="0.2">
      <c r="A83"/>
      <c r="B83" s="1">
        <f t="shared" si="10"/>
        <v>72</v>
      </c>
      <c r="C83" t="s">
        <v>1083</v>
      </c>
      <c r="D83" t="s">
        <v>1084</v>
      </c>
      <c r="E83" s="7"/>
    </row>
    <row r="84" spans="1:6" x14ac:dyDescent="0.2">
      <c r="A84"/>
      <c r="B84" s="1">
        <f t="shared" si="10"/>
        <v>73</v>
      </c>
      <c r="C84" t="s">
        <v>608</v>
      </c>
      <c r="D84" t="s">
        <v>609</v>
      </c>
    </row>
    <row r="85" spans="1:6" x14ac:dyDescent="0.2">
      <c r="A85"/>
      <c r="B85" s="1">
        <f t="shared" si="10"/>
        <v>74</v>
      </c>
      <c r="C85" t="s">
        <v>1087</v>
      </c>
      <c r="D85" t="s">
        <v>1088</v>
      </c>
      <c r="E85" s="7">
        <v>64</v>
      </c>
    </row>
    <row r="86" spans="1:6" x14ac:dyDescent="0.2">
      <c r="B86" s="1">
        <f t="shared" si="10"/>
        <v>75</v>
      </c>
      <c r="C86" s="1" t="s">
        <v>118</v>
      </c>
      <c r="D86" s="1" t="s">
        <v>119</v>
      </c>
      <c r="E86" s="3">
        <v>83.97</v>
      </c>
    </row>
    <row r="87" spans="1:6" x14ac:dyDescent="0.2">
      <c r="A87"/>
      <c r="B87" s="1">
        <f t="shared" si="10"/>
        <v>76</v>
      </c>
      <c r="C87" t="s">
        <v>1089</v>
      </c>
      <c r="D87" t="s">
        <v>1090</v>
      </c>
      <c r="F87" s="6"/>
    </row>
    <row r="88" spans="1:6" x14ac:dyDescent="0.2">
      <c r="A88"/>
      <c r="B88" s="1">
        <f t="shared" si="10"/>
        <v>77</v>
      </c>
      <c r="C88" t="s">
        <v>1148</v>
      </c>
      <c r="D88" t="s">
        <v>1149</v>
      </c>
      <c r="F88" s="6"/>
    </row>
    <row r="89" spans="1:6" x14ac:dyDescent="0.2">
      <c r="A89"/>
      <c r="B89" s="1">
        <f t="shared" si="10"/>
        <v>78</v>
      </c>
      <c r="C89" t="s">
        <v>1094</v>
      </c>
      <c r="F89" s="6"/>
    </row>
    <row r="90" spans="1:6" x14ac:dyDescent="0.2">
      <c r="A90"/>
      <c r="B90" s="1">
        <f t="shared" si="10"/>
        <v>79</v>
      </c>
      <c r="C90" t="s">
        <v>1095</v>
      </c>
      <c r="F90" s="6"/>
    </row>
    <row r="91" spans="1:6" x14ac:dyDescent="0.2">
      <c r="A91"/>
      <c r="B91" s="1">
        <f t="shared" si="10"/>
        <v>80</v>
      </c>
      <c r="C91" t="s">
        <v>1093</v>
      </c>
      <c r="F91" s="6"/>
    </row>
    <row r="92" spans="1:6" x14ac:dyDescent="0.2">
      <c r="A92"/>
      <c r="B92" s="1">
        <f t="shared" si="10"/>
        <v>81</v>
      </c>
      <c r="C92" s="1" t="s">
        <v>116</v>
      </c>
      <c r="D92" s="1" t="s">
        <v>117</v>
      </c>
      <c r="E92" s="3">
        <v>33.17</v>
      </c>
    </row>
    <row r="93" spans="1:6" x14ac:dyDescent="0.2">
      <c r="A93" t="s">
        <v>340</v>
      </c>
      <c r="B93" s="1">
        <f t="shared" si="10"/>
        <v>82</v>
      </c>
      <c r="C93" t="s">
        <v>695</v>
      </c>
      <c r="D93" t="s">
        <v>696</v>
      </c>
    </row>
    <row r="94" spans="1:6" x14ac:dyDescent="0.2">
      <c r="A94" t="s">
        <v>340</v>
      </c>
      <c r="B94" s="1">
        <f t="shared" si="10"/>
        <v>83</v>
      </c>
      <c r="C94" s="1" t="s">
        <v>127</v>
      </c>
      <c r="D94" s="1" t="s">
        <v>128</v>
      </c>
      <c r="E94" s="3">
        <v>19.510000000000002</v>
      </c>
      <c r="F94" s="6">
        <v>3220</v>
      </c>
    </row>
    <row r="95" spans="1:6" x14ac:dyDescent="0.2">
      <c r="A95" t="s">
        <v>340</v>
      </c>
      <c r="B95" s="1">
        <f t="shared" si="10"/>
        <v>84</v>
      </c>
      <c r="C95" s="1" t="s">
        <v>131</v>
      </c>
      <c r="D95" s="1" t="s">
        <v>132</v>
      </c>
      <c r="E95" s="3">
        <v>54.94</v>
      </c>
      <c r="F95" s="6">
        <v>4170</v>
      </c>
    </row>
    <row r="96" spans="1:6" x14ac:dyDescent="0.2">
      <c r="A96" t="s">
        <v>340</v>
      </c>
      <c r="B96" s="1">
        <f t="shared" si="10"/>
        <v>85</v>
      </c>
      <c r="C96" s="1" t="s">
        <v>133</v>
      </c>
      <c r="D96" s="1" t="s">
        <v>134</v>
      </c>
      <c r="E96" s="3">
        <v>38.840000000000003</v>
      </c>
      <c r="F96" s="6"/>
    </row>
    <row r="97" spans="1:29" x14ac:dyDescent="0.2">
      <c r="A97"/>
      <c r="B97" s="1">
        <f t="shared" si="10"/>
        <v>86</v>
      </c>
      <c r="C97" s="1" t="s">
        <v>141</v>
      </c>
      <c r="D97" s="1" t="s">
        <v>142</v>
      </c>
      <c r="E97" s="3">
        <v>60.72</v>
      </c>
      <c r="F97" s="6"/>
    </row>
    <row r="98" spans="1:29" x14ac:dyDescent="0.2">
      <c r="B98" s="1">
        <f t="shared" si="10"/>
        <v>87</v>
      </c>
      <c r="C98" t="s">
        <v>699</v>
      </c>
      <c r="D98" t="s">
        <v>700</v>
      </c>
      <c r="E98" s="7"/>
      <c r="F98" s="6"/>
    </row>
    <row r="99" spans="1:29" x14ac:dyDescent="0.2">
      <c r="A99"/>
      <c r="B99" s="1">
        <f t="shared" si="10"/>
        <v>88</v>
      </c>
      <c r="C99" t="s">
        <v>312</v>
      </c>
      <c r="D99" t="s">
        <v>313</v>
      </c>
      <c r="E99" s="3">
        <v>4.26</v>
      </c>
      <c r="F99" s="6"/>
      <c r="AC99" s="1">
        <v>2011</v>
      </c>
    </row>
    <row r="100" spans="1:29" x14ac:dyDescent="0.2">
      <c r="A100"/>
      <c r="B100" s="1">
        <f t="shared" si="10"/>
        <v>89</v>
      </c>
      <c r="C100" t="s">
        <v>1150</v>
      </c>
      <c r="D100" t="s">
        <v>1151</v>
      </c>
      <c r="F100" s="6"/>
    </row>
    <row r="101" spans="1:29" x14ac:dyDescent="0.2">
      <c r="A101"/>
      <c r="B101" s="1">
        <f t="shared" si="10"/>
        <v>90</v>
      </c>
      <c r="C101" s="1" t="s">
        <v>154</v>
      </c>
      <c r="D101" s="1" t="s">
        <v>155</v>
      </c>
      <c r="E101" s="3">
        <v>41.92</v>
      </c>
      <c r="F101" s="6">
        <v>2510</v>
      </c>
    </row>
    <row r="102" spans="1:29" x14ac:dyDescent="0.2">
      <c r="A102" s="1" t="s">
        <v>340</v>
      </c>
      <c r="B102" s="1">
        <f t="shared" si="10"/>
        <v>91</v>
      </c>
      <c r="C102" s="1" t="s">
        <v>112</v>
      </c>
      <c r="D102" s="1" t="s">
        <v>113</v>
      </c>
      <c r="E102" s="3">
        <v>23.02</v>
      </c>
      <c r="F102" s="6">
        <v>1690</v>
      </c>
    </row>
    <row r="103" spans="1:29" x14ac:dyDescent="0.2">
      <c r="A103" t="s">
        <v>340</v>
      </c>
      <c r="B103" s="1">
        <f t="shared" si="10"/>
        <v>92</v>
      </c>
      <c r="C103" s="5" t="s">
        <v>697</v>
      </c>
      <c r="D103" t="s">
        <v>698</v>
      </c>
      <c r="E103" s="3">
        <v>30.62</v>
      </c>
      <c r="F103" s="6">
        <f>E103*J103</f>
        <v>4191.5384854399999</v>
      </c>
      <c r="G103" s="6">
        <f>[61]Main!$K$5-[61]Main!$K$6</f>
        <v>1288.453</v>
      </c>
      <c r="H103" s="6">
        <f t="shared" ref="H103:H110" si="11">+F103-G103</f>
        <v>2903.08548544</v>
      </c>
      <c r="I103" s="3" t="s">
        <v>661</v>
      </c>
      <c r="J103" s="6">
        <f>[61]Main!$K$3</f>
        <v>136.888912</v>
      </c>
      <c r="K103" s="9">
        <v>45071</v>
      </c>
    </row>
    <row r="104" spans="1:29" x14ac:dyDescent="0.2">
      <c r="A104" s="1" t="s">
        <v>340</v>
      </c>
      <c r="B104" s="1">
        <f t="shared" si="10"/>
        <v>93</v>
      </c>
      <c r="C104" s="5" t="s">
        <v>218</v>
      </c>
      <c r="D104" s="1" t="s">
        <v>219</v>
      </c>
      <c r="E104" s="3">
        <v>10.61</v>
      </c>
      <c r="F104" s="6">
        <f>+E104*J104</f>
        <v>3220.2821819199999</v>
      </c>
      <c r="G104" s="6">
        <f>+[62]Main!$I$5-[62]Main!$I$6</f>
        <v>417.97200000000004</v>
      </c>
      <c r="H104" s="6">
        <f>+F104-G104</f>
        <v>2802.3101819199996</v>
      </c>
      <c r="I104" s="3" t="s">
        <v>1100</v>
      </c>
      <c r="J104" s="6">
        <f>+[62]Main!$I$3</f>
        <v>303.51387199999999</v>
      </c>
      <c r="K104" s="9">
        <v>45525</v>
      </c>
    </row>
    <row r="105" spans="1:29" x14ac:dyDescent="0.2">
      <c r="A105" t="s">
        <v>340</v>
      </c>
      <c r="B105" s="1">
        <f t="shared" si="10"/>
        <v>94</v>
      </c>
      <c r="C105" s="5" t="s">
        <v>114</v>
      </c>
      <c r="D105" s="1" t="s">
        <v>115</v>
      </c>
      <c r="E105" s="3">
        <v>29.12</v>
      </c>
      <c r="F105" s="6">
        <f>+E105*J105</f>
        <v>3086.8866246400003</v>
      </c>
      <c r="G105" s="6">
        <f>+[63]Main!$L$5-[63]Main!$L$6</f>
        <v>482.26800000000003</v>
      </c>
      <c r="H105" s="6">
        <f t="shared" si="11"/>
        <v>2604.6186246400002</v>
      </c>
      <c r="I105" s="3" t="s">
        <v>426</v>
      </c>
      <c r="J105" s="6">
        <f>+[63]Main!$L$3</f>
        <v>106.00572200000001</v>
      </c>
      <c r="K105" s="9">
        <v>44963</v>
      </c>
    </row>
    <row r="106" spans="1:29" x14ac:dyDescent="0.2">
      <c r="A106" t="s">
        <v>340</v>
      </c>
      <c r="B106" s="1">
        <f t="shared" si="10"/>
        <v>95</v>
      </c>
      <c r="C106" s="5" t="s">
        <v>147</v>
      </c>
      <c r="D106" s="1" t="s">
        <v>148</v>
      </c>
      <c r="E106" s="3">
        <v>26.48</v>
      </c>
      <c r="F106" s="6">
        <f>+E106*J106</f>
        <v>2554.6579999999999</v>
      </c>
      <c r="G106" s="6">
        <f>+[64]Main!$J$5-[64]Main!$J$6</f>
        <v>953.38400000000013</v>
      </c>
      <c r="H106" s="6">
        <f t="shared" si="11"/>
        <v>1601.2739999999999</v>
      </c>
      <c r="I106" s="3" t="s">
        <v>449</v>
      </c>
      <c r="J106" s="6">
        <f>+[64]Main!$J$3</f>
        <v>96.474999999999994</v>
      </c>
      <c r="K106" s="9">
        <v>44955</v>
      </c>
    </row>
    <row r="107" spans="1:29" x14ac:dyDescent="0.2">
      <c r="A107" t="s">
        <v>340</v>
      </c>
      <c r="B107" s="1">
        <f t="shared" si="10"/>
        <v>96</v>
      </c>
      <c r="C107" s="5" t="s">
        <v>160</v>
      </c>
      <c r="D107" s="1" t="s">
        <v>161</v>
      </c>
      <c r="E107" s="7">
        <v>46.19</v>
      </c>
      <c r="F107" s="6">
        <f>+E107*J107</f>
        <v>3249.6786968599999</v>
      </c>
      <c r="G107" s="6">
        <f>+[65]Main!$K$5-[65]Main!$K$6</f>
        <v>1178.8610000000001</v>
      </c>
      <c r="H107" s="6">
        <f t="shared" si="11"/>
        <v>2070.8176968600001</v>
      </c>
      <c r="I107" s="3" t="s">
        <v>306</v>
      </c>
      <c r="J107" s="6">
        <f>+[65]Main!$K$3</f>
        <v>70.354594000000006</v>
      </c>
      <c r="K107" s="9">
        <v>44827</v>
      </c>
    </row>
    <row r="108" spans="1:29" x14ac:dyDescent="0.2">
      <c r="A108" t="s">
        <v>340</v>
      </c>
      <c r="B108" s="1">
        <f t="shared" si="10"/>
        <v>97</v>
      </c>
      <c r="C108" s="5" t="s">
        <v>158</v>
      </c>
      <c r="D108" s="1" t="s">
        <v>159</v>
      </c>
      <c r="E108" s="3">
        <v>9.18</v>
      </c>
      <c r="F108" s="6">
        <f>+E108*[66]Main!$N$3</f>
        <v>2859.4049160599998</v>
      </c>
      <c r="G108" s="6">
        <f>+[66]Main!$N$5-[66]Main!$N$6</f>
        <v>869.93499999999995</v>
      </c>
      <c r="H108" s="6">
        <f t="shared" si="11"/>
        <v>1989.4699160599998</v>
      </c>
      <c r="I108" s="3" t="s">
        <v>16</v>
      </c>
    </row>
    <row r="109" spans="1:29" x14ac:dyDescent="0.2">
      <c r="A109"/>
      <c r="B109" s="1">
        <f t="shared" si="10"/>
        <v>98</v>
      </c>
      <c r="C109" s="5" t="s">
        <v>122</v>
      </c>
      <c r="D109" s="1" t="s">
        <v>123</v>
      </c>
      <c r="E109" s="7">
        <v>47</v>
      </c>
      <c r="F109" s="6">
        <f>E109*J109</f>
        <v>3696.3939130000003</v>
      </c>
      <c r="G109" s="6">
        <f>[67]Main!$N$5-[67]Main!$N$6</f>
        <v>1868.4480000000001</v>
      </c>
      <c r="H109" s="6">
        <f t="shared" si="11"/>
        <v>1827.9459130000002</v>
      </c>
      <c r="I109" s="3" t="s">
        <v>527</v>
      </c>
      <c r="J109" s="6">
        <f>[67]Main!$N$3</f>
        <v>78.646679000000006</v>
      </c>
      <c r="K109" s="9">
        <v>44994</v>
      </c>
    </row>
    <row r="110" spans="1:29" x14ac:dyDescent="0.2">
      <c r="A110" t="s">
        <v>340</v>
      </c>
      <c r="B110" s="1">
        <f t="shared" ref="B110:B172" si="12">B109+1</f>
        <v>99</v>
      </c>
      <c r="C110" s="5" t="s">
        <v>98</v>
      </c>
      <c r="D110" s="1" t="s">
        <v>99</v>
      </c>
      <c r="E110" s="3">
        <v>20.34</v>
      </c>
      <c r="F110" s="6">
        <f>+E110*J110</f>
        <v>1539.4211638199999</v>
      </c>
      <c r="G110" s="6">
        <f>+[68]Main!$M$5-[68]Main!$M$6</f>
        <v>306.53399999999999</v>
      </c>
      <c r="H110" s="6">
        <f t="shared" si="11"/>
        <v>1232.8871638199998</v>
      </c>
      <c r="I110" s="3" t="s">
        <v>426</v>
      </c>
      <c r="J110" s="6">
        <f>+[68]Main!$M$3</f>
        <v>75.684422999999995</v>
      </c>
      <c r="K110" s="9">
        <v>44963</v>
      </c>
    </row>
    <row r="111" spans="1:29" x14ac:dyDescent="0.2">
      <c r="A111" s="1" t="s">
        <v>340</v>
      </c>
      <c r="B111" s="1">
        <f t="shared" si="12"/>
        <v>100</v>
      </c>
      <c r="C111" s="1" t="s">
        <v>150</v>
      </c>
      <c r="D111" s="1" t="s">
        <v>151</v>
      </c>
      <c r="E111" s="3">
        <v>53.29</v>
      </c>
      <c r="F111" s="6">
        <v>3560</v>
      </c>
    </row>
    <row r="112" spans="1:29" x14ac:dyDescent="0.2">
      <c r="A112"/>
      <c r="B112" s="1">
        <f t="shared" si="12"/>
        <v>101</v>
      </c>
      <c r="C112" t="s">
        <v>694</v>
      </c>
      <c r="D112" t="s">
        <v>1015</v>
      </c>
      <c r="E112" s="3">
        <v>35.46</v>
      </c>
      <c r="F112" s="6">
        <f>30500/DKK</f>
        <v>4545.454545454545</v>
      </c>
    </row>
    <row r="113" spans="1:11" x14ac:dyDescent="0.2">
      <c r="A113" t="s">
        <v>340</v>
      </c>
      <c r="B113" s="1">
        <f t="shared" si="12"/>
        <v>102</v>
      </c>
      <c r="C113" s="1" t="s">
        <v>166</v>
      </c>
      <c r="D113" s="1" t="s">
        <v>167</v>
      </c>
      <c r="E113" s="7">
        <v>11.53</v>
      </c>
      <c r="F113" s="6">
        <v>3240</v>
      </c>
    </row>
    <row r="114" spans="1:11" x14ac:dyDescent="0.2">
      <c r="A114" t="s">
        <v>340</v>
      </c>
      <c r="B114" s="1">
        <f t="shared" si="12"/>
        <v>103</v>
      </c>
      <c r="C114" s="1" t="s">
        <v>168</v>
      </c>
      <c r="D114" s="1" t="s">
        <v>169</v>
      </c>
      <c r="E114" s="3">
        <v>55.33</v>
      </c>
      <c r="F114" s="6">
        <v>3280</v>
      </c>
    </row>
    <row r="115" spans="1:11" x14ac:dyDescent="0.2">
      <c r="A115" t="s">
        <v>340</v>
      </c>
      <c r="B115" s="1">
        <f t="shared" si="12"/>
        <v>104</v>
      </c>
      <c r="C115" s="1" t="s">
        <v>156</v>
      </c>
      <c r="D115" s="1" t="s">
        <v>157</v>
      </c>
      <c r="E115" s="3">
        <v>29.49</v>
      </c>
      <c r="F115" s="6">
        <v>2880</v>
      </c>
    </row>
    <row r="116" spans="1:11" x14ac:dyDescent="0.2">
      <c r="A116" t="s">
        <v>340</v>
      </c>
      <c r="B116" s="1">
        <f t="shared" si="12"/>
        <v>105</v>
      </c>
      <c r="C116" s="5" t="s">
        <v>797</v>
      </c>
      <c r="D116" t="s">
        <v>798</v>
      </c>
      <c r="E116" s="7">
        <v>26.7</v>
      </c>
      <c r="F116" s="6">
        <f>E116*J116</f>
        <v>1793.6009888999999</v>
      </c>
      <c r="G116" s="6">
        <f>[69]Main!$O$5-[69]Main!$O$6</f>
        <v>345.67399999999998</v>
      </c>
      <c r="H116" s="6">
        <f>+F116-G116</f>
        <v>1447.9269889</v>
      </c>
      <c r="I116" s="3" t="s">
        <v>661</v>
      </c>
      <c r="J116" s="6">
        <f>[69]Main!$O$3</f>
        <v>67.176067000000003</v>
      </c>
      <c r="K116" s="9">
        <v>45067</v>
      </c>
    </row>
    <row r="117" spans="1:11" x14ac:dyDescent="0.2">
      <c r="A117" t="s">
        <v>340</v>
      </c>
      <c r="B117" s="1">
        <f t="shared" si="12"/>
        <v>106</v>
      </c>
      <c r="C117" s="5" t="s">
        <v>183</v>
      </c>
      <c r="D117" s="1" t="s">
        <v>184</v>
      </c>
      <c r="E117" s="7">
        <v>43</v>
      </c>
      <c r="F117" s="6">
        <f>E117*J117</f>
        <v>2567.8571440000001</v>
      </c>
      <c r="G117" s="6">
        <f>[70]Main!$K$5-[70]Main!$K$6</f>
        <v>1272.4940000000001</v>
      </c>
      <c r="H117" s="6">
        <f>F117-G117</f>
        <v>1295.3631439999999</v>
      </c>
      <c r="I117" s="3" t="s">
        <v>527</v>
      </c>
      <c r="J117" s="6">
        <f>[70]Main!$K$3</f>
        <v>59.717607999999998</v>
      </c>
      <c r="K117" s="9">
        <v>44999</v>
      </c>
    </row>
    <row r="118" spans="1:11" x14ac:dyDescent="0.2">
      <c r="A118" t="s">
        <v>340</v>
      </c>
      <c r="B118" s="1">
        <f t="shared" si="12"/>
        <v>107</v>
      </c>
      <c r="C118" s="5" t="s">
        <v>381</v>
      </c>
      <c r="D118" t="s">
        <v>382</v>
      </c>
      <c r="E118" s="3">
        <v>24.73</v>
      </c>
      <c r="F118" s="6">
        <f>+E118*J118</f>
        <v>1436.0261408599999</v>
      </c>
      <c r="G118" s="6">
        <f>+[71]Main!$J$5-[71]Main!$J$6</f>
        <v>566.44900000000007</v>
      </c>
      <c r="H118" s="6">
        <f>+F118-G118</f>
        <v>869.57714085999987</v>
      </c>
      <c r="I118" s="3" t="s">
        <v>306</v>
      </c>
      <c r="J118" s="6">
        <f>+[71]Main!$J$3</f>
        <v>58.068182</v>
      </c>
      <c r="K118" s="9">
        <v>44824</v>
      </c>
    </row>
    <row r="119" spans="1:11" x14ac:dyDescent="0.2">
      <c r="A119" t="s">
        <v>340</v>
      </c>
      <c r="B119" s="1">
        <f t="shared" si="12"/>
        <v>108</v>
      </c>
      <c r="C119" s="1" t="s">
        <v>164</v>
      </c>
      <c r="D119" s="1" t="s">
        <v>165</v>
      </c>
      <c r="E119" s="3">
        <v>6.2</v>
      </c>
      <c r="F119" s="6">
        <v>2230</v>
      </c>
    </row>
    <row r="120" spans="1:11" x14ac:dyDescent="0.2">
      <c r="A120"/>
      <c r="B120" s="1">
        <f t="shared" si="12"/>
        <v>109</v>
      </c>
      <c r="C120" s="1" t="s">
        <v>533</v>
      </c>
      <c r="D120" t="s">
        <v>126</v>
      </c>
      <c r="F120" s="6"/>
    </row>
    <row r="121" spans="1:11" x14ac:dyDescent="0.2">
      <c r="A121" t="s">
        <v>340</v>
      </c>
      <c r="B121" s="1">
        <f t="shared" si="12"/>
        <v>110</v>
      </c>
      <c r="C121" s="1" t="s">
        <v>175</v>
      </c>
      <c r="D121" s="1" t="s">
        <v>176</v>
      </c>
      <c r="E121" s="7">
        <v>20.010000000000002</v>
      </c>
      <c r="F121" s="6">
        <v>2150</v>
      </c>
    </row>
    <row r="122" spans="1:11" x14ac:dyDescent="0.2">
      <c r="A122" s="1" t="s">
        <v>340</v>
      </c>
      <c r="B122" s="1">
        <f t="shared" si="12"/>
        <v>111</v>
      </c>
      <c r="C122" s="1" t="s">
        <v>516</v>
      </c>
      <c r="D122" t="s">
        <v>517</v>
      </c>
      <c r="E122" s="7">
        <v>14.79</v>
      </c>
      <c r="F122" s="6">
        <v>2160</v>
      </c>
    </row>
    <row r="123" spans="1:11" x14ac:dyDescent="0.2">
      <c r="A123" t="s">
        <v>340</v>
      </c>
      <c r="B123" s="1">
        <f t="shared" si="12"/>
        <v>112</v>
      </c>
      <c r="C123" s="1" t="s">
        <v>177</v>
      </c>
      <c r="D123" s="1" t="s">
        <v>178</v>
      </c>
      <c r="E123" s="3">
        <v>19.010000000000002</v>
      </c>
      <c r="F123" s="6">
        <v>2580</v>
      </c>
    </row>
    <row r="124" spans="1:11" x14ac:dyDescent="0.2">
      <c r="A124"/>
      <c r="B124" s="1">
        <f t="shared" si="12"/>
        <v>113</v>
      </c>
      <c r="C124" t="s">
        <v>692</v>
      </c>
      <c r="D124" t="s">
        <v>693</v>
      </c>
      <c r="E124" s="7">
        <v>306</v>
      </c>
      <c r="F124" s="6">
        <v>5000</v>
      </c>
    </row>
    <row r="125" spans="1:11" x14ac:dyDescent="0.2">
      <c r="A125" t="s">
        <v>340</v>
      </c>
      <c r="B125" s="1">
        <f t="shared" si="12"/>
        <v>114</v>
      </c>
      <c r="C125" s="1" t="s">
        <v>206</v>
      </c>
      <c r="D125" s="1" t="s">
        <v>207</v>
      </c>
      <c r="E125" s="7">
        <v>57.1</v>
      </c>
      <c r="F125" s="6">
        <v>2590</v>
      </c>
    </row>
    <row r="126" spans="1:11" x14ac:dyDescent="0.2">
      <c r="A126" t="s">
        <v>340</v>
      </c>
      <c r="B126" s="1">
        <f t="shared" si="12"/>
        <v>115</v>
      </c>
      <c r="C126" s="1" t="s">
        <v>181</v>
      </c>
      <c r="D126" s="1" t="s">
        <v>182</v>
      </c>
      <c r="E126" s="3">
        <v>48.73</v>
      </c>
      <c r="F126" s="6">
        <v>2540</v>
      </c>
    </row>
    <row r="127" spans="1:11" x14ac:dyDescent="0.2">
      <c r="A127" t="s">
        <v>340</v>
      </c>
      <c r="B127" s="1">
        <f t="shared" si="12"/>
        <v>116</v>
      </c>
      <c r="C127" s="1" t="s">
        <v>194</v>
      </c>
      <c r="D127" s="1" t="s">
        <v>195</v>
      </c>
      <c r="E127" s="3">
        <v>37.96</v>
      </c>
      <c r="F127" s="6">
        <v>2360</v>
      </c>
    </row>
    <row r="128" spans="1:11" x14ac:dyDescent="0.2">
      <c r="A128" t="s">
        <v>340</v>
      </c>
      <c r="B128" s="1">
        <f t="shared" si="12"/>
        <v>117</v>
      </c>
      <c r="C128" s="1" t="s">
        <v>297</v>
      </c>
      <c r="D128" s="1" t="s">
        <v>187</v>
      </c>
      <c r="E128" s="3">
        <v>10.85</v>
      </c>
      <c r="F128" s="6">
        <v>2020</v>
      </c>
    </row>
    <row r="129" spans="1:6" x14ac:dyDescent="0.2">
      <c r="A129" t="s">
        <v>340</v>
      </c>
      <c r="B129" s="1">
        <f t="shared" si="12"/>
        <v>118</v>
      </c>
      <c r="C129" s="1" t="s">
        <v>216</v>
      </c>
      <c r="D129" s="1" t="s">
        <v>217</v>
      </c>
      <c r="E129" s="7">
        <v>5.3</v>
      </c>
      <c r="F129" s="6">
        <v>2010</v>
      </c>
    </row>
    <row r="130" spans="1:6" x14ac:dyDescent="0.2">
      <c r="A130" t="s">
        <v>340</v>
      </c>
      <c r="B130" s="1">
        <f t="shared" si="12"/>
        <v>119</v>
      </c>
      <c r="C130" s="1" t="s">
        <v>214</v>
      </c>
      <c r="D130" s="1" t="s">
        <v>215</v>
      </c>
      <c r="E130" s="3">
        <v>36.86</v>
      </c>
      <c r="F130" s="6">
        <v>1990</v>
      </c>
    </row>
    <row r="131" spans="1:6" x14ac:dyDescent="0.2">
      <c r="A131"/>
      <c r="B131" s="1">
        <f t="shared" si="12"/>
        <v>120</v>
      </c>
      <c r="C131" s="1" t="s">
        <v>202</v>
      </c>
      <c r="D131" s="1" t="s">
        <v>203</v>
      </c>
      <c r="E131" s="7">
        <v>76.78</v>
      </c>
      <c r="F131" s="6">
        <v>1970</v>
      </c>
    </row>
    <row r="132" spans="1:6" x14ac:dyDescent="0.2">
      <c r="A132"/>
      <c r="B132" s="1">
        <f t="shared" si="12"/>
        <v>121</v>
      </c>
      <c r="C132" s="1" t="s">
        <v>220</v>
      </c>
      <c r="D132" s="1" t="s">
        <v>221</v>
      </c>
      <c r="E132" s="3">
        <v>18.309999999999999</v>
      </c>
      <c r="F132" s="6">
        <v>1930</v>
      </c>
    </row>
    <row r="133" spans="1:6" x14ac:dyDescent="0.2">
      <c r="A133"/>
      <c r="B133" s="1">
        <f t="shared" si="12"/>
        <v>122</v>
      </c>
      <c r="C133" t="s">
        <v>1152</v>
      </c>
      <c r="D133" t="s">
        <v>1153</v>
      </c>
      <c r="F133" s="6"/>
    </row>
    <row r="134" spans="1:6" x14ac:dyDescent="0.2">
      <c r="B134" s="1">
        <f t="shared" si="12"/>
        <v>123</v>
      </c>
      <c r="C134" t="s">
        <v>711</v>
      </c>
      <c r="D134" t="s">
        <v>712</v>
      </c>
    </row>
    <row r="135" spans="1:6" x14ac:dyDescent="0.2">
      <c r="B135" s="1">
        <f t="shared" si="12"/>
        <v>124</v>
      </c>
      <c r="C135" t="s">
        <v>1154</v>
      </c>
      <c r="D135" t="s">
        <v>1155</v>
      </c>
    </row>
    <row r="136" spans="1:6" x14ac:dyDescent="0.2">
      <c r="A136" t="s">
        <v>340</v>
      </c>
      <c r="B136" s="1">
        <f t="shared" si="12"/>
        <v>125</v>
      </c>
      <c r="C136" t="s">
        <v>707</v>
      </c>
      <c r="D136" t="s">
        <v>708</v>
      </c>
      <c r="F136" s="6"/>
    </row>
    <row r="137" spans="1:6" x14ac:dyDescent="0.2">
      <c r="A137" t="s">
        <v>340</v>
      </c>
      <c r="B137" s="1">
        <f t="shared" si="12"/>
        <v>126</v>
      </c>
      <c r="C137" s="1" t="s">
        <v>190</v>
      </c>
      <c r="D137" s="1" t="s">
        <v>191</v>
      </c>
      <c r="E137" s="7">
        <v>10.1</v>
      </c>
      <c r="F137" s="6">
        <v>1880</v>
      </c>
    </row>
    <row r="138" spans="1:6" x14ac:dyDescent="0.2">
      <c r="A138" t="s">
        <v>340</v>
      </c>
      <c r="B138" s="1">
        <f t="shared" si="12"/>
        <v>127</v>
      </c>
      <c r="C138" s="1" t="s">
        <v>799</v>
      </c>
      <c r="D138" s="1" t="s">
        <v>172</v>
      </c>
      <c r="E138" s="3">
        <v>38.67</v>
      </c>
      <c r="F138" s="6">
        <v>1770</v>
      </c>
    </row>
    <row r="139" spans="1:6" x14ac:dyDescent="0.2">
      <c r="A139" t="s">
        <v>340</v>
      </c>
      <c r="B139" s="1">
        <f t="shared" si="12"/>
        <v>128</v>
      </c>
      <c r="C139" t="s">
        <v>383</v>
      </c>
      <c r="D139" t="s">
        <v>384</v>
      </c>
      <c r="E139" s="7">
        <v>43.5</v>
      </c>
    </row>
    <row r="140" spans="1:6" x14ac:dyDescent="0.2">
      <c r="A140" t="s">
        <v>340</v>
      </c>
      <c r="B140" s="1">
        <f t="shared" si="12"/>
        <v>129</v>
      </c>
      <c r="C140" t="s">
        <v>705</v>
      </c>
      <c r="D140" t="s">
        <v>706</v>
      </c>
      <c r="E140" s="7"/>
    </row>
    <row r="141" spans="1:6" x14ac:dyDescent="0.2">
      <c r="A141"/>
      <c r="B141" s="1">
        <f t="shared" si="12"/>
        <v>130</v>
      </c>
      <c r="C141" t="s">
        <v>1098</v>
      </c>
      <c r="D141" t="s">
        <v>1099</v>
      </c>
      <c r="E141" s="7">
        <v>17</v>
      </c>
      <c r="F141" s="6"/>
    </row>
    <row r="142" spans="1:6" x14ac:dyDescent="0.2">
      <c r="A142" t="s">
        <v>340</v>
      </c>
      <c r="B142" s="1">
        <f t="shared" si="12"/>
        <v>131</v>
      </c>
      <c r="C142" t="s">
        <v>739</v>
      </c>
      <c r="F142" s="6"/>
    </row>
    <row r="143" spans="1:6" x14ac:dyDescent="0.2">
      <c r="A143" t="s">
        <v>340</v>
      </c>
      <c r="B143" s="1">
        <f t="shared" si="12"/>
        <v>132</v>
      </c>
      <c r="C143" s="1" t="s">
        <v>185</v>
      </c>
      <c r="D143" s="1" t="s">
        <v>186</v>
      </c>
      <c r="E143" s="3">
        <v>41.59</v>
      </c>
      <c r="F143" s="6">
        <v>1730</v>
      </c>
    </row>
    <row r="144" spans="1:6" x14ac:dyDescent="0.2">
      <c r="A144" t="s">
        <v>340</v>
      </c>
      <c r="B144" s="1">
        <f t="shared" si="12"/>
        <v>133</v>
      </c>
      <c r="C144" s="1" t="s">
        <v>179</v>
      </c>
      <c r="D144" s="1" t="s">
        <v>180</v>
      </c>
      <c r="E144" s="3">
        <v>22.22</v>
      </c>
      <c r="F144" s="6">
        <v>1720</v>
      </c>
    </row>
    <row r="145" spans="1:11" x14ac:dyDescent="0.2">
      <c r="A145" s="1" t="s">
        <v>340</v>
      </c>
      <c r="B145" s="1">
        <f t="shared" si="12"/>
        <v>134</v>
      </c>
      <c r="C145" s="25" t="s">
        <v>635</v>
      </c>
      <c r="D145" s="25" t="s">
        <v>636</v>
      </c>
      <c r="E145" s="26">
        <v>20.66</v>
      </c>
      <c r="F145" s="27">
        <v>1400</v>
      </c>
    </row>
    <row r="146" spans="1:11" x14ac:dyDescent="0.2">
      <c r="A146" t="s">
        <v>340</v>
      </c>
      <c r="B146" s="1">
        <f t="shared" si="12"/>
        <v>135</v>
      </c>
      <c r="C146" s="1" t="s">
        <v>208</v>
      </c>
      <c r="D146" s="1" t="s">
        <v>209</v>
      </c>
      <c r="E146" s="3">
        <v>28.37</v>
      </c>
      <c r="F146" s="6">
        <v>1370</v>
      </c>
    </row>
    <row r="147" spans="1:11" x14ac:dyDescent="0.2">
      <c r="A147" t="s">
        <v>340</v>
      </c>
      <c r="B147" s="1">
        <f t="shared" si="12"/>
        <v>136</v>
      </c>
      <c r="C147" s="5" t="s">
        <v>210</v>
      </c>
      <c r="D147" s="1" t="s">
        <v>211</v>
      </c>
      <c r="E147" s="7">
        <v>5.5</v>
      </c>
      <c r="F147" s="6">
        <f>E147*J147</f>
        <v>1053.9003089999999</v>
      </c>
      <c r="G147" s="6">
        <f>[72]Main!$K$5-[72]Main!$K$6</f>
        <v>471.26000000000005</v>
      </c>
      <c r="H147" s="6">
        <f>F147-G147</f>
        <v>582.64030899999989</v>
      </c>
      <c r="I147" s="3" t="s">
        <v>661</v>
      </c>
      <c r="J147" s="6">
        <f>[72]Main!$K$3</f>
        <v>191.61823799999999</v>
      </c>
      <c r="K147" s="9">
        <v>45064</v>
      </c>
    </row>
    <row r="148" spans="1:11" x14ac:dyDescent="0.2">
      <c r="A148" t="s">
        <v>340</v>
      </c>
      <c r="B148" s="1">
        <f t="shared" si="12"/>
        <v>137</v>
      </c>
      <c r="C148" s="5" t="s">
        <v>522</v>
      </c>
      <c r="D148" t="s">
        <v>523</v>
      </c>
      <c r="E148" s="3">
        <v>17.37</v>
      </c>
      <c r="F148" s="6">
        <f>E148*J148</f>
        <v>577.73276586000009</v>
      </c>
      <c r="G148" s="6">
        <f>[73]Main!$L$5-[73]Main!$L$6</f>
        <v>201.85900000000001</v>
      </c>
      <c r="H148" s="6">
        <f>+F148-G148</f>
        <v>375.87376586000005</v>
      </c>
      <c r="I148" s="3" t="s">
        <v>661</v>
      </c>
      <c r="J148" s="6">
        <f>[73]Main!$L$3</f>
        <v>33.260378000000003</v>
      </c>
      <c r="K148" s="9">
        <v>45064</v>
      </c>
    </row>
    <row r="149" spans="1:11" x14ac:dyDescent="0.2">
      <c r="A149" t="s">
        <v>340</v>
      </c>
      <c r="B149" s="1">
        <f t="shared" si="12"/>
        <v>138</v>
      </c>
      <c r="C149" t="s">
        <v>778</v>
      </c>
      <c r="D149" t="s">
        <v>779</v>
      </c>
      <c r="E149" s="7"/>
      <c r="F149" s="6"/>
    </row>
    <row r="150" spans="1:11" x14ac:dyDescent="0.2">
      <c r="A150" t="s">
        <v>340</v>
      </c>
      <c r="B150" s="1">
        <f t="shared" si="12"/>
        <v>139</v>
      </c>
      <c r="C150" t="s">
        <v>780</v>
      </c>
      <c r="D150" t="s">
        <v>781</v>
      </c>
      <c r="E150" s="7"/>
      <c r="F150" s="6"/>
    </row>
    <row r="151" spans="1:11" x14ac:dyDescent="0.2">
      <c r="A151"/>
      <c r="B151" s="1">
        <f t="shared" si="12"/>
        <v>140</v>
      </c>
      <c r="C151" t="s">
        <v>795</v>
      </c>
      <c r="D151" t="s">
        <v>796</v>
      </c>
      <c r="E151" s="7"/>
      <c r="F151" s="6"/>
    </row>
    <row r="152" spans="1:11" x14ac:dyDescent="0.2">
      <c r="A152" t="s">
        <v>340</v>
      </c>
      <c r="B152" s="1">
        <f t="shared" si="12"/>
        <v>141</v>
      </c>
      <c r="C152" t="s">
        <v>794</v>
      </c>
      <c r="D152"/>
      <c r="E152" s="7"/>
      <c r="F152" s="6"/>
    </row>
    <row r="153" spans="1:11" x14ac:dyDescent="0.2">
      <c r="A153" t="s">
        <v>340</v>
      </c>
      <c r="B153" s="1">
        <f t="shared" si="12"/>
        <v>142</v>
      </c>
      <c r="C153" s="1" t="s">
        <v>162</v>
      </c>
      <c r="D153" s="1" t="s">
        <v>163</v>
      </c>
      <c r="E153" s="7">
        <v>5.75</v>
      </c>
      <c r="F153" s="6">
        <v>1100</v>
      </c>
    </row>
    <row r="154" spans="1:11" x14ac:dyDescent="0.2">
      <c r="A154" t="s">
        <v>340</v>
      </c>
      <c r="B154" s="1">
        <f t="shared" si="12"/>
        <v>143</v>
      </c>
      <c r="C154" t="s">
        <v>792</v>
      </c>
      <c r="D154" t="s">
        <v>793</v>
      </c>
      <c r="E154" s="7"/>
      <c r="F154" s="6"/>
    </row>
    <row r="155" spans="1:11" x14ac:dyDescent="0.2">
      <c r="A155" t="s">
        <v>340</v>
      </c>
      <c r="B155" s="1">
        <f t="shared" si="12"/>
        <v>144</v>
      </c>
      <c r="C155" t="s">
        <v>447</v>
      </c>
      <c r="D155" t="s">
        <v>448</v>
      </c>
      <c r="E155" s="3">
        <v>23.13</v>
      </c>
      <c r="F155" s="6">
        <v>1000</v>
      </c>
    </row>
    <row r="156" spans="1:11" x14ac:dyDescent="0.2">
      <c r="A156" s="1" t="s">
        <v>340</v>
      </c>
      <c r="B156" s="1">
        <f t="shared" si="12"/>
        <v>145</v>
      </c>
      <c r="C156" s="1" t="s">
        <v>106</v>
      </c>
      <c r="D156" s="1" t="s">
        <v>107</v>
      </c>
      <c r="E156" s="3">
        <v>24.78</v>
      </c>
    </row>
    <row r="157" spans="1:11" x14ac:dyDescent="0.2">
      <c r="A157" t="s">
        <v>340</v>
      </c>
      <c r="B157" s="1">
        <f t="shared" si="12"/>
        <v>146</v>
      </c>
      <c r="C157" s="1" t="s">
        <v>108</v>
      </c>
      <c r="D157" s="1" t="s">
        <v>109</v>
      </c>
      <c r="E157" s="3">
        <v>4.72</v>
      </c>
    </row>
    <row r="158" spans="1:11" x14ac:dyDescent="0.2">
      <c r="A158" t="s">
        <v>340</v>
      </c>
      <c r="B158" s="1">
        <f t="shared" si="12"/>
        <v>147</v>
      </c>
      <c r="C158" s="1" t="s">
        <v>110</v>
      </c>
      <c r="D158" s="1" t="s">
        <v>111</v>
      </c>
      <c r="E158" s="3">
        <v>24.53</v>
      </c>
    </row>
    <row r="159" spans="1:11" x14ac:dyDescent="0.2">
      <c r="A159" t="s">
        <v>340</v>
      </c>
      <c r="B159" s="1">
        <f t="shared" si="12"/>
        <v>148</v>
      </c>
      <c r="C159" t="s">
        <v>784</v>
      </c>
      <c r="D159" t="s">
        <v>785</v>
      </c>
      <c r="F159" s="6"/>
    </row>
    <row r="160" spans="1:11" x14ac:dyDescent="0.2">
      <c r="A160" t="s">
        <v>340</v>
      </c>
      <c r="B160" s="1">
        <f t="shared" si="12"/>
        <v>149</v>
      </c>
      <c r="C160" t="s">
        <v>782</v>
      </c>
      <c r="D160" t="s">
        <v>783</v>
      </c>
      <c r="F160" s="6"/>
    </row>
    <row r="161" spans="1:6" x14ac:dyDescent="0.2">
      <c r="A161" t="s">
        <v>340</v>
      </c>
      <c r="B161" s="1">
        <f t="shared" si="12"/>
        <v>150</v>
      </c>
      <c r="C161" s="1" t="s">
        <v>173</v>
      </c>
      <c r="D161" s="1" t="s">
        <v>174</v>
      </c>
      <c r="E161" s="7">
        <v>21.6</v>
      </c>
      <c r="F161" s="6">
        <v>991</v>
      </c>
    </row>
    <row r="162" spans="1:6" x14ac:dyDescent="0.2">
      <c r="A162" t="s">
        <v>340</v>
      </c>
      <c r="B162" s="1">
        <f t="shared" si="12"/>
        <v>151</v>
      </c>
      <c r="C162" t="s">
        <v>721</v>
      </c>
      <c r="D162" t="s">
        <v>722</v>
      </c>
      <c r="E162" s="7"/>
      <c r="F162" s="6"/>
    </row>
    <row r="163" spans="1:6" x14ac:dyDescent="0.2">
      <c r="A163" t="s">
        <v>340</v>
      </c>
      <c r="B163" s="1">
        <f t="shared" si="12"/>
        <v>152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t="s">
        <v>340</v>
      </c>
      <c r="B164" s="1">
        <f t="shared" si="12"/>
        <v>153</v>
      </c>
      <c r="C164" t="s">
        <v>733</v>
      </c>
      <c r="D164" t="s">
        <v>734</v>
      </c>
      <c r="F164" s="6"/>
    </row>
    <row r="165" spans="1:6" x14ac:dyDescent="0.2">
      <c r="B165" s="1">
        <f t="shared" si="12"/>
        <v>154</v>
      </c>
      <c r="C165" s="1" t="s">
        <v>200</v>
      </c>
      <c r="D165" s="1" t="s">
        <v>201</v>
      </c>
      <c r="E165" s="3">
        <v>2.42</v>
      </c>
      <c r="F165" s="6">
        <v>823</v>
      </c>
    </row>
    <row r="166" spans="1:6" x14ac:dyDescent="0.2">
      <c r="A166" t="s">
        <v>340</v>
      </c>
      <c r="B166" s="1">
        <f t="shared" si="12"/>
        <v>155</v>
      </c>
      <c r="C166" t="s">
        <v>731</v>
      </c>
      <c r="D166" t="s">
        <v>732</v>
      </c>
      <c r="F166" s="6"/>
    </row>
    <row r="167" spans="1:6" x14ac:dyDescent="0.2">
      <c r="A167" t="s">
        <v>340</v>
      </c>
      <c r="B167" s="1">
        <f t="shared" si="12"/>
        <v>156</v>
      </c>
      <c r="C167" t="s">
        <v>729</v>
      </c>
      <c r="D167" t="s">
        <v>730</v>
      </c>
      <c r="F167" s="6"/>
    </row>
    <row r="168" spans="1:6" x14ac:dyDescent="0.2">
      <c r="A168" t="s">
        <v>340</v>
      </c>
      <c r="B168" s="1">
        <f t="shared" si="12"/>
        <v>157</v>
      </c>
      <c r="C168" t="s">
        <v>813</v>
      </c>
      <c r="D168" t="s">
        <v>814</v>
      </c>
      <c r="F168" s="6"/>
    </row>
    <row r="169" spans="1:6" x14ac:dyDescent="0.2">
      <c r="A169" t="s">
        <v>340</v>
      </c>
      <c r="B169" s="1">
        <f t="shared" si="12"/>
        <v>158</v>
      </c>
      <c r="C169" t="s">
        <v>811</v>
      </c>
      <c r="D169" t="s">
        <v>812</v>
      </c>
      <c r="F169" s="6"/>
    </row>
    <row r="170" spans="1:6" x14ac:dyDescent="0.2">
      <c r="A170" t="s">
        <v>340</v>
      </c>
      <c r="B170" s="1">
        <f t="shared" si="12"/>
        <v>159</v>
      </c>
      <c r="C170" t="s">
        <v>809</v>
      </c>
      <c r="D170" t="s">
        <v>810</v>
      </c>
      <c r="F170" s="6"/>
    </row>
    <row r="171" spans="1:6" x14ac:dyDescent="0.2">
      <c r="A171" t="s">
        <v>340</v>
      </c>
      <c r="B171" s="1">
        <f t="shared" si="12"/>
        <v>160</v>
      </c>
      <c r="C171" t="s">
        <v>808</v>
      </c>
      <c r="D171" t="s">
        <v>807</v>
      </c>
      <c r="F171" s="6"/>
    </row>
    <row r="172" spans="1:6" x14ac:dyDescent="0.2">
      <c r="A172" t="s">
        <v>340</v>
      </c>
      <c r="B172" s="1">
        <f t="shared" si="12"/>
        <v>161</v>
      </c>
      <c r="C172" t="s">
        <v>805</v>
      </c>
      <c r="D172" t="s">
        <v>806</v>
      </c>
      <c r="F172" s="6"/>
    </row>
    <row r="173" spans="1:6" x14ac:dyDescent="0.2">
      <c r="A173" t="s">
        <v>340</v>
      </c>
      <c r="B173" s="1">
        <f>B184+1</f>
        <v>163</v>
      </c>
      <c r="C173" t="s">
        <v>786</v>
      </c>
      <c r="D173" t="s">
        <v>787</v>
      </c>
      <c r="F173" s="6"/>
    </row>
    <row r="174" spans="1:6" x14ac:dyDescent="0.2">
      <c r="A174" t="s">
        <v>340</v>
      </c>
      <c r="B174" s="1">
        <f t="shared" ref="B174:B216" si="13">B173+1</f>
        <v>164</v>
      </c>
      <c r="C174" s="1" t="s">
        <v>198</v>
      </c>
      <c r="D174" s="1" t="s">
        <v>199</v>
      </c>
      <c r="E174" s="7">
        <v>5.7</v>
      </c>
      <c r="F174" s="6">
        <v>821</v>
      </c>
    </row>
    <row r="175" spans="1:6" x14ac:dyDescent="0.2">
      <c r="A175" t="s">
        <v>340</v>
      </c>
      <c r="B175" s="1">
        <f t="shared" si="13"/>
        <v>165</v>
      </c>
      <c r="C175" t="s">
        <v>309</v>
      </c>
      <c r="D175" t="s">
        <v>310</v>
      </c>
      <c r="E175" s="3">
        <v>3.23</v>
      </c>
      <c r="F175" s="6">
        <v>630</v>
      </c>
    </row>
    <row r="176" spans="1:6" x14ac:dyDescent="0.2">
      <c r="A176" t="s">
        <v>340</v>
      </c>
      <c r="B176" s="1">
        <f t="shared" si="13"/>
        <v>166</v>
      </c>
      <c r="C176" t="s">
        <v>719</v>
      </c>
      <c r="D176" t="s">
        <v>720</v>
      </c>
      <c r="F176" s="6"/>
    </row>
    <row r="177" spans="1:29" x14ac:dyDescent="0.2">
      <c r="A177" t="s">
        <v>340</v>
      </c>
      <c r="B177" s="1">
        <f t="shared" si="13"/>
        <v>167</v>
      </c>
      <c r="C177" t="s">
        <v>717</v>
      </c>
      <c r="D177" t="s">
        <v>718</v>
      </c>
      <c r="F177" s="6"/>
    </row>
    <row r="178" spans="1:29" x14ac:dyDescent="0.2">
      <c r="A178" t="s">
        <v>340</v>
      </c>
      <c r="B178" s="1">
        <f t="shared" si="13"/>
        <v>168</v>
      </c>
      <c r="C178" s="1" t="s">
        <v>204</v>
      </c>
      <c r="D178" s="1" t="s">
        <v>205</v>
      </c>
      <c r="E178" s="3">
        <v>4.16</v>
      </c>
      <c r="F178" s="6">
        <v>590</v>
      </c>
    </row>
    <row r="179" spans="1:29" x14ac:dyDescent="0.2">
      <c r="A179" t="s">
        <v>340</v>
      </c>
      <c r="B179" s="1">
        <f t="shared" si="13"/>
        <v>169</v>
      </c>
      <c r="C179" t="s">
        <v>295</v>
      </c>
      <c r="D179" t="s">
        <v>296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340</v>
      </c>
      <c r="B180" s="1">
        <f t="shared" si="13"/>
        <v>170</v>
      </c>
      <c r="C180" t="s">
        <v>740</v>
      </c>
      <c r="D180" t="s">
        <v>741</v>
      </c>
      <c r="F180" s="6"/>
    </row>
    <row r="181" spans="1:29" x14ac:dyDescent="0.2">
      <c r="B181" s="1">
        <f t="shared" si="13"/>
        <v>171</v>
      </c>
      <c r="C181" s="1" t="s">
        <v>145</v>
      </c>
      <c r="D181" s="1" t="s">
        <v>146</v>
      </c>
      <c r="E181" s="3">
        <v>2.37</v>
      </c>
      <c r="F181" s="6"/>
    </row>
    <row r="182" spans="1:29" x14ac:dyDescent="0.2">
      <c r="A182" t="s">
        <v>340</v>
      </c>
      <c r="B182" s="1">
        <f t="shared" si="13"/>
        <v>172</v>
      </c>
      <c r="C182" t="s">
        <v>520</v>
      </c>
      <c r="D182" t="s">
        <v>521</v>
      </c>
      <c r="E182" s="7">
        <v>3.19</v>
      </c>
      <c r="F182" s="6">
        <v>439</v>
      </c>
    </row>
    <row r="183" spans="1:29" x14ac:dyDescent="0.2">
      <c r="A183" t="s">
        <v>340</v>
      </c>
      <c r="B183" s="1">
        <f t="shared" si="13"/>
        <v>173</v>
      </c>
      <c r="C183" s="1" t="s">
        <v>212</v>
      </c>
      <c r="D183" s="1" t="s">
        <v>213</v>
      </c>
      <c r="E183" s="3">
        <v>10.98</v>
      </c>
      <c r="F183" s="6">
        <v>548</v>
      </c>
    </row>
    <row r="184" spans="1:29" x14ac:dyDescent="0.2">
      <c r="A184" t="s">
        <v>340</v>
      </c>
      <c r="B184" s="1">
        <f>B172+1</f>
        <v>162</v>
      </c>
      <c r="C184" s="5" t="s">
        <v>788</v>
      </c>
      <c r="D184" t="s">
        <v>789</v>
      </c>
      <c r="E184" s="3">
        <v>28.45</v>
      </c>
      <c r="F184" s="6">
        <f>+E184*J184</f>
        <v>1364.9219226999999</v>
      </c>
      <c r="G184" s="6">
        <f>+[74]Main!$J$5-[74]Main!$J$6</f>
        <v>207.291</v>
      </c>
      <c r="H184" s="6">
        <f>+F184-G184</f>
        <v>1157.6309226999999</v>
      </c>
      <c r="I184" s="3" t="s">
        <v>1100</v>
      </c>
      <c r="J184" s="6">
        <f>+[74]Main!$J$3</f>
        <v>47.976165999999999</v>
      </c>
      <c r="K184" s="9">
        <v>45531</v>
      </c>
    </row>
    <row r="185" spans="1:29" x14ac:dyDescent="0.2">
      <c r="A185" t="s">
        <v>340</v>
      </c>
      <c r="B185" s="1">
        <f>B183+1</f>
        <v>174</v>
      </c>
      <c r="C185" s="5" t="s">
        <v>292</v>
      </c>
      <c r="D185" t="s">
        <v>293</v>
      </c>
      <c r="E185" s="3">
        <v>15.65</v>
      </c>
      <c r="F185" s="6">
        <f>E185*[75]Main!$L$3</f>
        <v>1253.1559559500001</v>
      </c>
      <c r="G185" s="6">
        <f>+[75]Main!$L$5-[75]Main!$L$6</f>
        <v>112.015</v>
      </c>
      <c r="H185" s="6">
        <f>+F185-G185</f>
        <v>1141.14095595</v>
      </c>
      <c r="I185" s="3" t="s">
        <v>16</v>
      </c>
    </row>
    <row r="186" spans="1:29" x14ac:dyDescent="0.2">
      <c r="A186" t="s">
        <v>340</v>
      </c>
      <c r="B186" s="1">
        <f t="shared" si="13"/>
        <v>175</v>
      </c>
      <c r="C186" s="5" t="s">
        <v>228</v>
      </c>
      <c r="D186" s="1" t="s">
        <v>229</v>
      </c>
      <c r="E186" s="3">
        <v>23.75</v>
      </c>
      <c r="F186" s="6">
        <f>+E186*J186</f>
        <v>1355.4004112499999</v>
      </c>
      <c r="G186" s="6">
        <f>+[76]Main!$K$5-[76]Main!$K$6</f>
        <v>449.76100000000002</v>
      </c>
      <c r="H186" s="6">
        <f>+F186-G186</f>
        <v>905.63941124999997</v>
      </c>
      <c r="I186" s="3" t="s">
        <v>426</v>
      </c>
      <c r="J186" s="6">
        <f>+[76]Main!$K$3</f>
        <v>57.069490999999999</v>
      </c>
      <c r="K186" s="9">
        <v>44947</v>
      </c>
      <c r="AC186" s="1">
        <v>2015</v>
      </c>
    </row>
    <row r="187" spans="1:29" x14ac:dyDescent="0.2">
      <c r="A187" t="s">
        <v>340</v>
      </c>
      <c r="B187" s="1">
        <f t="shared" si="13"/>
        <v>176</v>
      </c>
      <c r="C187" s="5" t="s">
        <v>303</v>
      </c>
      <c r="D187" t="s">
        <v>304</v>
      </c>
      <c r="E187" s="3">
        <v>11</v>
      </c>
      <c r="F187" s="6">
        <f>+E187*[77]Main!$L$3</f>
        <v>798.23003700000004</v>
      </c>
      <c r="G187" s="6">
        <f>+[77]Main!$L$5-[77]Main!$L$6</f>
        <v>153.25991400000001</v>
      </c>
      <c r="H187" s="6">
        <f>+F187-G187</f>
        <v>644.97012300000006</v>
      </c>
      <c r="I187" s="3" t="s">
        <v>16</v>
      </c>
      <c r="K187" s="9">
        <v>44771</v>
      </c>
      <c r="L187" s="9"/>
      <c r="M187" s="9"/>
      <c r="N187" s="9"/>
      <c r="O187" s="9"/>
      <c r="P187" s="9"/>
    </row>
    <row r="188" spans="1:29" x14ac:dyDescent="0.2">
      <c r="A188" t="s">
        <v>340</v>
      </c>
      <c r="B188" s="1">
        <f t="shared" si="13"/>
        <v>177</v>
      </c>
      <c r="C188" s="5" t="s">
        <v>196</v>
      </c>
      <c r="D188" s="1" t="s">
        <v>197</v>
      </c>
      <c r="E188" s="3">
        <v>7.36</v>
      </c>
      <c r="F188" s="6">
        <f>+E188*J188</f>
        <v>897.18233664000002</v>
      </c>
      <c r="G188" s="6">
        <f>+[78]Main!$J$5-[78]Main!$J$6</f>
        <v>601.58999999999992</v>
      </c>
      <c r="H188" s="6">
        <f>+F188-G188</f>
        <v>295.5923366400001</v>
      </c>
      <c r="I188" s="3" t="s">
        <v>16</v>
      </c>
      <c r="J188" s="6">
        <f>+[78]Main!$J$3</f>
        <v>121.89977399999999</v>
      </c>
      <c r="K188" s="9">
        <v>44827</v>
      </c>
    </row>
    <row r="189" spans="1:29" x14ac:dyDescent="0.2">
      <c r="A189" t="s">
        <v>340</v>
      </c>
      <c r="B189" s="1">
        <f t="shared" si="13"/>
        <v>178</v>
      </c>
      <c r="C189" t="s">
        <v>307</v>
      </c>
      <c r="D189" t="s">
        <v>308</v>
      </c>
      <c r="E189" s="3">
        <v>12.42</v>
      </c>
      <c r="F189" s="6">
        <v>516</v>
      </c>
    </row>
    <row r="190" spans="1:29" x14ac:dyDescent="0.2">
      <c r="A190" t="s">
        <v>340</v>
      </c>
      <c r="B190" s="1">
        <f t="shared" si="13"/>
        <v>179</v>
      </c>
      <c r="C190" t="s">
        <v>314</v>
      </c>
      <c r="D190" t="s">
        <v>315</v>
      </c>
      <c r="E190" s="3">
        <v>3.26</v>
      </c>
      <c r="F190" s="6">
        <v>272</v>
      </c>
    </row>
    <row r="191" spans="1:29" x14ac:dyDescent="0.2">
      <c r="A191" t="s">
        <v>340</v>
      </c>
      <c r="B191" s="1">
        <f t="shared" si="13"/>
        <v>180</v>
      </c>
      <c r="C191" s="1" t="s">
        <v>222</v>
      </c>
      <c r="D191" s="1" t="s">
        <v>223</v>
      </c>
      <c r="E191" s="3">
        <v>6.34</v>
      </c>
      <c r="F191" s="3">
        <v>547</v>
      </c>
    </row>
    <row r="192" spans="1:29" x14ac:dyDescent="0.2">
      <c r="A192" t="s">
        <v>340</v>
      </c>
      <c r="B192" s="1">
        <f t="shared" si="13"/>
        <v>181</v>
      </c>
      <c r="C192" s="1" t="s">
        <v>224</v>
      </c>
      <c r="D192" s="1" t="s">
        <v>225</v>
      </c>
      <c r="E192" s="7">
        <v>31.39</v>
      </c>
      <c r="F192" s="3">
        <v>1020</v>
      </c>
    </row>
    <row r="193" spans="1:11" x14ac:dyDescent="0.2">
      <c r="A193" t="s">
        <v>340</v>
      </c>
      <c r="B193" s="1">
        <f t="shared" si="13"/>
        <v>182</v>
      </c>
      <c r="C193" t="s">
        <v>776</v>
      </c>
      <c r="D193" t="s">
        <v>777</v>
      </c>
      <c r="E193" s="7"/>
    </row>
    <row r="194" spans="1:11" x14ac:dyDescent="0.2">
      <c r="A194" t="s">
        <v>340</v>
      </c>
      <c r="B194" s="1">
        <f t="shared" si="13"/>
        <v>183</v>
      </c>
      <c r="C194" t="s">
        <v>774</v>
      </c>
      <c r="D194" t="s">
        <v>775</v>
      </c>
      <c r="E194" s="7"/>
    </row>
    <row r="195" spans="1:11" x14ac:dyDescent="0.2">
      <c r="A195" t="s">
        <v>340</v>
      </c>
      <c r="B195" s="1">
        <f t="shared" si="13"/>
        <v>184</v>
      </c>
      <c r="C195" t="s">
        <v>772</v>
      </c>
      <c r="D195" t="s">
        <v>773</v>
      </c>
      <c r="E195" s="7"/>
    </row>
    <row r="196" spans="1:11" x14ac:dyDescent="0.2">
      <c r="A196" t="s">
        <v>340</v>
      </c>
      <c r="B196" s="1">
        <f t="shared" si="13"/>
        <v>185</v>
      </c>
      <c r="C196" t="s">
        <v>770</v>
      </c>
      <c r="D196" t="s">
        <v>771</v>
      </c>
      <c r="E196" s="7"/>
    </row>
    <row r="197" spans="1:11" x14ac:dyDescent="0.2">
      <c r="A197" t="s">
        <v>340</v>
      </c>
      <c r="B197" s="1">
        <f t="shared" si="13"/>
        <v>186</v>
      </c>
      <c r="C197" t="s">
        <v>768</v>
      </c>
      <c r="D197" t="s">
        <v>769</v>
      </c>
      <c r="E197" s="7"/>
    </row>
    <row r="198" spans="1:11" x14ac:dyDescent="0.2">
      <c r="B198" s="1">
        <f t="shared" si="13"/>
        <v>187</v>
      </c>
      <c r="C198" t="s">
        <v>766</v>
      </c>
      <c r="D198" t="s">
        <v>767</v>
      </c>
      <c r="E198" s="7"/>
    </row>
    <row r="199" spans="1:11" x14ac:dyDescent="0.2">
      <c r="A199" t="s">
        <v>340</v>
      </c>
      <c r="B199" s="1">
        <f t="shared" si="13"/>
        <v>188</v>
      </c>
      <c r="C199" s="1" t="s">
        <v>226</v>
      </c>
      <c r="D199" s="1" t="s">
        <v>227</v>
      </c>
      <c r="E199" s="7">
        <v>5.9</v>
      </c>
      <c r="F199" s="3">
        <v>508</v>
      </c>
    </row>
    <row r="200" spans="1:11" x14ac:dyDescent="0.2">
      <c r="A200" t="s">
        <v>340</v>
      </c>
      <c r="B200" s="1">
        <f t="shared" si="13"/>
        <v>189</v>
      </c>
      <c r="C200" s="5" t="s">
        <v>327</v>
      </c>
      <c r="D200" t="s">
        <v>328</v>
      </c>
      <c r="E200" s="3">
        <v>3.23</v>
      </c>
      <c r="F200" s="6">
        <f>+E200*J200</f>
        <v>30.407559149999997</v>
      </c>
      <c r="G200" s="6">
        <f>+[79]Main!$N$5-[79]Main!$N$6</f>
        <v>-7.4640000000000004</v>
      </c>
      <c r="H200" s="6">
        <f>+F200-G200</f>
        <v>37.871559149999996</v>
      </c>
      <c r="I200" s="3" t="s">
        <v>306</v>
      </c>
      <c r="J200" s="6">
        <f>+[79]Main!$N$3</f>
        <v>9.4141049999999993</v>
      </c>
      <c r="K200" s="9">
        <v>44780</v>
      </c>
    </row>
    <row r="201" spans="1:11" x14ac:dyDescent="0.2">
      <c r="A201" t="s">
        <v>340</v>
      </c>
      <c r="B201" s="1">
        <f t="shared" si="13"/>
        <v>190</v>
      </c>
      <c r="C201" s="1" t="s">
        <v>230</v>
      </c>
      <c r="D201" s="1" t="s">
        <v>231</v>
      </c>
      <c r="E201" s="3">
        <v>10.31</v>
      </c>
      <c r="F201" s="3">
        <v>1240</v>
      </c>
    </row>
    <row r="202" spans="1:11" x14ac:dyDescent="0.2">
      <c r="A202" t="s">
        <v>340</v>
      </c>
      <c r="B202" s="1">
        <f t="shared" si="13"/>
        <v>191</v>
      </c>
      <c r="C202" t="s">
        <v>800</v>
      </c>
      <c r="D202" t="s">
        <v>801</v>
      </c>
    </row>
    <row r="203" spans="1:11" x14ac:dyDescent="0.2">
      <c r="A203" t="s">
        <v>340</v>
      </c>
      <c r="B203" s="1">
        <f t="shared" si="13"/>
        <v>192</v>
      </c>
      <c r="C203" t="s">
        <v>727</v>
      </c>
      <c r="D203" t="s">
        <v>728</v>
      </c>
    </row>
    <row r="204" spans="1:11" x14ac:dyDescent="0.2">
      <c r="A204" t="s">
        <v>340</v>
      </c>
      <c r="B204" s="1">
        <f t="shared" si="13"/>
        <v>193</v>
      </c>
      <c r="C204" t="s">
        <v>725</v>
      </c>
      <c r="D204" t="s">
        <v>726</v>
      </c>
    </row>
    <row r="205" spans="1:11" x14ac:dyDescent="0.2">
      <c r="A205" t="s">
        <v>340</v>
      </c>
      <c r="B205" s="1">
        <f t="shared" si="13"/>
        <v>194</v>
      </c>
      <c r="C205" t="s">
        <v>723</v>
      </c>
      <c r="D205" t="s">
        <v>724</v>
      </c>
    </row>
    <row r="206" spans="1:11" x14ac:dyDescent="0.2">
      <c r="A206" t="s">
        <v>340</v>
      </c>
      <c r="B206" s="1">
        <f t="shared" si="13"/>
        <v>195</v>
      </c>
      <c r="C206" s="1" t="s">
        <v>232</v>
      </c>
      <c r="D206" s="1" t="s">
        <v>233</v>
      </c>
      <c r="E206" s="7">
        <v>1.3</v>
      </c>
      <c r="F206" s="3">
        <v>107</v>
      </c>
    </row>
    <row r="207" spans="1:11" x14ac:dyDescent="0.2">
      <c r="A207" t="s">
        <v>340</v>
      </c>
      <c r="B207" s="1">
        <f t="shared" si="13"/>
        <v>196</v>
      </c>
      <c r="C207" s="1" t="s">
        <v>234</v>
      </c>
      <c r="D207" s="1" t="s">
        <v>235</v>
      </c>
      <c r="E207" s="3">
        <v>3.35</v>
      </c>
      <c r="F207" s="3">
        <v>457</v>
      </c>
    </row>
    <row r="208" spans="1:11" x14ac:dyDescent="0.2">
      <c r="A208" t="s">
        <v>340</v>
      </c>
      <c r="B208" s="1">
        <f t="shared" si="13"/>
        <v>197</v>
      </c>
      <c r="C208" s="5" t="s">
        <v>236</v>
      </c>
      <c r="D208" s="1" t="s">
        <v>237</v>
      </c>
      <c r="E208" s="3">
        <v>7.06</v>
      </c>
      <c r="F208" s="6">
        <f>E208*[80]Main!$J$3</f>
        <v>725.62786605999997</v>
      </c>
      <c r="G208" s="6">
        <f>[80]Main!$J$5-[80]Main!$J$6</f>
        <v>197.79600000000002</v>
      </c>
      <c r="H208" s="8">
        <f>+F208-G208</f>
        <v>527.83186605999992</v>
      </c>
      <c r="I208" s="3" t="s">
        <v>16</v>
      </c>
    </row>
    <row r="209" spans="1:29" x14ac:dyDescent="0.2">
      <c r="A209" t="s">
        <v>340</v>
      </c>
      <c r="B209" s="1">
        <f t="shared" si="13"/>
        <v>198</v>
      </c>
      <c r="C209" s="5" t="s">
        <v>357</v>
      </c>
      <c r="D209" s="1" t="s">
        <v>358</v>
      </c>
      <c r="E209" s="7">
        <v>0.6</v>
      </c>
      <c r="F209" s="6">
        <f>+E209*J209</f>
        <v>486.43225439999998</v>
      </c>
      <c r="G209" s="6">
        <f>+[81]Main!$K$5-[81]Main!$K$6</f>
        <v>-37.984000000000002</v>
      </c>
      <c r="H209" s="8">
        <f t="shared" ref="H209" si="14">+F209-G209</f>
        <v>524.41625439999996</v>
      </c>
      <c r="I209" s="3" t="s">
        <v>306</v>
      </c>
      <c r="J209" s="6">
        <f>+[81]Main!$K$3</f>
        <v>810.72042399999998</v>
      </c>
      <c r="K209" s="9">
        <v>44816</v>
      </c>
      <c r="AC209" s="1">
        <v>2002</v>
      </c>
    </row>
    <row r="210" spans="1:29" x14ac:dyDescent="0.2">
      <c r="A210" t="s">
        <v>340</v>
      </c>
      <c r="B210" s="1">
        <f t="shared" si="13"/>
        <v>199</v>
      </c>
      <c r="C210" s="5" t="s">
        <v>238</v>
      </c>
      <c r="D210" s="1" t="s">
        <v>239</v>
      </c>
      <c r="E210" s="3">
        <v>14.68</v>
      </c>
      <c r="F210" s="6">
        <f>E210*[82]Main!$L$3</f>
        <v>587.26396075999992</v>
      </c>
      <c r="G210" s="6">
        <f>[82]Main!$L$5-[82]Main!$L$6</f>
        <v>277.88299999999998</v>
      </c>
      <c r="H210" s="8">
        <f>+F210-G210</f>
        <v>309.38096075999994</v>
      </c>
      <c r="I210" s="3" t="s">
        <v>16</v>
      </c>
    </row>
    <row r="211" spans="1:29" x14ac:dyDescent="0.2">
      <c r="A211" t="s">
        <v>340</v>
      </c>
      <c r="B211" s="1">
        <f t="shared" si="13"/>
        <v>200</v>
      </c>
      <c r="C211" s="5" t="s">
        <v>240</v>
      </c>
      <c r="D211" s="1" t="s">
        <v>241</v>
      </c>
      <c r="E211" s="3">
        <v>4.8600000000000003</v>
      </c>
      <c r="F211" s="6">
        <f>E211*[83]Main!$J$3</f>
        <v>312.71415336000001</v>
      </c>
      <c r="G211" s="8">
        <f>+[83]Main!$J$5-[83]Main!$J$6</f>
        <v>92.317999999999998</v>
      </c>
      <c r="H211" s="8">
        <f>+F211-G211</f>
        <v>220.39615336000003</v>
      </c>
      <c r="I211" s="3" t="s">
        <v>16</v>
      </c>
    </row>
    <row r="212" spans="1:29" x14ac:dyDescent="0.2">
      <c r="A212" t="s">
        <v>340</v>
      </c>
      <c r="B212" s="1">
        <f t="shared" si="13"/>
        <v>201</v>
      </c>
      <c r="C212" s="5" t="s">
        <v>242</v>
      </c>
      <c r="D212" s="1" t="s">
        <v>243</v>
      </c>
      <c r="E212" s="3">
        <v>7.57</v>
      </c>
      <c r="F212" s="6">
        <f>E212*[84]Main!$M$3</f>
        <v>338.45983246000003</v>
      </c>
      <c r="G212" s="6">
        <f>[84]Main!$M$5-[84]Main!$M$6</f>
        <v>120.43700000000001</v>
      </c>
      <c r="H212" s="8">
        <f t="shared" ref="H212:H217" si="15">+F212-G212</f>
        <v>218.02283246000002</v>
      </c>
      <c r="I212" s="3" t="s">
        <v>16</v>
      </c>
    </row>
    <row r="213" spans="1:29" x14ac:dyDescent="0.2">
      <c r="B213" s="1">
        <f t="shared" si="13"/>
        <v>202</v>
      </c>
      <c r="C213" s="5" t="s">
        <v>244</v>
      </c>
      <c r="D213" s="1" t="s">
        <v>245</v>
      </c>
      <c r="E213" s="7">
        <v>0.7</v>
      </c>
      <c r="F213" s="6">
        <f>E213*[85]Main!$M$3</f>
        <v>128.9392503</v>
      </c>
      <c r="G213" s="6">
        <f>[85]Main!$M$5-[85]Main!$M$6</f>
        <v>-59.50200000000001</v>
      </c>
      <c r="H213" s="8">
        <f t="shared" si="15"/>
        <v>188.44125030000001</v>
      </c>
      <c r="I213" s="3" t="s">
        <v>16</v>
      </c>
    </row>
    <row r="214" spans="1:29" x14ac:dyDescent="0.2">
      <c r="A214" t="s">
        <v>340</v>
      </c>
      <c r="B214" s="1">
        <f t="shared" si="13"/>
        <v>203</v>
      </c>
      <c r="C214" s="5" t="s">
        <v>246</v>
      </c>
      <c r="D214" s="1" t="s">
        <v>247</v>
      </c>
      <c r="E214" s="3">
        <v>1.98</v>
      </c>
      <c r="F214" s="6">
        <f>E214*[86]Main!$N$3</f>
        <v>39.757463459999997</v>
      </c>
      <c r="G214" s="6">
        <f>[86]Main!$N$5-[86]Main!$N$6</f>
        <v>15.942</v>
      </c>
      <c r="H214" s="8">
        <f t="shared" si="15"/>
        <v>23.815463459999997</v>
      </c>
      <c r="I214" s="3" t="s">
        <v>16</v>
      </c>
    </row>
    <row r="215" spans="1:29" x14ac:dyDescent="0.2">
      <c r="B215" s="1">
        <f t="shared" si="13"/>
        <v>204</v>
      </c>
      <c r="C215" s="5" t="s">
        <v>248</v>
      </c>
      <c r="D215" s="1" t="s">
        <v>249</v>
      </c>
      <c r="E215" s="3">
        <v>0.62</v>
      </c>
      <c r="F215" s="6">
        <f>E215*[87]Main!$L$3</f>
        <v>30.1881658</v>
      </c>
      <c r="G215" s="6">
        <f>[87]Main!$L$5-[87]Main!$L$6</f>
        <v>13.262999999999998</v>
      </c>
      <c r="H215" s="8">
        <f t="shared" si="15"/>
        <v>16.925165800000002</v>
      </c>
      <c r="I215" s="3" t="s">
        <v>16</v>
      </c>
    </row>
    <row r="216" spans="1:29" x14ac:dyDescent="0.2">
      <c r="B216" s="1">
        <f t="shared" si="13"/>
        <v>205</v>
      </c>
      <c r="C216" s="5" t="s">
        <v>250</v>
      </c>
      <c r="D216" s="1" t="s">
        <v>251</v>
      </c>
      <c r="E216" s="3">
        <v>6.12</v>
      </c>
      <c r="F216" s="6">
        <f>E216*[88]Main!$M$3</f>
        <v>125.46108324000001</v>
      </c>
      <c r="G216" s="6">
        <f>[88]Main!$M$5-[88]Main!$M$6</f>
        <v>131.17699999999999</v>
      </c>
      <c r="H216" s="8">
        <f t="shared" si="15"/>
        <v>-5.7159167599999847</v>
      </c>
      <c r="I216" s="3" t="s">
        <v>16</v>
      </c>
    </row>
    <row r="217" spans="1:29" x14ac:dyDescent="0.2">
      <c r="B217" s="1">
        <f t="shared" ref="B217:B241" si="16">B216+1</f>
        <v>206</v>
      </c>
      <c r="C217" s="5" t="s">
        <v>252</v>
      </c>
      <c r="D217" s="1" t="s">
        <v>253</v>
      </c>
      <c r="E217" s="3">
        <v>0.98</v>
      </c>
      <c r="F217" s="6">
        <f>E217*[89]Main!$M$3</f>
        <v>20.935517539999999</v>
      </c>
      <c r="G217" s="6">
        <f>[89]Main!$M$5-[89]Main!$M$6</f>
        <v>55.28</v>
      </c>
      <c r="H217" s="8">
        <f t="shared" si="15"/>
        <v>-34.344482460000002</v>
      </c>
      <c r="I217" s="3" t="s">
        <v>16</v>
      </c>
    </row>
    <row r="218" spans="1:29" x14ac:dyDescent="0.2">
      <c r="B218" s="1">
        <f t="shared" si="16"/>
        <v>207</v>
      </c>
      <c r="C218" s="1" t="s">
        <v>254</v>
      </c>
      <c r="D218" s="1" t="s">
        <v>255</v>
      </c>
      <c r="E218" s="3">
        <v>0.61</v>
      </c>
    </row>
    <row r="219" spans="1:29" x14ac:dyDescent="0.2">
      <c r="B219" s="1">
        <f t="shared" si="16"/>
        <v>208</v>
      </c>
      <c r="C219" s="1" t="s">
        <v>1009</v>
      </c>
      <c r="D219" t="s">
        <v>1010</v>
      </c>
    </row>
    <row r="220" spans="1:29" x14ac:dyDescent="0.2">
      <c r="B220" s="1">
        <f t="shared" si="16"/>
        <v>209</v>
      </c>
      <c r="C220" s="1" t="s">
        <v>256</v>
      </c>
      <c r="D220" s="1" t="s">
        <v>257</v>
      </c>
      <c r="E220" s="3">
        <v>5.55</v>
      </c>
    </row>
    <row r="221" spans="1:29" x14ac:dyDescent="0.2">
      <c r="B221" s="1">
        <f t="shared" si="16"/>
        <v>210</v>
      </c>
      <c r="C221" t="s">
        <v>1011</v>
      </c>
      <c r="D221" t="s">
        <v>1012</v>
      </c>
    </row>
    <row r="222" spans="1:29" x14ac:dyDescent="0.2">
      <c r="B222" s="1">
        <f t="shared" si="16"/>
        <v>211</v>
      </c>
      <c r="C222" s="1" t="s">
        <v>354</v>
      </c>
      <c r="D222" t="s">
        <v>355</v>
      </c>
      <c r="E222" s="7">
        <v>4.2</v>
      </c>
    </row>
    <row r="223" spans="1:29" x14ac:dyDescent="0.2">
      <c r="B223" s="1">
        <f t="shared" si="16"/>
        <v>212</v>
      </c>
      <c r="C223" s="1" t="s">
        <v>338</v>
      </c>
      <c r="D223" t="s">
        <v>339</v>
      </c>
      <c r="E223" s="7">
        <v>4</v>
      </c>
    </row>
    <row r="224" spans="1:29" x14ac:dyDescent="0.2">
      <c r="B224" s="1">
        <f t="shared" si="16"/>
        <v>213</v>
      </c>
      <c r="C224" t="s">
        <v>342</v>
      </c>
      <c r="D224" t="s">
        <v>343</v>
      </c>
      <c r="E224" s="3">
        <v>20.18</v>
      </c>
    </row>
    <row r="225" spans="1:6" x14ac:dyDescent="0.2">
      <c r="B225" s="1">
        <f t="shared" si="16"/>
        <v>214</v>
      </c>
      <c r="C225" s="1" t="s">
        <v>385</v>
      </c>
      <c r="D225" s="1" t="s">
        <v>386</v>
      </c>
      <c r="E225" s="3">
        <v>25.85</v>
      </c>
    </row>
    <row r="226" spans="1:6" x14ac:dyDescent="0.2">
      <c r="B226" s="1">
        <f t="shared" si="16"/>
        <v>215</v>
      </c>
      <c r="C226" t="s">
        <v>391</v>
      </c>
      <c r="D226" t="s">
        <v>392</v>
      </c>
      <c r="E226" s="3">
        <v>9.26</v>
      </c>
      <c r="F226" s="3">
        <v>204</v>
      </c>
    </row>
    <row r="227" spans="1:6" x14ac:dyDescent="0.2">
      <c r="B227" s="1">
        <f t="shared" si="16"/>
        <v>216</v>
      </c>
      <c r="C227" t="s">
        <v>436</v>
      </c>
      <c r="D227" t="s">
        <v>435</v>
      </c>
    </row>
    <row r="228" spans="1:6" x14ac:dyDescent="0.2">
      <c r="B228" s="1">
        <f t="shared" si="16"/>
        <v>217</v>
      </c>
      <c r="C228" t="s">
        <v>437</v>
      </c>
      <c r="D228" t="s">
        <v>438</v>
      </c>
    </row>
    <row r="229" spans="1:6" x14ac:dyDescent="0.2">
      <c r="B229" s="1">
        <f t="shared" si="16"/>
        <v>218</v>
      </c>
      <c r="C229" s="1" t="s">
        <v>401</v>
      </c>
      <c r="D229" s="1" t="s">
        <v>402</v>
      </c>
    </row>
    <row r="230" spans="1:6" x14ac:dyDescent="0.2">
      <c r="B230" s="1">
        <f t="shared" si="16"/>
        <v>219</v>
      </c>
      <c r="C230" t="s">
        <v>754</v>
      </c>
      <c r="D230" t="s">
        <v>755</v>
      </c>
    </row>
    <row r="231" spans="1:6" x14ac:dyDescent="0.2">
      <c r="B231" s="1">
        <f t="shared" si="16"/>
        <v>220</v>
      </c>
      <c r="C231" t="s">
        <v>758</v>
      </c>
      <c r="D231" t="s">
        <v>759</v>
      </c>
    </row>
    <row r="232" spans="1:6" x14ac:dyDescent="0.2">
      <c r="B232" s="1">
        <f t="shared" si="16"/>
        <v>221</v>
      </c>
      <c r="C232" t="s">
        <v>762</v>
      </c>
      <c r="D232" t="s">
        <v>763</v>
      </c>
    </row>
    <row r="233" spans="1:6" x14ac:dyDescent="0.2">
      <c r="A233"/>
      <c r="B233" s="1">
        <f t="shared" si="16"/>
        <v>222</v>
      </c>
      <c r="C233" t="s">
        <v>764</v>
      </c>
      <c r="D233" t="s">
        <v>765</v>
      </c>
    </row>
    <row r="234" spans="1:6" x14ac:dyDescent="0.2">
      <c r="B234" s="1">
        <f t="shared" si="16"/>
        <v>223</v>
      </c>
      <c r="C234" t="s">
        <v>760</v>
      </c>
      <c r="D234" t="s">
        <v>761</v>
      </c>
    </row>
    <row r="235" spans="1:6" x14ac:dyDescent="0.2">
      <c r="B235" s="1">
        <f t="shared" si="16"/>
        <v>224</v>
      </c>
      <c r="C235" t="s">
        <v>756</v>
      </c>
      <c r="D235" t="s">
        <v>757</v>
      </c>
    </row>
    <row r="236" spans="1:6" x14ac:dyDescent="0.2">
      <c r="B236" s="1">
        <f t="shared" si="16"/>
        <v>225</v>
      </c>
      <c r="C236" t="s">
        <v>752</v>
      </c>
      <c r="D236" t="s">
        <v>753</v>
      </c>
    </row>
    <row r="237" spans="1:6" x14ac:dyDescent="0.2">
      <c r="B237" s="1">
        <f t="shared" si="16"/>
        <v>226</v>
      </c>
      <c r="C237" t="s">
        <v>430</v>
      </c>
      <c r="D237" t="s">
        <v>431</v>
      </c>
      <c r="E237" s="3">
        <v>20.32</v>
      </c>
    </row>
    <row r="238" spans="1:6" x14ac:dyDescent="0.2">
      <c r="B238" s="1">
        <f t="shared" si="16"/>
        <v>227</v>
      </c>
      <c r="C238" s="1" t="s">
        <v>508</v>
      </c>
      <c r="D238" s="1" t="s">
        <v>509</v>
      </c>
    </row>
    <row r="239" spans="1:6" x14ac:dyDescent="0.2">
      <c r="B239" s="1">
        <f t="shared" si="16"/>
        <v>228</v>
      </c>
      <c r="C239" t="s">
        <v>514</v>
      </c>
      <c r="D239" t="s">
        <v>515</v>
      </c>
    </row>
    <row r="240" spans="1:6" x14ac:dyDescent="0.2">
      <c r="B240" s="1">
        <f t="shared" si="16"/>
        <v>229</v>
      </c>
      <c r="C240" t="s">
        <v>744</v>
      </c>
      <c r="D240" t="s">
        <v>745</v>
      </c>
    </row>
    <row r="241" spans="1:5" x14ac:dyDescent="0.2">
      <c r="B241" s="1">
        <f t="shared" si="16"/>
        <v>230</v>
      </c>
      <c r="C241" t="s">
        <v>746</v>
      </c>
      <c r="D241" t="s">
        <v>747</v>
      </c>
    </row>
    <row r="242" spans="1:5" x14ac:dyDescent="0.2">
      <c r="B242" s="1">
        <f t="shared" ref="B242:B305" si="17">B241+1</f>
        <v>231</v>
      </c>
      <c r="C242" t="s">
        <v>742</v>
      </c>
      <c r="D242" t="s">
        <v>743</v>
      </c>
    </row>
    <row r="243" spans="1:5" x14ac:dyDescent="0.2">
      <c r="B243" s="1">
        <f t="shared" si="17"/>
        <v>232</v>
      </c>
      <c r="C243" s="1" t="s">
        <v>525</v>
      </c>
      <c r="D243" s="1" t="s">
        <v>526</v>
      </c>
    </row>
    <row r="244" spans="1:5" x14ac:dyDescent="0.2">
      <c r="B244" s="1">
        <f t="shared" si="17"/>
        <v>233</v>
      </c>
      <c r="C244" t="s">
        <v>530</v>
      </c>
      <c r="D244" t="s">
        <v>531</v>
      </c>
    </row>
    <row r="245" spans="1:5" x14ac:dyDescent="0.2">
      <c r="B245" s="1">
        <f t="shared" si="17"/>
        <v>234</v>
      </c>
      <c r="C245" s="1" t="s">
        <v>534</v>
      </c>
      <c r="D245" s="1" t="s">
        <v>535</v>
      </c>
      <c r="E245" s="3">
        <v>7.08</v>
      </c>
    </row>
    <row r="246" spans="1:5" x14ac:dyDescent="0.2">
      <c r="B246" s="1">
        <f t="shared" si="17"/>
        <v>235</v>
      </c>
      <c r="C246" t="s">
        <v>537</v>
      </c>
      <c r="D246" t="s">
        <v>536</v>
      </c>
      <c r="E246" s="7">
        <v>20.3</v>
      </c>
    </row>
    <row r="247" spans="1:5" x14ac:dyDescent="0.2">
      <c r="B247" s="1">
        <f t="shared" si="17"/>
        <v>236</v>
      </c>
      <c r="C247" t="s">
        <v>538</v>
      </c>
      <c r="D247" t="s">
        <v>539</v>
      </c>
      <c r="E247" s="3">
        <v>0.38</v>
      </c>
    </row>
    <row r="248" spans="1:5" x14ac:dyDescent="0.2">
      <c r="B248" s="1">
        <f t="shared" si="17"/>
        <v>237</v>
      </c>
      <c r="C248" t="s">
        <v>540</v>
      </c>
      <c r="D248" t="s">
        <v>541</v>
      </c>
      <c r="E248" s="3">
        <v>4.24</v>
      </c>
    </row>
    <row r="249" spans="1:5" x14ac:dyDescent="0.2">
      <c r="A249" s="1" t="s">
        <v>340</v>
      </c>
      <c r="B249" s="1">
        <f t="shared" si="17"/>
        <v>238</v>
      </c>
      <c r="C249" t="s">
        <v>542</v>
      </c>
      <c r="D249" t="s">
        <v>543</v>
      </c>
      <c r="E249" s="3">
        <v>13.74</v>
      </c>
    </row>
    <row r="250" spans="1:5" x14ac:dyDescent="0.2">
      <c r="B250" s="1">
        <f t="shared" si="17"/>
        <v>239</v>
      </c>
      <c r="C250" t="s">
        <v>544</v>
      </c>
      <c r="D250" t="s">
        <v>545</v>
      </c>
      <c r="E250" s="3">
        <v>4.3600000000000003</v>
      </c>
    </row>
    <row r="251" spans="1:5" x14ac:dyDescent="0.2">
      <c r="B251" s="1">
        <f t="shared" si="17"/>
        <v>240</v>
      </c>
      <c r="C251" t="s">
        <v>804</v>
      </c>
      <c r="D251" t="s">
        <v>801</v>
      </c>
    </row>
    <row r="252" spans="1:5" x14ac:dyDescent="0.2">
      <c r="B252" s="1">
        <f t="shared" si="17"/>
        <v>241</v>
      </c>
      <c r="C252" t="s">
        <v>546</v>
      </c>
      <c r="D252" t="s">
        <v>547</v>
      </c>
      <c r="E252" s="3">
        <v>7.06</v>
      </c>
    </row>
    <row r="253" spans="1:5" x14ac:dyDescent="0.2">
      <c r="B253" s="1">
        <f t="shared" si="17"/>
        <v>242</v>
      </c>
      <c r="C253" t="s">
        <v>802</v>
      </c>
      <c r="D253" t="s">
        <v>803</v>
      </c>
    </row>
    <row r="254" spans="1:5" x14ac:dyDescent="0.2">
      <c r="A254" s="1" t="s">
        <v>340</v>
      </c>
      <c r="B254" s="1">
        <f t="shared" si="17"/>
        <v>243</v>
      </c>
      <c r="C254" t="s">
        <v>548</v>
      </c>
      <c r="D254" t="s">
        <v>549</v>
      </c>
      <c r="E254" s="3">
        <v>1.04</v>
      </c>
    </row>
    <row r="255" spans="1:5" x14ac:dyDescent="0.2">
      <c r="B255" s="1">
        <f t="shared" si="17"/>
        <v>244</v>
      </c>
      <c r="C255" s="34" t="s">
        <v>550</v>
      </c>
      <c r="D255" s="34" t="s">
        <v>551</v>
      </c>
    </row>
    <row r="256" spans="1:5" x14ac:dyDescent="0.2">
      <c r="B256" s="1">
        <f t="shared" si="17"/>
        <v>245</v>
      </c>
      <c r="C256" t="s">
        <v>552</v>
      </c>
      <c r="D256" t="s">
        <v>553</v>
      </c>
      <c r="E256" s="3">
        <v>2.97</v>
      </c>
    </row>
    <row r="257" spans="2:5" x14ac:dyDescent="0.2">
      <c r="B257" s="1">
        <f t="shared" si="17"/>
        <v>246</v>
      </c>
      <c r="C257" t="s">
        <v>554</v>
      </c>
      <c r="D257" t="s">
        <v>555</v>
      </c>
      <c r="E257" s="3">
        <v>3.28</v>
      </c>
    </row>
    <row r="258" spans="2:5" x14ac:dyDescent="0.2">
      <c r="B258" s="1">
        <f t="shared" si="17"/>
        <v>247</v>
      </c>
      <c r="C258" t="s">
        <v>556</v>
      </c>
      <c r="D258" t="s">
        <v>557</v>
      </c>
      <c r="E258" s="3">
        <v>1.82</v>
      </c>
    </row>
    <row r="259" spans="2:5" x14ac:dyDescent="0.2">
      <c r="B259" s="1">
        <f t="shared" si="17"/>
        <v>248</v>
      </c>
      <c r="C259" t="s">
        <v>558</v>
      </c>
      <c r="D259" t="s">
        <v>559</v>
      </c>
    </row>
    <row r="260" spans="2:5" x14ac:dyDescent="0.2">
      <c r="B260" s="1">
        <f t="shared" si="17"/>
        <v>249</v>
      </c>
      <c r="C260" t="s">
        <v>560</v>
      </c>
      <c r="D260" t="s">
        <v>561</v>
      </c>
      <c r="E260" s="3">
        <v>18.07</v>
      </c>
    </row>
    <row r="261" spans="2:5" x14ac:dyDescent="0.2">
      <c r="B261" s="1">
        <f t="shared" si="17"/>
        <v>250</v>
      </c>
      <c r="C261" t="s">
        <v>562</v>
      </c>
      <c r="D261" t="s">
        <v>563</v>
      </c>
      <c r="E261" s="3">
        <v>2.68</v>
      </c>
    </row>
    <row r="262" spans="2:5" x14ac:dyDescent="0.2">
      <c r="B262" s="1">
        <f t="shared" si="17"/>
        <v>251</v>
      </c>
      <c r="C262" t="s">
        <v>564</v>
      </c>
      <c r="D262" t="s">
        <v>565</v>
      </c>
      <c r="E262" s="7">
        <v>7</v>
      </c>
    </row>
    <row r="263" spans="2:5" x14ac:dyDescent="0.2">
      <c r="B263" s="1">
        <f t="shared" si="17"/>
        <v>252</v>
      </c>
      <c r="C263" t="s">
        <v>566</v>
      </c>
      <c r="D263" t="s">
        <v>567</v>
      </c>
      <c r="E263" s="3">
        <v>1.76</v>
      </c>
    </row>
    <row r="264" spans="2:5" x14ac:dyDescent="0.2">
      <c r="B264" s="1">
        <f t="shared" si="17"/>
        <v>253</v>
      </c>
      <c r="C264" t="s">
        <v>1007</v>
      </c>
      <c r="D264" t="s">
        <v>1008</v>
      </c>
    </row>
    <row r="265" spans="2:5" x14ac:dyDescent="0.2">
      <c r="B265" s="1">
        <f t="shared" si="17"/>
        <v>254</v>
      </c>
      <c r="C265" t="s">
        <v>568</v>
      </c>
      <c r="D265" t="s">
        <v>569</v>
      </c>
      <c r="E265" s="3">
        <v>0.61</v>
      </c>
    </row>
    <row r="266" spans="2:5" x14ac:dyDescent="0.2">
      <c r="B266" s="1">
        <f t="shared" si="17"/>
        <v>255</v>
      </c>
      <c r="C266" t="s">
        <v>570</v>
      </c>
      <c r="D266" t="s">
        <v>571</v>
      </c>
      <c r="E266" s="3">
        <v>0.68</v>
      </c>
    </row>
    <row r="267" spans="2:5" x14ac:dyDescent="0.2">
      <c r="B267" s="1">
        <f t="shared" si="17"/>
        <v>256</v>
      </c>
      <c r="C267" t="s">
        <v>572</v>
      </c>
      <c r="D267" t="s">
        <v>573</v>
      </c>
      <c r="E267" s="3">
        <v>11.86</v>
      </c>
    </row>
    <row r="268" spans="2:5" x14ac:dyDescent="0.2">
      <c r="B268" s="1">
        <f t="shared" si="17"/>
        <v>257</v>
      </c>
      <c r="C268" t="s">
        <v>574</v>
      </c>
      <c r="D268" t="s">
        <v>575</v>
      </c>
      <c r="E268" s="3">
        <v>1.86</v>
      </c>
    </row>
    <row r="269" spans="2:5" x14ac:dyDescent="0.2">
      <c r="B269" s="1">
        <f t="shared" si="17"/>
        <v>258</v>
      </c>
      <c r="C269" t="s">
        <v>576</v>
      </c>
      <c r="D269" t="s">
        <v>577</v>
      </c>
      <c r="E269" s="3">
        <v>1.87</v>
      </c>
    </row>
    <row r="270" spans="2:5" x14ac:dyDescent="0.2">
      <c r="B270" s="1">
        <f t="shared" si="17"/>
        <v>259</v>
      </c>
      <c r="C270" s="34" t="s">
        <v>578</v>
      </c>
      <c r="D270" s="34" t="s">
        <v>579</v>
      </c>
      <c r="E270"/>
    </row>
    <row r="271" spans="2:5" x14ac:dyDescent="0.2">
      <c r="B271" s="1">
        <f t="shared" si="17"/>
        <v>260</v>
      </c>
      <c r="C271" t="s">
        <v>581</v>
      </c>
      <c r="D271" t="s">
        <v>580</v>
      </c>
      <c r="E271" s="3">
        <v>7.46</v>
      </c>
    </row>
    <row r="272" spans="2:5" x14ac:dyDescent="0.2">
      <c r="B272" s="1">
        <f t="shared" si="17"/>
        <v>261</v>
      </c>
      <c r="C272" t="s">
        <v>817</v>
      </c>
      <c r="D272" t="s">
        <v>818</v>
      </c>
    </row>
    <row r="273" spans="1:5" x14ac:dyDescent="0.2">
      <c r="B273" s="1">
        <f t="shared" si="17"/>
        <v>262</v>
      </c>
      <c r="C273" t="s">
        <v>815</v>
      </c>
      <c r="D273" t="s">
        <v>816</v>
      </c>
    </row>
    <row r="274" spans="1:5" x14ac:dyDescent="0.2">
      <c r="B274" s="1">
        <f t="shared" si="17"/>
        <v>263</v>
      </c>
      <c r="C274" t="s">
        <v>582</v>
      </c>
      <c r="D274" t="s">
        <v>583</v>
      </c>
      <c r="E274" s="3">
        <v>2.77</v>
      </c>
    </row>
    <row r="275" spans="1:5" x14ac:dyDescent="0.2">
      <c r="B275" s="1">
        <f t="shared" si="17"/>
        <v>264</v>
      </c>
      <c r="C275" t="s">
        <v>354</v>
      </c>
      <c r="D275" t="s">
        <v>355</v>
      </c>
      <c r="E275" s="3">
        <v>2.67</v>
      </c>
    </row>
    <row r="276" spans="1:5" x14ac:dyDescent="0.2">
      <c r="A276" s="1" t="s">
        <v>340</v>
      </c>
      <c r="B276" s="1">
        <f t="shared" si="17"/>
        <v>265</v>
      </c>
      <c r="C276" t="s">
        <v>995</v>
      </c>
      <c r="D276" t="s">
        <v>996</v>
      </c>
    </row>
    <row r="277" spans="1:5" x14ac:dyDescent="0.2">
      <c r="A277" s="1" t="s">
        <v>340</v>
      </c>
      <c r="B277" s="1">
        <f t="shared" si="17"/>
        <v>266</v>
      </c>
      <c r="C277" t="s">
        <v>993</v>
      </c>
      <c r="D277" t="s">
        <v>994</v>
      </c>
    </row>
    <row r="278" spans="1:5" x14ac:dyDescent="0.2">
      <c r="A278" t="s">
        <v>340</v>
      </c>
      <c r="B278" s="1">
        <f t="shared" si="17"/>
        <v>267</v>
      </c>
      <c r="C278" t="s">
        <v>999</v>
      </c>
      <c r="D278" t="s">
        <v>1000</v>
      </c>
    </row>
    <row r="279" spans="1:5" x14ac:dyDescent="0.2">
      <c r="A279"/>
      <c r="B279" s="1">
        <f t="shared" si="17"/>
        <v>268</v>
      </c>
      <c r="C279" t="s">
        <v>1001</v>
      </c>
      <c r="D279" t="s">
        <v>1002</v>
      </c>
    </row>
    <row r="280" spans="1:5" x14ac:dyDescent="0.2">
      <c r="A280" t="s">
        <v>340</v>
      </c>
      <c r="B280" s="1">
        <f t="shared" si="17"/>
        <v>269</v>
      </c>
      <c r="C280" t="s">
        <v>1003</v>
      </c>
      <c r="D280" t="s">
        <v>1004</v>
      </c>
    </row>
    <row r="281" spans="1:5" x14ac:dyDescent="0.2">
      <c r="A281" t="s">
        <v>340</v>
      </c>
      <c r="B281" s="1">
        <f t="shared" si="17"/>
        <v>270</v>
      </c>
      <c r="C281" t="s">
        <v>1005</v>
      </c>
      <c r="D281" t="s">
        <v>1006</v>
      </c>
    </row>
    <row r="282" spans="1:5" x14ac:dyDescent="0.2">
      <c r="A282" t="s">
        <v>340</v>
      </c>
      <c r="B282" s="1">
        <f t="shared" si="17"/>
        <v>271</v>
      </c>
      <c r="C282" t="s">
        <v>997</v>
      </c>
      <c r="D282" t="s">
        <v>998</v>
      </c>
    </row>
    <row r="283" spans="1:5" x14ac:dyDescent="0.2">
      <c r="A283" s="1" t="s">
        <v>340</v>
      </c>
      <c r="B283" s="1">
        <f t="shared" si="17"/>
        <v>272</v>
      </c>
      <c r="C283" t="s">
        <v>991</v>
      </c>
      <c r="D283" t="s">
        <v>992</v>
      </c>
    </row>
    <row r="284" spans="1:5" x14ac:dyDescent="0.2">
      <c r="A284" s="1" t="s">
        <v>340</v>
      </c>
      <c r="B284" s="1">
        <f t="shared" si="17"/>
        <v>273</v>
      </c>
      <c r="C284" t="s">
        <v>584</v>
      </c>
      <c r="D284" t="s">
        <v>585</v>
      </c>
      <c r="E284" s="7">
        <v>2.2000000000000002</v>
      </c>
    </row>
    <row r="285" spans="1:5" x14ac:dyDescent="0.2">
      <c r="A285" s="1" t="s">
        <v>340</v>
      </c>
      <c r="B285" s="1">
        <f t="shared" si="17"/>
        <v>274</v>
      </c>
      <c r="C285" t="s">
        <v>586</v>
      </c>
      <c r="D285" t="s">
        <v>587</v>
      </c>
      <c r="E285" s="3">
        <v>2.48</v>
      </c>
    </row>
    <row r="286" spans="1:5" x14ac:dyDescent="0.2">
      <c r="A286" s="1" t="s">
        <v>340</v>
      </c>
      <c r="B286" s="1">
        <f t="shared" si="17"/>
        <v>275</v>
      </c>
      <c r="C286" t="s">
        <v>588</v>
      </c>
      <c r="D286" t="s">
        <v>589</v>
      </c>
      <c r="E286" s="3">
        <v>0.92</v>
      </c>
    </row>
    <row r="287" spans="1:5" x14ac:dyDescent="0.2">
      <c r="A287" s="1" t="s">
        <v>340</v>
      </c>
      <c r="B287" s="1">
        <f t="shared" si="17"/>
        <v>276</v>
      </c>
      <c r="C287" t="s">
        <v>590</v>
      </c>
      <c r="D287" t="s">
        <v>591</v>
      </c>
      <c r="E287" s="3">
        <v>2.94</v>
      </c>
    </row>
    <row r="288" spans="1:5" x14ac:dyDescent="0.2">
      <c r="A288" s="1" t="s">
        <v>340</v>
      </c>
      <c r="B288" s="1">
        <f t="shared" si="17"/>
        <v>277</v>
      </c>
      <c r="C288" t="s">
        <v>592</v>
      </c>
      <c r="D288" t="s">
        <v>593</v>
      </c>
      <c r="E288" s="3">
        <v>5.88</v>
      </c>
    </row>
    <row r="289" spans="1:29" x14ac:dyDescent="0.2">
      <c r="A289" s="1" t="s">
        <v>340</v>
      </c>
      <c r="B289" s="1">
        <f t="shared" si="17"/>
        <v>278</v>
      </c>
      <c r="C289" t="s">
        <v>594</v>
      </c>
      <c r="D289" t="s">
        <v>595</v>
      </c>
      <c r="E289" s="7">
        <v>3.46</v>
      </c>
    </row>
    <row r="290" spans="1:29" x14ac:dyDescent="0.2">
      <c r="A290" s="1" t="s">
        <v>340</v>
      </c>
      <c r="B290" s="1">
        <f t="shared" si="17"/>
        <v>279</v>
      </c>
      <c r="C290" s="5" t="s">
        <v>596</v>
      </c>
      <c r="D290" t="s">
        <v>597</v>
      </c>
      <c r="E290" s="7">
        <v>33</v>
      </c>
      <c r="F290" s="6">
        <f>E290*J290</f>
        <v>653.378781</v>
      </c>
      <c r="G290" s="6">
        <f>[90]Main!$M$5-[90]Main!$M$6</f>
        <v>236.422</v>
      </c>
      <c r="H290" s="6">
        <f>F290-G290</f>
        <v>416.95678099999998</v>
      </c>
      <c r="I290" s="9">
        <v>45063</v>
      </c>
      <c r="J290" s="6">
        <f>[90]Main!$M$3</f>
        <v>19.799357000000001</v>
      </c>
      <c r="AC290" s="1">
        <v>2017</v>
      </c>
    </row>
    <row r="291" spans="1:29" x14ac:dyDescent="0.2">
      <c r="B291" s="1">
        <f t="shared" si="17"/>
        <v>280</v>
      </c>
      <c r="C291" s="5" t="s">
        <v>598</v>
      </c>
      <c r="D291" t="s">
        <v>599</v>
      </c>
      <c r="E291" s="3">
        <f>0.35</f>
        <v>0.35</v>
      </c>
      <c r="F291" s="6">
        <f>E291*J291</f>
        <v>12.513184599999999</v>
      </c>
      <c r="G291" s="6">
        <f>[91]Main!$K$5-[91]Main!$K$6</f>
        <v>54.983000000000004</v>
      </c>
      <c r="H291" s="6">
        <f>F291-G291</f>
        <v>-42.469815400000002</v>
      </c>
      <c r="I291" s="9">
        <v>45063</v>
      </c>
      <c r="J291" s="6">
        <f>[91]Main!$K$3</f>
        <v>35.751956</v>
      </c>
    </row>
    <row r="292" spans="1:29" x14ac:dyDescent="0.2">
      <c r="A292" s="1" t="s">
        <v>340</v>
      </c>
      <c r="B292" s="1">
        <f t="shared" si="17"/>
        <v>281</v>
      </c>
      <c r="C292" s="1" t="s">
        <v>600</v>
      </c>
      <c r="D292" s="1" t="s">
        <v>601</v>
      </c>
    </row>
    <row r="293" spans="1:29" x14ac:dyDescent="0.2">
      <c r="B293" s="1">
        <f t="shared" si="17"/>
        <v>282</v>
      </c>
      <c r="C293" t="s">
        <v>602</v>
      </c>
      <c r="D293" t="s">
        <v>603</v>
      </c>
    </row>
    <row r="294" spans="1:29" x14ac:dyDescent="0.2">
      <c r="A294" s="1" t="s">
        <v>340</v>
      </c>
      <c r="B294" s="1">
        <f t="shared" si="17"/>
        <v>283</v>
      </c>
      <c r="C294" t="s">
        <v>604</v>
      </c>
      <c r="D294" t="s">
        <v>605</v>
      </c>
    </row>
    <row r="295" spans="1:29" x14ac:dyDescent="0.2">
      <c r="A295" s="1" t="s">
        <v>340</v>
      </c>
      <c r="B295" s="1">
        <f t="shared" si="17"/>
        <v>284</v>
      </c>
      <c r="C295" s="1" t="s">
        <v>459</v>
      </c>
      <c r="D295" s="1" t="s">
        <v>675</v>
      </c>
    </row>
    <row r="296" spans="1:29" x14ac:dyDescent="0.2">
      <c r="A296" s="1" t="s">
        <v>340</v>
      </c>
      <c r="B296" s="1">
        <f t="shared" si="17"/>
        <v>285</v>
      </c>
      <c r="C296" t="s">
        <v>790</v>
      </c>
      <c r="D296" t="s">
        <v>791</v>
      </c>
    </row>
    <row r="297" spans="1:29" x14ac:dyDescent="0.2">
      <c r="A297" s="1" t="s">
        <v>340</v>
      </c>
      <c r="B297" s="1">
        <f t="shared" si="17"/>
        <v>286</v>
      </c>
      <c r="C297" t="s">
        <v>676</v>
      </c>
      <c r="D297" t="s">
        <v>677</v>
      </c>
    </row>
    <row r="298" spans="1:29" x14ac:dyDescent="0.2">
      <c r="A298" s="1" t="s">
        <v>340</v>
      </c>
      <c r="B298" s="1">
        <f t="shared" si="17"/>
        <v>287</v>
      </c>
      <c r="C298" t="s">
        <v>678</v>
      </c>
      <c r="D298" t="s">
        <v>679</v>
      </c>
    </row>
    <row r="299" spans="1:29" x14ac:dyDescent="0.2">
      <c r="A299" t="s">
        <v>340</v>
      </c>
      <c r="B299" s="1">
        <f t="shared" si="17"/>
        <v>288</v>
      </c>
      <c r="C299" t="s">
        <v>680</v>
      </c>
      <c r="D299" t="s">
        <v>681</v>
      </c>
    </row>
    <row r="300" spans="1:29" x14ac:dyDescent="0.2">
      <c r="A300" t="s">
        <v>340</v>
      </c>
      <c r="B300" s="1">
        <f t="shared" si="17"/>
        <v>289</v>
      </c>
      <c r="C300" t="s">
        <v>682</v>
      </c>
      <c r="D300" t="s">
        <v>683</v>
      </c>
    </row>
    <row r="301" spans="1:29" x14ac:dyDescent="0.2">
      <c r="B301" s="1">
        <f t="shared" si="17"/>
        <v>290</v>
      </c>
      <c r="C301" t="s">
        <v>684</v>
      </c>
      <c r="D301" t="s">
        <v>685</v>
      </c>
    </row>
    <row r="302" spans="1:29" x14ac:dyDescent="0.2">
      <c r="A302" s="1" t="s">
        <v>340</v>
      </c>
      <c r="B302" s="1">
        <f t="shared" si="17"/>
        <v>291</v>
      </c>
      <c r="C302" t="s">
        <v>823</v>
      </c>
      <c r="D302" t="s">
        <v>824</v>
      </c>
    </row>
    <row r="303" spans="1:29" x14ac:dyDescent="0.2">
      <c r="A303" s="1" t="s">
        <v>340</v>
      </c>
      <c r="B303" s="1">
        <f t="shared" si="17"/>
        <v>292</v>
      </c>
      <c r="C303" t="s">
        <v>827</v>
      </c>
      <c r="D303" t="s">
        <v>828</v>
      </c>
    </row>
    <row r="304" spans="1:29" x14ac:dyDescent="0.2">
      <c r="A304" t="s">
        <v>340</v>
      </c>
      <c r="B304" s="1">
        <f t="shared" si="17"/>
        <v>293</v>
      </c>
      <c r="C304" t="s">
        <v>833</v>
      </c>
      <c r="D304" t="s">
        <v>834</v>
      </c>
    </row>
    <row r="305" spans="1:4" x14ac:dyDescent="0.2">
      <c r="A305" t="s">
        <v>340</v>
      </c>
      <c r="B305" s="1">
        <f t="shared" si="17"/>
        <v>294</v>
      </c>
      <c r="C305" t="s">
        <v>837</v>
      </c>
      <c r="D305" t="s">
        <v>838</v>
      </c>
    </row>
    <row r="306" spans="1:4" x14ac:dyDescent="0.2">
      <c r="A306" t="s">
        <v>340</v>
      </c>
      <c r="B306" s="1">
        <f t="shared" ref="B306:B365" si="18">B305+1</f>
        <v>295</v>
      </c>
      <c r="C306" t="s">
        <v>835</v>
      </c>
      <c r="D306" t="s">
        <v>836</v>
      </c>
    </row>
    <row r="307" spans="1:4" x14ac:dyDescent="0.2">
      <c r="A307" t="s">
        <v>340</v>
      </c>
      <c r="B307" s="1">
        <f t="shared" si="18"/>
        <v>296</v>
      </c>
      <c r="C307" t="s">
        <v>831</v>
      </c>
      <c r="D307" t="s">
        <v>832</v>
      </c>
    </row>
    <row r="308" spans="1:4" x14ac:dyDescent="0.2">
      <c r="A308" t="s">
        <v>340</v>
      </c>
      <c r="B308" s="1">
        <f t="shared" si="18"/>
        <v>297</v>
      </c>
      <c r="C308" t="s">
        <v>829</v>
      </c>
      <c r="D308" t="s">
        <v>830</v>
      </c>
    </row>
    <row r="309" spans="1:4" x14ac:dyDescent="0.2">
      <c r="A309" s="1" t="s">
        <v>340</v>
      </c>
      <c r="B309" s="1">
        <f t="shared" si="18"/>
        <v>298</v>
      </c>
      <c r="C309" t="s">
        <v>825</v>
      </c>
      <c r="D309" t="s">
        <v>826</v>
      </c>
    </row>
    <row r="310" spans="1:4" x14ac:dyDescent="0.2">
      <c r="A310" s="1" t="s">
        <v>340</v>
      </c>
      <c r="B310" s="1">
        <f t="shared" si="18"/>
        <v>299</v>
      </c>
      <c r="C310" t="s">
        <v>821</v>
      </c>
      <c r="D310" t="s">
        <v>822</v>
      </c>
    </row>
    <row r="311" spans="1:4" x14ac:dyDescent="0.2">
      <c r="A311" s="1" t="s">
        <v>340</v>
      </c>
      <c r="B311" s="1">
        <f t="shared" si="18"/>
        <v>300</v>
      </c>
      <c r="C311" t="s">
        <v>819</v>
      </c>
      <c r="D311" t="s">
        <v>820</v>
      </c>
    </row>
    <row r="312" spans="1:4" x14ac:dyDescent="0.2">
      <c r="A312" s="1" t="s">
        <v>340</v>
      </c>
      <c r="B312" s="1">
        <f t="shared" si="18"/>
        <v>301</v>
      </c>
      <c r="C312" t="s">
        <v>686</v>
      </c>
      <c r="D312" t="s">
        <v>687</v>
      </c>
    </row>
    <row r="313" spans="1:4" x14ac:dyDescent="0.2">
      <c r="A313" s="1" t="s">
        <v>340</v>
      </c>
      <c r="B313" s="1">
        <f t="shared" si="18"/>
        <v>302</v>
      </c>
      <c r="C313" t="s">
        <v>750</v>
      </c>
      <c r="D313" t="s">
        <v>751</v>
      </c>
    </row>
    <row r="314" spans="1:4" x14ac:dyDescent="0.2">
      <c r="A314" s="1" t="s">
        <v>340</v>
      </c>
      <c r="B314" s="1">
        <f t="shared" si="18"/>
        <v>303</v>
      </c>
      <c r="C314" t="s">
        <v>748</v>
      </c>
      <c r="D314" t="s">
        <v>749</v>
      </c>
    </row>
    <row r="315" spans="1:4" x14ac:dyDescent="0.2">
      <c r="A315" s="1" t="s">
        <v>340</v>
      </c>
      <c r="B315" s="1">
        <f t="shared" si="18"/>
        <v>304</v>
      </c>
      <c r="C315" t="s">
        <v>688</v>
      </c>
      <c r="D315" t="s">
        <v>689</v>
      </c>
    </row>
    <row r="316" spans="1:4" x14ac:dyDescent="0.2">
      <c r="A316" t="s">
        <v>340</v>
      </c>
      <c r="B316" s="1">
        <f t="shared" si="18"/>
        <v>305</v>
      </c>
      <c r="C316" t="s">
        <v>735</v>
      </c>
      <c r="D316" t="s">
        <v>736</v>
      </c>
    </row>
    <row r="317" spans="1:4" x14ac:dyDescent="0.2">
      <c r="A317" s="1" t="s">
        <v>340</v>
      </c>
      <c r="B317" s="1">
        <f t="shared" si="18"/>
        <v>306</v>
      </c>
      <c r="C317" t="s">
        <v>690</v>
      </c>
      <c r="D317" t="s">
        <v>691</v>
      </c>
    </row>
    <row r="318" spans="1:4" x14ac:dyDescent="0.2">
      <c r="A318" s="1" t="s">
        <v>340</v>
      </c>
      <c r="B318" s="1">
        <f t="shared" si="18"/>
        <v>307</v>
      </c>
      <c r="C318" s="1" t="s">
        <v>709</v>
      </c>
      <c r="D318" s="1" t="s">
        <v>710</v>
      </c>
    </row>
    <row r="319" spans="1:4" x14ac:dyDescent="0.2">
      <c r="A319" t="s">
        <v>340</v>
      </c>
      <c r="B319" s="1">
        <f t="shared" si="18"/>
        <v>308</v>
      </c>
      <c r="C319" t="s">
        <v>713</v>
      </c>
      <c r="D319" t="s">
        <v>714</v>
      </c>
    </row>
    <row r="320" spans="1:4" x14ac:dyDescent="0.2">
      <c r="A320" t="s">
        <v>340</v>
      </c>
      <c r="B320" s="1">
        <f t="shared" si="18"/>
        <v>309</v>
      </c>
      <c r="C320" t="s">
        <v>715</v>
      </c>
      <c r="D320" t="s">
        <v>716</v>
      </c>
    </row>
    <row r="321" spans="1:5" x14ac:dyDescent="0.2">
      <c r="A321" t="s">
        <v>340</v>
      </c>
      <c r="B321" s="1">
        <f t="shared" si="18"/>
        <v>310</v>
      </c>
      <c r="C321" t="s">
        <v>839</v>
      </c>
      <c r="D321" t="s">
        <v>840</v>
      </c>
    </row>
    <row r="322" spans="1:5" x14ac:dyDescent="0.2">
      <c r="A322" t="s">
        <v>340</v>
      </c>
      <c r="B322" s="1">
        <f t="shared" si="18"/>
        <v>311</v>
      </c>
      <c r="C322" t="s">
        <v>843</v>
      </c>
      <c r="D322" t="s">
        <v>844</v>
      </c>
    </row>
    <row r="323" spans="1:5" x14ac:dyDescent="0.2">
      <c r="A323" t="s">
        <v>340</v>
      </c>
      <c r="B323" s="1">
        <f t="shared" si="18"/>
        <v>312</v>
      </c>
      <c r="C323" t="s">
        <v>845</v>
      </c>
      <c r="D323" t="s">
        <v>846</v>
      </c>
    </row>
    <row r="324" spans="1:5" x14ac:dyDescent="0.2">
      <c r="A324"/>
      <c r="B324" s="1">
        <f t="shared" si="18"/>
        <v>313</v>
      </c>
      <c r="C324" t="s">
        <v>847</v>
      </c>
      <c r="D324" t="s">
        <v>848</v>
      </c>
    </row>
    <row r="325" spans="1:5" x14ac:dyDescent="0.2">
      <c r="A325" t="s">
        <v>340</v>
      </c>
      <c r="B325" s="1">
        <f t="shared" si="18"/>
        <v>314</v>
      </c>
      <c r="C325" s="5" t="s">
        <v>849</v>
      </c>
      <c r="D325" t="s">
        <v>850</v>
      </c>
      <c r="E325" s="3">
        <v>1.73</v>
      </c>
    </row>
    <row r="326" spans="1:5" x14ac:dyDescent="0.2">
      <c r="A326" t="s">
        <v>340</v>
      </c>
      <c r="B326" s="1">
        <f t="shared" si="18"/>
        <v>315</v>
      </c>
      <c r="C326" t="s">
        <v>851</v>
      </c>
      <c r="D326" t="s">
        <v>852</v>
      </c>
    </row>
    <row r="327" spans="1:5" x14ac:dyDescent="0.2">
      <c r="A327" t="s">
        <v>340</v>
      </c>
      <c r="B327" s="1">
        <f t="shared" si="18"/>
        <v>316</v>
      </c>
      <c r="C327" t="s">
        <v>853</v>
      </c>
      <c r="D327" t="s">
        <v>854</v>
      </c>
    </row>
    <row r="328" spans="1:5" x14ac:dyDescent="0.2">
      <c r="A328"/>
      <c r="B328" s="1">
        <f t="shared" si="18"/>
        <v>317</v>
      </c>
      <c r="C328" t="s">
        <v>855</v>
      </c>
      <c r="D328" t="s">
        <v>856</v>
      </c>
    </row>
    <row r="329" spans="1:5" x14ac:dyDescent="0.2">
      <c r="A329"/>
      <c r="B329" s="1">
        <f t="shared" si="18"/>
        <v>318</v>
      </c>
      <c r="C329" t="s">
        <v>857</v>
      </c>
      <c r="D329" t="s">
        <v>858</v>
      </c>
    </row>
    <row r="330" spans="1:5" x14ac:dyDescent="0.2">
      <c r="A330" t="s">
        <v>340</v>
      </c>
      <c r="B330" s="1">
        <f t="shared" si="18"/>
        <v>319</v>
      </c>
      <c r="C330" t="s">
        <v>859</v>
      </c>
      <c r="D330" t="s">
        <v>860</v>
      </c>
    </row>
    <row r="331" spans="1:5" x14ac:dyDescent="0.2">
      <c r="A331" t="s">
        <v>340</v>
      </c>
      <c r="B331" s="1">
        <f t="shared" si="18"/>
        <v>320</v>
      </c>
      <c r="C331" t="s">
        <v>861</v>
      </c>
      <c r="D331" t="s">
        <v>862</v>
      </c>
    </row>
    <row r="332" spans="1:5" x14ac:dyDescent="0.2">
      <c r="A332" t="s">
        <v>340</v>
      </c>
      <c r="B332" s="1">
        <f t="shared" si="18"/>
        <v>321</v>
      </c>
      <c r="C332" t="s">
        <v>863</v>
      </c>
      <c r="D332" t="s">
        <v>864</v>
      </c>
    </row>
    <row r="333" spans="1:5" x14ac:dyDescent="0.2">
      <c r="A333" t="s">
        <v>340</v>
      </c>
      <c r="B333" s="1">
        <f t="shared" si="18"/>
        <v>322</v>
      </c>
      <c r="C333" t="s">
        <v>865</v>
      </c>
      <c r="D333" t="s">
        <v>866</v>
      </c>
    </row>
    <row r="334" spans="1:5" x14ac:dyDescent="0.2">
      <c r="A334" t="s">
        <v>340</v>
      </c>
      <c r="B334" s="1">
        <f t="shared" si="18"/>
        <v>323</v>
      </c>
      <c r="C334" t="s">
        <v>867</v>
      </c>
      <c r="D334" t="s">
        <v>868</v>
      </c>
    </row>
    <row r="335" spans="1:5" x14ac:dyDescent="0.2">
      <c r="A335" t="s">
        <v>340</v>
      </c>
      <c r="B335" s="1">
        <f t="shared" si="18"/>
        <v>324</v>
      </c>
      <c r="C335" t="s">
        <v>869</v>
      </c>
      <c r="D335" t="s">
        <v>870</v>
      </c>
    </row>
    <row r="336" spans="1:5" x14ac:dyDescent="0.2">
      <c r="A336"/>
      <c r="B336" s="1">
        <f t="shared" si="18"/>
        <v>325</v>
      </c>
      <c r="C336" t="s">
        <v>871</v>
      </c>
      <c r="D336" t="s">
        <v>872</v>
      </c>
    </row>
    <row r="337" spans="1:4" x14ac:dyDescent="0.2">
      <c r="A337" t="s">
        <v>340</v>
      </c>
      <c r="B337" s="1">
        <f t="shared" si="18"/>
        <v>326</v>
      </c>
      <c r="C337" t="s">
        <v>873</v>
      </c>
      <c r="D337" t="s">
        <v>874</v>
      </c>
    </row>
    <row r="338" spans="1:4" x14ac:dyDescent="0.2">
      <c r="A338" t="s">
        <v>340</v>
      </c>
      <c r="B338" s="1">
        <f t="shared" si="18"/>
        <v>327</v>
      </c>
      <c r="C338" t="s">
        <v>875</v>
      </c>
      <c r="D338" t="s">
        <v>876</v>
      </c>
    </row>
    <row r="339" spans="1:4" x14ac:dyDescent="0.2">
      <c r="A339" t="s">
        <v>340</v>
      </c>
      <c r="B339" s="1">
        <f t="shared" si="18"/>
        <v>328</v>
      </c>
      <c r="C339" t="s">
        <v>877</v>
      </c>
      <c r="D339" t="s">
        <v>878</v>
      </c>
    </row>
    <row r="340" spans="1:4" x14ac:dyDescent="0.2">
      <c r="A340" t="s">
        <v>340</v>
      </c>
      <c r="B340" s="1">
        <f t="shared" si="18"/>
        <v>329</v>
      </c>
      <c r="C340" t="s">
        <v>879</v>
      </c>
      <c r="D340" t="s">
        <v>880</v>
      </c>
    </row>
    <row r="341" spans="1:4" x14ac:dyDescent="0.2">
      <c r="A341" t="s">
        <v>340</v>
      </c>
      <c r="B341" s="1">
        <f t="shared" si="18"/>
        <v>330</v>
      </c>
      <c r="C341" t="s">
        <v>881</v>
      </c>
      <c r="D341" t="s">
        <v>882</v>
      </c>
    </row>
    <row r="342" spans="1:4" x14ac:dyDescent="0.2">
      <c r="A342" t="s">
        <v>340</v>
      </c>
      <c r="B342" s="1">
        <f t="shared" si="18"/>
        <v>331</v>
      </c>
      <c r="C342" t="s">
        <v>883</v>
      </c>
      <c r="D342" t="s">
        <v>884</v>
      </c>
    </row>
    <row r="343" spans="1:4" x14ac:dyDescent="0.2">
      <c r="A343" t="s">
        <v>340</v>
      </c>
      <c r="B343" s="1">
        <f t="shared" si="18"/>
        <v>332</v>
      </c>
      <c r="C343" t="s">
        <v>885</v>
      </c>
      <c r="D343" t="s">
        <v>886</v>
      </c>
    </row>
    <row r="344" spans="1:4" x14ac:dyDescent="0.2">
      <c r="A344" t="s">
        <v>340</v>
      </c>
      <c r="B344" s="1">
        <f t="shared" si="18"/>
        <v>333</v>
      </c>
      <c r="C344" t="s">
        <v>887</v>
      </c>
      <c r="D344" t="s">
        <v>888</v>
      </c>
    </row>
    <row r="345" spans="1:4" x14ac:dyDescent="0.2">
      <c r="A345" t="s">
        <v>340</v>
      </c>
      <c r="B345" s="1">
        <f t="shared" si="18"/>
        <v>334</v>
      </c>
      <c r="C345" t="s">
        <v>889</v>
      </c>
      <c r="D345" t="s">
        <v>890</v>
      </c>
    </row>
    <row r="346" spans="1:4" x14ac:dyDescent="0.2">
      <c r="A346" t="s">
        <v>340</v>
      </c>
      <c r="B346" s="1">
        <f t="shared" si="18"/>
        <v>335</v>
      </c>
      <c r="C346" t="s">
        <v>891</v>
      </c>
      <c r="D346" t="s">
        <v>892</v>
      </c>
    </row>
    <row r="347" spans="1:4" x14ac:dyDescent="0.2">
      <c r="A347" t="s">
        <v>340</v>
      </c>
      <c r="B347" s="1">
        <f t="shared" si="18"/>
        <v>336</v>
      </c>
      <c r="C347" t="s">
        <v>893</v>
      </c>
      <c r="D347" t="s">
        <v>894</v>
      </c>
    </row>
    <row r="348" spans="1:4" x14ac:dyDescent="0.2">
      <c r="A348" t="s">
        <v>340</v>
      </c>
      <c r="B348" s="1">
        <f t="shared" si="18"/>
        <v>337</v>
      </c>
      <c r="C348" t="s">
        <v>895</v>
      </c>
      <c r="D348" t="s">
        <v>896</v>
      </c>
    </row>
    <row r="349" spans="1:4" x14ac:dyDescent="0.2">
      <c r="A349" t="s">
        <v>340</v>
      </c>
      <c r="B349" s="1">
        <f t="shared" si="18"/>
        <v>338</v>
      </c>
      <c r="C349" t="s">
        <v>897</v>
      </c>
      <c r="D349" t="s">
        <v>898</v>
      </c>
    </row>
    <row r="350" spans="1:4" x14ac:dyDescent="0.2">
      <c r="A350" t="s">
        <v>340</v>
      </c>
      <c r="B350" s="1">
        <f t="shared" si="18"/>
        <v>339</v>
      </c>
      <c r="C350" t="s">
        <v>899</v>
      </c>
      <c r="D350" t="s">
        <v>900</v>
      </c>
    </row>
    <row r="351" spans="1:4" x14ac:dyDescent="0.2">
      <c r="A351" t="s">
        <v>340</v>
      </c>
      <c r="B351" s="1">
        <f t="shared" si="18"/>
        <v>340</v>
      </c>
      <c r="C351" t="s">
        <v>901</v>
      </c>
      <c r="D351" t="s">
        <v>902</v>
      </c>
    </row>
    <row r="352" spans="1:4" x14ac:dyDescent="0.2">
      <c r="A352" t="s">
        <v>340</v>
      </c>
      <c r="B352" s="1">
        <f t="shared" si="18"/>
        <v>341</v>
      </c>
      <c r="C352" t="s">
        <v>903</v>
      </c>
      <c r="D352" t="s">
        <v>904</v>
      </c>
    </row>
    <row r="353" spans="1:4" x14ac:dyDescent="0.2">
      <c r="A353" t="s">
        <v>340</v>
      </c>
      <c r="B353" s="1">
        <f t="shared" si="18"/>
        <v>342</v>
      </c>
      <c r="C353" t="s">
        <v>905</v>
      </c>
      <c r="D353" t="s">
        <v>906</v>
      </c>
    </row>
    <row r="354" spans="1:4" x14ac:dyDescent="0.2">
      <c r="A354" t="s">
        <v>340</v>
      </c>
      <c r="B354" s="1">
        <f t="shared" si="18"/>
        <v>343</v>
      </c>
      <c r="C354" t="s">
        <v>908</v>
      </c>
      <c r="D354" t="s">
        <v>907</v>
      </c>
    </row>
    <row r="355" spans="1:4" x14ac:dyDescent="0.2">
      <c r="A355" t="s">
        <v>340</v>
      </c>
      <c r="B355" s="1">
        <f t="shared" si="18"/>
        <v>344</v>
      </c>
      <c r="C355" t="s">
        <v>909</v>
      </c>
      <c r="D355" t="s">
        <v>910</v>
      </c>
    </row>
    <row r="356" spans="1:4" x14ac:dyDescent="0.2">
      <c r="A356" t="s">
        <v>340</v>
      </c>
      <c r="B356" s="1">
        <f t="shared" si="18"/>
        <v>345</v>
      </c>
      <c r="C356" t="s">
        <v>911</v>
      </c>
      <c r="D356" t="s">
        <v>912</v>
      </c>
    </row>
    <row r="357" spans="1:4" x14ac:dyDescent="0.2">
      <c r="A357" t="s">
        <v>340</v>
      </c>
      <c r="B357" s="1">
        <f t="shared" si="18"/>
        <v>346</v>
      </c>
      <c r="C357" t="s">
        <v>913</v>
      </c>
      <c r="D357" t="s">
        <v>914</v>
      </c>
    </row>
    <row r="358" spans="1:4" x14ac:dyDescent="0.2">
      <c r="A358" t="s">
        <v>340</v>
      </c>
      <c r="B358" s="1">
        <f t="shared" si="18"/>
        <v>347</v>
      </c>
      <c r="C358" t="s">
        <v>915</v>
      </c>
      <c r="D358" t="s">
        <v>916</v>
      </c>
    </row>
    <row r="359" spans="1:4" x14ac:dyDescent="0.2">
      <c r="A359" t="s">
        <v>340</v>
      </c>
      <c r="B359" s="1">
        <f t="shared" si="18"/>
        <v>348</v>
      </c>
      <c r="C359" t="s">
        <v>917</v>
      </c>
      <c r="D359" t="s">
        <v>918</v>
      </c>
    </row>
    <row r="360" spans="1:4" x14ac:dyDescent="0.2">
      <c r="A360" t="s">
        <v>340</v>
      </c>
      <c r="B360" s="1">
        <f t="shared" si="18"/>
        <v>349</v>
      </c>
      <c r="C360" t="s">
        <v>919</v>
      </c>
      <c r="D360" t="s">
        <v>920</v>
      </c>
    </row>
    <row r="361" spans="1:4" x14ac:dyDescent="0.2">
      <c r="A361" t="s">
        <v>340</v>
      </c>
      <c r="B361" s="1">
        <f t="shared" si="18"/>
        <v>350</v>
      </c>
      <c r="C361" t="s">
        <v>921</v>
      </c>
      <c r="D361" t="s">
        <v>922</v>
      </c>
    </row>
    <row r="362" spans="1:4" x14ac:dyDescent="0.2">
      <c r="A362" t="s">
        <v>340</v>
      </c>
      <c r="B362" s="1">
        <f t="shared" si="18"/>
        <v>351</v>
      </c>
      <c r="C362" t="s">
        <v>923</v>
      </c>
      <c r="D362" t="s">
        <v>924</v>
      </c>
    </row>
    <row r="363" spans="1:4" x14ac:dyDescent="0.2">
      <c r="A363" t="s">
        <v>340</v>
      </c>
      <c r="B363" s="1">
        <f t="shared" si="18"/>
        <v>352</v>
      </c>
      <c r="C363" t="s">
        <v>925</v>
      </c>
      <c r="D363" t="s">
        <v>926</v>
      </c>
    </row>
    <row r="364" spans="1:4" x14ac:dyDescent="0.2">
      <c r="A364"/>
      <c r="B364" s="1">
        <f t="shared" si="18"/>
        <v>353</v>
      </c>
      <c r="C364" t="s">
        <v>927</v>
      </c>
      <c r="D364" t="s">
        <v>928</v>
      </c>
    </row>
    <row r="365" spans="1:4" x14ac:dyDescent="0.2">
      <c r="A365"/>
      <c r="B365" s="1">
        <f t="shared" si="18"/>
        <v>354</v>
      </c>
      <c r="C365" t="s">
        <v>929</v>
      </c>
      <c r="D365" t="s">
        <v>930</v>
      </c>
    </row>
    <row r="366" spans="1:4" x14ac:dyDescent="0.2">
      <c r="A366"/>
      <c r="B366" s="1">
        <f t="shared" ref="B366" si="19">B365+1</f>
        <v>355</v>
      </c>
      <c r="C366" t="s">
        <v>931</v>
      </c>
      <c r="D366" t="s">
        <v>932</v>
      </c>
    </row>
    <row r="367" spans="1:4" x14ac:dyDescent="0.2">
      <c r="A367"/>
      <c r="B367" s="1">
        <f t="shared" ref="B367:B398" si="20">B366+1</f>
        <v>356</v>
      </c>
      <c r="C367" t="s">
        <v>933</v>
      </c>
      <c r="D367" t="s">
        <v>934</v>
      </c>
    </row>
    <row r="368" spans="1:4" x14ac:dyDescent="0.2">
      <c r="A368"/>
      <c r="B368" s="1">
        <f t="shared" si="20"/>
        <v>357</v>
      </c>
      <c r="C368" t="s">
        <v>935</v>
      </c>
      <c r="D368" t="s">
        <v>936</v>
      </c>
    </row>
    <row r="369" spans="1:4" x14ac:dyDescent="0.2">
      <c r="A369"/>
      <c r="B369" s="1">
        <f t="shared" si="20"/>
        <v>358</v>
      </c>
      <c r="C369" t="s">
        <v>937</v>
      </c>
      <c r="D369" t="s">
        <v>938</v>
      </c>
    </row>
    <row r="370" spans="1:4" x14ac:dyDescent="0.2">
      <c r="A370"/>
      <c r="B370" s="1">
        <f t="shared" si="20"/>
        <v>359</v>
      </c>
      <c r="C370" t="s">
        <v>939</v>
      </c>
      <c r="D370" t="s">
        <v>940</v>
      </c>
    </row>
    <row r="371" spans="1:4" x14ac:dyDescent="0.2">
      <c r="A371"/>
      <c r="B371" s="1">
        <f t="shared" si="20"/>
        <v>360</v>
      </c>
      <c r="C371" t="s">
        <v>941</v>
      </c>
      <c r="D371" t="s">
        <v>942</v>
      </c>
    </row>
    <row r="372" spans="1:4" x14ac:dyDescent="0.2">
      <c r="A372"/>
      <c r="B372" s="1">
        <f t="shared" si="20"/>
        <v>361</v>
      </c>
      <c r="C372" t="s">
        <v>943</v>
      </c>
      <c r="D372" t="s">
        <v>944</v>
      </c>
    </row>
    <row r="373" spans="1:4" x14ac:dyDescent="0.2">
      <c r="A373"/>
      <c r="B373" s="1">
        <f t="shared" si="20"/>
        <v>362</v>
      </c>
      <c r="C373" t="s">
        <v>945</v>
      </c>
      <c r="D373" t="s">
        <v>946</v>
      </c>
    </row>
    <row r="374" spans="1:4" x14ac:dyDescent="0.2">
      <c r="A374"/>
      <c r="B374" s="1">
        <f t="shared" si="20"/>
        <v>363</v>
      </c>
      <c r="C374" t="s">
        <v>947</v>
      </c>
      <c r="D374" t="s">
        <v>950</v>
      </c>
    </row>
    <row r="375" spans="1:4" x14ac:dyDescent="0.2">
      <c r="A375"/>
      <c r="B375" s="1">
        <f t="shared" si="20"/>
        <v>364</v>
      </c>
      <c r="C375" t="s">
        <v>948</v>
      </c>
      <c r="D375" t="s">
        <v>949</v>
      </c>
    </row>
    <row r="376" spans="1:4" x14ac:dyDescent="0.2">
      <c r="A376"/>
      <c r="B376" s="1">
        <f t="shared" si="20"/>
        <v>365</v>
      </c>
      <c r="C376" t="s">
        <v>951</v>
      </c>
      <c r="D376" t="s">
        <v>952</v>
      </c>
    </row>
    <row r="377" spans="1:4" x14ac:dyDescent="0.2">
      <c r="A377"/>
      <c r="B377" s="1">
        <f t="shared" si="20"/>
        <v>366</v>
      </c>
      <c r="C377" t="s">
        <v>953</v>
      </c>
      <c r="D377" t="s">
        <v>954</v>
      </c>
    </row>
    <row r="378" spans="1:4" x14ac:dyDescent="0.2">
      <c r="A378"/>
      <c r="B378" s="1">
        <f t="shared" si="20"/>
        <v>367</v>
      </c>
      <c r="C378" t="s">
        <v>955</v>
      </c>
      <c r="D378" t="s">
        <v>956</v>
      </c>
    </row>
    <row r="379" spans="1:4" x14ac:dyDescent="0.2">
      <c r="A379"/>
      <c r="B379" s="1">
        <f t="shared" si="20"/>
        <v>368</v>
      </c>
      <c r="C379" t="s">
        <v>957</v>
      </c>
      <c r="D379" t="s">
        <v>958</v>
      </c>
    </row>
    <row r="380" spans="1:4" x14ac:dyDescent="0.2">
      <c r="A380"/>
      <c r="B380" s="1">
        <f t="shared" si="20"/>
        <v>369</v>
      </c>
      <c r="C380" t="s">
        <v>959</v>
      </c>
      <c r="D380" t="s">
        <v>960</v>
      </c>
    </row>
    <row r="381" spans="1:4" x14ac:dyDescent="0.2">
      <c r="A381"/>
      <c r="B381" s="1">
        <f t="shared" si="20"/>
        <v>370</v>
      </c>
      <c r="C381" t="s">
        <v>961</v>
      </c>
      <c r="D381" t="s">
        <v>962</v>
      </c>
    </row>
    <row r="382" spans="1:4" x14ac:dyDescent="0.2">
      <c r="A382"/>
      <c r="B382" s="1">
        <f t="shared" si="20"/>
        <v>371</v>
      </c>
      <c r="C382" t="s">
        <v>963</v>
      </c>
      <c r="D382" t="s">
        <v>964</v>
      </c>
    </row>
    <row r="383" spans="1:4" x14ac:dyDescent="0.2">
      <c r="A383"/>
      <c r="B383" s="1">
        <f t="shared" si="20"/>
        <v>372</v>
      </c>
      <c r="C383" t="s">
        <v>965</v>
      </c>
      <c r="D383" t="s">
        <v>966</v>
      </c>
    </row>
    <row r="384" spans="1:4" x14ac:dyDescent="0.2">
      <c r="A384"/>
      <c r="B384" s="1">
        <f t="shared" si="20"/>
        <v>373</v>
      </c>
      <c r="C384" t="s">
        <v>967</v>
      </c>
      <c r="D384" t="s">
        <v>968</v>
      </c>
    </row>
    <row r="385" spans="1:11" x14ac:dyDescent="0.2">
      <c r="A385"/>
      <c r="B385" s="1">
        <f t="shared" si="20"/>
        <v>374</v>
      </c>
      <c r="C385" t="s">
        <v>969</v>
      </c>
      <c r="D385" t="s">
        <v>970</v>
      </c>
    </row>
    <row r="386" spans="1:11" x14ac:dyDescent="0.2">
      <c r="A386"/>
      <c r="B386" s="1">
        <f t="shared" si="20"/>
        <v>375</v>
      </c>
      <c r="C386" t="s">
        <v>971</v>
      </c>
      <c r="D386" t="s">
        <v>972</v>
      </c>
    </row>
    <row r="387" spans="1:11" x14ac:dyDescent="0.2">
      <c r="A387"/>
      <c r="B387" s="1">
        <f t="shared" si="20"/>
        <v>376</v>
      </c>
      <c r="C387" t="s">
        <v>973</v>
      </c>
      <c r="D387" t="s">
        <v>974</v>
      </c>
    </row>
    <row r="388" spans="1:11" x14ac:dyDescent="0.2">
      <c r="A388"/>
      <c r="B388" s="1">
        <f t="shared" si="20"/>
        <v>377</v>
      </c>
      <c r="C388" t="s">
        <v>975</v>
      </c>
      <c r="D388" t="s">
        <v>976</v>
      </c>
    </row>
    <row r="389" spans="1:11" x14ac:dyDescent="0.2">
      <c r="A389"/>
      <c r="B389" s="1">
        <f t="shared" si="20"/>
        <v>378</v>
      </c>
      <c r="C389" t="s">
        <v>977</v>
      </c>
      <c r="D389" t="s">
        <v>978</v>
      </c>
    </row>
    <row r="390" spans="1:11" x14ac:dyDescent="0.2">
      <c r="A390"/>
      <c r="B390" s="1">
        <f t="shared" si="20"/>
        <v>379</v>
      </c>
      <c r="C390" t="s">
        <v>979</v>
      </c>
      <c r="D390" t="s">
        <v>980</v>
      </c>
    </row>
    <row r="391" spans="1:11" x14ac:dyDescent="0.2">
      <c r="A391"/>
      <c r="B391" s="1">
        <f t="shared" si="20"/>
        <v>380</v>
      </c>
      <c r="C391" t="s">
        <v>981</v>
      </c>
      <c r="D391" t="s">
        <v>982</v>
      </c>
    </row>
    <row r="392" spans="1:11" x14ac:dyDescent="0.2">
      <c r="A392"/>
      <c r="B392" s="1">
        <f t="shared" si="20"/>
        <v>381</v>
      </c>
      <c r="C392" t="s">
        <v>983</v>
      </c>
      <c r="D392" t="s">
        <v>984</v>
      </c>
    </row>
    <row r="393" spans="1:11" x14ac:dyDescent="0.2">
      <c r="A393"/>
      <c r="B393" s="1">
        <f t="shared" si="20"/>
        <v>382</v>
      </c>
      <c r="C393" t="s">
        <v>985</v>
      </c>
      <c r="D393" t="s">
        <v>986</v>
      </c>
    </row>
    <row r="394" spans="1:11" x14ac:dyDescent="0.2">
      <c r="A394"/>
      <c r="B394" s="1">
        <f t="shared" si="20"/>
        <v>383</v>
      </c>
      <c r="C394" t="s">
        <v>987</v>
      </c>
      <c r="D394" t="s">
        <v>988</v>
      </c>
    </row>
    <row r="395" spans="1:11" x14ac:dyDescent="0.2">
      <c r="A395"/>
      <c r="B395" s="1">
        <f t="shared" si="20"/>
        <v>384</v>
      </c>
      <c r="C395" t="s">
        <v>989</v>
      </c>
      <c r="D395" t="s">
        <v>990</v>
      </c>
    </row>
    <row r="396" spans="1:11" x14ac:dyDescent="0.2">
      <c r="B396" s="1">
        <f t="shared" si="20"/>
        <v>385</v>
      </c>
      <c r="C396" s="1" t="s">
        <v>1125</v>
      </c>
      <c r="D396" s="1" t="s">
        <v>1126</v>
      </c>
    </row>
    <row r="397" spans="1:11" x14ac:dyDescent="0.2">
      <c r="B397" s="1">
        <f t="shared" si="20"/>
        <v>386</v>
      </c>
      <c r="C397" s="5" t="s">
        <v>1127</v>
      </c>
      <c r="D397" t="s">
        <v>1128</v>
      </c>
      <c r="E397" s="7">
        <v>5</v>
      </c>
      <c r="F397" s="6">
        <f>+E397*J397</f>
        <v>216.57198499999998</v>
      </c>
      <c r="G397" s="6">
        <f>+[92]Main!$J$5-[92]Main!$J$6</f>
        <v>104.35299999999999</v>
      </c>
      <c r="H397" s="6">
        <f>+F397-G397</f>
        <v>112.21898499999999</v>
      </c>
      <c r="I397" s="3" t="s">
        <v>1100</v>
      </c>
      <c r="J397" s="6">
        <f>+[92]Main!$J$3</f>
        <v>43.314397</v>
      </c>
      <c r="K397" s="9">
        <v>45525</v>
      </c>
    </row>
    <row r="398" spans="1:11" x14ac:dyDescent="0.2">
      <c r="B398" s="1">
        <f t="shared" si="20"/>
        <v>387</v>
      </c>
      <c r="C398" s="42" t="s">
        <v>1158</v>
      </c>
      <c r="D398" s="1" t="s">
        <v>1159</v>
      </c>
      <c r="E398" s="7">
        <v>10.54</v>
      </c>
    </row>
  </sheetData>
  <sortState xmlns:xlrd2="http://schemas.microsoft.com/office/spreadsheetml/2017/richdata2" ref="A125:AC183">
    <sortCondition descending="1" ref="F125:F183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1" r:id="rId16" xr:uid="{6EF35D30-7113-4CE8-9077-C5BE97F74D36}"/>
    <hyperlink ref="C20" r:id="rId17" xr:uid="{1F769FA7-6B90-4B6B-9BCC-7D6679675B06}"/>
    <hyperlink ref="C27" r:id="rId18" xr:uid="{61277D68-67DC-475B-9B61-B7E2F3017110}"/>
    <hyperlink ref="C211" r:id="rId19" xr:uid="{14A63DAF-63A6-4B91-A2AF-AE28EA251457}"/>
    <hyperlink ref="C214" r:id="rId20" xr:uid="{4ACA7C7F-E42A-4687-A776-AB8065DB40FF}"/>
    <hyperlink ref="C210" r:id="rId21" xr:uid="{B3421391-7EC0-4253-8F62-5ED45A5BFA02}"/>
    <hyperlink ref="C215" r:id="rId22" xr:uid="{F6A45FC7-B73C-4143-9CAB-B3ADA19B5FD7}"/>
    <hyperlink ref="C212" r:id="rId23" xr:uid="{BBD267CB-7407-4913-9D05-6A6AA380019F}"/>
    <hyperlink ref="C217" r:id="rId24" xr:uid="{85368858-6D0F-4ABE-975C-AE5530342445}"/>
    <hyperlink ref="C208" r:id="rId25" xr:uid="{8B5BC1F5-14D4-45A0-B224-31FAF227EAF3}"/>
    <hyperlink ref="C216" r:id="rId26" xr:uid="{D5FB3BFE-F0A8-4C09-90A1-9F506EF0ADE4}"/>
    <hyperlink ref="C213" r:id="rId27" xr:uid="{11598046-2AED-42E7-ACA5-251A20A59427}"/>
    <hyperlink ref="C50" r:id="rId28" xr:uid="{A1C90F9B-FBBF-4C72-9A11-3798F692A0D2}"/>
    <hyperlink ref="C65" r:id="rId29" xr:uid="{F7B6503D-1F84-47C4-B87E-BDA7159D1B9F}"/>
    <hyperlink ref="C44" r:id="rId30" xr:uid="{D0EE43E7-C3F5-4256-99AE-DDCA9EC11DCF}"/>
    <hyperlink ref="C36" r:id="rId31" xr:uid="{1C25970A-A568-4869-A34A-5C6C7551D812}"/>
    <hyperlink ref="C185" r:id="rId32" xr:uid="{C3A06396-38CD-486E-9F4F-233A79292B4F}"/>
    <hyperlink ref="C108" r:id="rId33" xr:uid="{B83625D8-44D2-4842-9139-F29C8D5F2D8E}"/>
    <hyperlink ref="C187" r:id="rId34" xr:uid="{5FF32E6A-C6C7-4793-8271-BD230B9C7641}"/>
    <hyperlink ref="C61" r:id="rId35" xr:uid="{E5739E03-9FE4-4D05-90C8-36ABF7D078CB}"/>
    <hyperlink ref="C63" r:id="rId36" xr:uid="{25285F59-771C-40DB-8B78-E1E454C61406}"/>
    <hyperlink ref="C200" r:id="rId37" xr:uid="{C000061C-001D-4088-90A4-B672D181D3C5}"/>
    <hyperlink ref="C43" r:id="rId38" xr:uid="{6A1F812B-EA91-4B3C-B4DC-88F792A7D0DE}"/>
    <hyperlink ref="C67" r:id="rId39" xr:uid="{6930A656-C59A-465F-8634-B30B4FEF47BC}"/>
    <hyperlink ref="C80" r:id="rId40" xr:uid="{559FAD8A-D620-4B93-BE14-CC22630BD57E}"/>
    <hyperlink ref="C6" r:id="rId41" xr:uid="{467EEBCD-6BD7-4E71-B2C9-FCF3DB57F059}"/>
    <hyperlink ref="C209" r:id="rId42" xr:uid="{6A576FDB-A573-4A00-8381-4BECF13B35A1}"/>
    <hyperlink ref="C25" r:id="rId43" xr:uid="{994E2867-C411-41E7-8332-43A0B3B0CC2B}"/>
    <hyperlink ref="C118" r:id="rId44" xr:uid="{51C9506E-5D60-43F8-BADA-7F72A25DAFF6}"/>
    <hyperlink ref="C107" r:id="rId45" xr:uid="{9E4325F2-98CF-4735-96D0-66A9DC5A8E86}"/>
    <hyperlink ref="C188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3" r:id="rId51" xr:uid="{04E7711A-AB14-45D0-B73B-7EA804EC5564}"/>
    <hyperlink ref="C38" r:id="rId52" xr:uid="{76CA7CFE-7B9B-4C27-8561-3A158A30ED77}"/>
    <hyperlink ref="C11" r:id="rId53" xr:uid="{B0ABAFBD-FFC1-42E3-AFB4-259F4DD19FEC}"/>
    <hyperlink ref="C45" r:id="rId54" xr:uid="{F5D5A68A-4783-46B8-B717-79A0E802B6C4}"/>
    <hyperlink ref="C35" r:id="rId55" xr:uid="{DD930D2F-20A9-46C3-8AA4-5E62A88271DB}"/>
    <hyperlink ref="C37" r:id="rId56" xr:uid="{E248BEED-DD02-463E-BFAC-D02D5521E787}"/>
    <hyperlink ref="C40" r:id="rId57" xr:uid="{01444C35-CEE7-41B7-B694-AE47417B7019}"/>
    <hyperlink ref="C13" r:id="rId58" xr:uid="{57B03CDA-0325-4BAB-BDE9-EF73BAB7F2FB}"/>
    <hyperlink ref="C41" r:id="rId59" xr:uid="{BC97A7B7-8716-48D0-BA90-60A75E6A24CE}"/>
    <hyperlink ref="C39" r:id="rId60" xr:uid="{AD16E898-B1E4-4F25-8E21-E2BC1C6FE9AD}"/>
    <hyperlink ref="C55" r:id="rId61" xr:uid="{E9207892-DA1F-48D2-B2C3-EFA59FCA8A47}"/>
    <hyperlink ref="C66" r:id="rId62" xr:uid="{DE2D1DDB-B5B7-4055-B885-0CD9E7670070}"/>
    <hyperlink ref="C32" r:id="rId63" xr:uid="{9DD12163-063E-4F73-89A5-34D8E8AC0534}"/>
    <hyperlink ref="C59" r:id="rId64" xr:uid="{1D3A6A47-22C9-4CC1-94BD-20DE3BB08016}"/>
    <hyperlink ref="C57" r:id="rId65" xr:uid="{27FB3DB4-8430-405F-9558-F31A0B69ED5F}"/>
    <hyperlink ref="C54" r:id="rId66" xr:uid="{144D13FD-59BD-499B-A0B4-B06985623C68}"/>
    <hyperlink ref="C186" r:id="rId67" xr:uid="{E48CD1EB-CFA1-47B1-BD8B-09F09CDD4FA4}"/>
    <hyperlink ref="C106" r:id="rId68" xr:uid="{6E9AFF81-F520-4A86-9FC2-D5CFE68E7EB7}"/>
    <hyperlink ref="C62" r:id="rId69" xr:uid="{ED527D70-0B51-4151-8378-8C40B68FF19D}"/>
    <hyperlink ref="C42" r:id="rId70" xr:uid="{A902B26E-CA39-4DC5-9F23-4459D8D315E8}"/>
    <hyperlink ref="C49" r:id="rId71" xr:uid="{5F0313F8-3376-4F67-9822-E1412CAA5959}"/>
    <hyperlink ref="C105" r:id="rId72" xr:uid="{AE3A3FD9-E651-4A72-81DB-B29CC61B516B}"/>
    <hyperlink ref="C56" r:id="rId73" xr:uid="{6FA4EBE7-4729-4097-A12F-CAD4CB58FFA6}"/>
    <hyperlink ref="C110" r:id="rId74" xr:uid="{C6F461C3-F385-4BE1-8914-0B22F9A9FF52}"/>
    <hyperlink ref="C47" r:id="rId75" xr:uid="{98D02B7D-F218-457E-B156-7FE773CF515A}"/>
    <hyperlink ref="C46" r:id="rId76" xr:uid="{02CB6FD9-C55D-44A1-9F2E-6A96A222EE6B}"/>
    <hyperlink ref="C64" r:id="rId77" xr:uid="{C691BA46-1169-4CAF-84E5-2A83E1B5404A}"/>
    <hyperlink ref="C48" r:id="rId78" xr:uid="{425EA3DE-2A59-4B96-B380-B688A4EDE233}"/>
    <hyperlink ref="C52" r:id="rId79" xr:uid="{1F24E207-02BC-4A1F-B083-69F8E95AC067}"/>
    <hyperlink ref="C58" r:id="rId80" xr:uid="{CE56D1ED-1CAA-4667-A3D9-82426599D26C}"/>
    <hyperlink ref="C28" r:id="rId81" xr:uid="{A79848CD-7CC3-4C10-B9EC-DDD33362E673}"/>
    <hyperlink ref="C109" r:id="rId82" xr:uid="{ED810682-5208-4265-9E0E-6746A399EA34}"/>
    <hyperlink ref="C117" r:id="rId83" xr:uid="{44DEB74A-F098-4876-A279-D1E6237DF8DB}"/>
    <hyperlink ref="C60" r:id="rId84" xr:uid="{ADF59BEC-B8D8-4144-ADEB-041425B69409}"/>
    <hyperlink ref="C291" r:id="rId85" xr:uid="{69AB4316-2FED-44FC-B108-3CD00D6F57B9}"/>
    <hyperlink ref="C290" r:id="rId86" xr:uid="{172C358D-5501-4447-9FDE-DA046F6FED55}"/>
    <hyperlink ref="C147" r:id="rId87" xr:uid="{D181F941-FF02-423B-9F90-890B434046DD}"/>
    <hyperlink ref="C148" r:id="rId88" xr:uid="{1924D31B-B6B9-4CB2-936E-0F68E40FA2F5}"/>
    <hyperlink ref="C116" r:id="rId89" xr:uid="{8E97DA51-E6CD-4B11-B6F8-BD0A3CC93541}"/>
    <hyperlink ref="C103" r:id="rId90" xr:uid="{BACD6400-1341-654E-A5B2-576C65F8052B}"/>
    <hyperlink ref="C325" r:id="rId91" xr:uid="{C4CF7488-CAF7-4516-AB24-0FC50F0916A3}"/>
    <hyperlink ref="C104" r:id="rId92" xr:uid="{2B6C4E35-2657-4D1A-8D80-C54F892964F4}"/>
    <hyperlink ref="C10" r:id="rId93" xr:uid="{D4CC8F9A-CC3B-EE41-860B-629E01D90BFD}"/>
    <hyperlink ref="C397" r:id="rId94" xr:uid="{C4EB2FD5-19C2-4B46-A645-6A4B58B3BF48}"/>
    <hyperlink ref="C18" r:id="rId95" xr:uid="{29212F29-BB24-1048-9B2F-FC0168C49234}"/>
    <hyperlink ref="C184" r:id="rId96" xr:uid="{E2D5EE7E-5721-5749-A98C-474C4C00D036}"/>
    <hyperlink ref="C24" r:id="rId97" xr:uid="{AA34EED3-260C-48F6-B18F-9CB2123B2DB8}"/>
    <hyperlink ref="C34" r:id="rId98" xr:uid="{3556B95F-6CC1-4165-90C0-F95B358B441D}"/>
    <hyperlink ref="C398" r:id="rId99" xr:uid="{E9466C79-B428-4906-B5D4-8A65E345C46A}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17"/>
  <sheetViews>
    <sheetView zoomScale="160" zoomScaleNormal="160" workbookViewId="0"/>
  </sheetViews>
  <sheetFormatPr defaultRowHeight="12.75" x14ac:dyDescent="0.2"/>
  <sheetData>
    <row r="2" spans="2:2" x14ac:dyDescent="0.2">
      <c r="B2" t="s">
        <v>1160</v>
      </c>
    </row>
    <row r="3" spans="2:2" x14ac:dyDescent="0.2">
      <c r="B3" t="s">
        <v>1161</v>
      </c>
    </row>
    <row r="4" spans="2:2" x14ac:dyDescent="0.2">
      <c r="B4" t="s">
        <v>1162</v>
      </c>
    </row>
    <row r="5" spans="2:2" x14ac:dyDescent="0.2">
      <c r="B5" t="s">
        <v>1163</v>
      </c>
    </row>
    <row r="6" spans="2:2" x14ac:dyDescent="0.2">
      <c r="B6" t="s">
        <v>159</v>
      </c>
    </row>
    <row r="7" spans="2:2" x14ac:dyDescent="0.2">
      <c r="B7" t="s">
        <v>1164</v>
      </c>
    </row>
    <row r="8" spans="2:2" x14ac:dyDescent="0.2">
      <c r="B8" t="s">
        <v>239</v>
      </c>
    </row>
    <row r="9" spans="2:2" x14ac:dyDescent="0.2">
      <c r="B9" t="s">
        <v>1165</v>
      </c>
    </row>
    <row r="10" spans="2:2" x14ac:dyDescent="0.2">
      <c r="B10" t="s">
        <v>1166</v>
      </c>
    </row>
    <row r="11" spans="2:2" x14ac:dyDescent="0.2">
      <c r="B11" t="s">
        <v>1167</v>
      </c>
    </row>
    <row r="12" spans="2:2" x14ac:dyDescent="0.2">
      <c r="B12" t="s">
        <v>1168</v>
      </c>
    </row>
    <row r="13" spans="2:2" x14ac:dyDescent="0.2">
      <c r="B13" t="s">
        <v>1169</v>
      </c>
    </row>
    <row r="14" spans="2:2" x14ac:dyDescent="0.2">
      <c r="B14" t="s">
        <v>1170</v>
      </c>
    </row>
    <row r="15" spans="2:2" x14ac:dyDescent="0.2">
      <c r="B15" t="s">
        <v>1171</v>
      </c>
    </row>
    <row r="16" spans="2:2" x14ac:dyDescent="0.2">
      <c r="B16" t="s">
        <v>1172</v>
      </c>
    </row>
    <row r="17" spans="2:2" x14ac:dyDescent="0.2">
      <c r="B17" t="s">
        <v>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290</v>
      </c>
    </row>
    <row r="2" spans="1:7" x14ac:dyDescent="0.2">
      <c r="B2" t="s">
        <v>1036</v>
      </c>
      <c r="C2" t="s">
        <v>336</v>
      </c>
      <c r="D2" t="s">
        <v>1041</v>
      </c>
      <c r="E2" t="s">
        <v>9</v>
      </c>
      <c r="F2" t="s">
        <v>1038</v>
      </c>
      <c r="G2" t="s">
        <v>1046</v>
      </c>
    </row>
    <row r="3" spans="1:7" x14ac:dyDescent="0.2">
      <c r="B3" t="s">
        <v>1037</v>
      </c>
    </row>
    <row r="4" spans="1:7" x14ac:dyDescent="0.2">
      <c r="B4" t="s">
        <v>148</v>
      </c>
      <c r="C4" s="13">
        <v>45079</v>
      </c>
      <c r="D4" s="13" t="s">
        <v>1039</v>
      </c>
      <c r="E4">
        <v>40.96</v>
      </c>
      <c r="F4">
        <v>8</v>
      </c>
      <c r="G4">
        <v>41.85</v>
      </c>
    </row>
    <row r="5" spans="1:7" x14ac:dyDescent="0.2">
      <c r="B5" t="s">
        <v>1034</v>
      </c>
      <c r="C5" s="13">
        <v>45079</v>
      </c>
      <c r="D5" s="13" t="s">
        <v>1039</v>
      </c>
      <c r="E5">
        <v>14.37</v>
      </c>
      <c r="F5">
        <v>3</v>
      </c>
      <c r="G5">
        <v>19.21</v>
      </c>
    </row>
    <row r="6" spans="1:7" x14ac:dyDescent="0.2">
      <c r="B6" t="s">
        <v>1035</v>
      </c>
      <c r="C6" s="13">
        <v>45079</v>
      </c>
      <c r="D6" s="13" t="s">
        <v>1039</v>
      </c>
      <c r="E6">
        <v>63.96</v>
      </c>
      <c r="F6">
        <v>3</v>
      </c>
      <c r="G6">
        <v>68.19</v>
      </c>
    </row>
    <row r="7" spans="1:7" x14ac:dyDescent="0.2">
      <c r="B7" t="s">
        <v>798</v>
      </c>
      <c r="C7" s="13">
        <v>45079</v>
      </c>
      <c r="D7" s="13" t="s">
        <v>1040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290</v>
      </c>
    </row>
    <row r="2" spans="1:109" x14ac:dyDescent="0.2">
      <c r="B2" t="s">
        <v>1123</v>
      </c>
      <c r="C2" t="s">
        <v>647</v>
      </c>
      <c r="D2" t="s">
        <v>644</v>
      </c>
      <c r="E2" s="28" t="s">
        <v>1114</v>
      </c>
      <c r="F2" s="28" t="s">
        <v>1115</v>
      </c>
      <c r="G2" s="28" t="s">
        <v>1116</v>
      </c>
      <c r="H2" s="28" t="s">
        <v>1119</v>
      </c>
      <c r="I2" s="28" t="s">
        <v>1120</v>
      </c>
      <c r="J2" s="28" t="s">
        <v>1121</v>
      </c>
      <c r="K2" s="28" t="s">
        <v>1122</v>
      </c>
      <c r="M2" s="28" t="s">
        <v>637</v>
      </c>
      <c r="N2" s="28" t="s">
        <v>638</v>
      </c>
      <c r="O2" s="28" t="s">
        <v>639</v>
      </c>
      <c r="P2" s="28" t="s">
        <v>640</v>
      </c>
      <c r="Q2" s="28" t="s">
        <v>641</v>
      </c>
      <c r="R2" s="28" t="s">
        <v>642</v>
      </c>
      <c r="S2" s="28" t="s">
        <v>1070</v>
      </c>
      <c r="T2" s="28" t="s">
        <v>1071</v>
      </c>
      <c r="U2" s="28" t="s">
        <v>1072</v>
      </c>
      <c r="V2" s="28" t="s">
        <v>1073</v>
      </c>
      <c r="W2" s="28" t="s">
        <v>1074</v>
      </c>
      <c r="X2" s="28" t="s">
        <v>1075</v>
      </c>
      <c r="Y2" s="28" t="s">
        <v>1079</v>
      </c>
      <c r="Z2" s="28" t="s">
        <v>1080</v>
      </c>
      <c r="AA2" s="28" t="s">
        <v>1081</v>
      </c>
      <c r="AB2" s="28" t="s">
        <v>1082</v>
      </c>
      <c r="AC2" s="28" t="s">
        <v>1101</v>
      </c>
      <c r="AD2" s="28" t="s">
        <v>1102</v>
      </c>
      <c r="AE2" s="28" t="s">
        <v>1103</v>
      </c>
      <c r="AF2" s="28" t="s">
        <v>1104</v>
      </c>
      <c r="AG2" s="28" t="s">
        <v>1105</v>
      </c>
      <c r="AH2" s="28" t="s">
        <v>1106</v>
      </c>
      <c r="AI2" s="28" t="s">
        <v>1107</v>
      </c>
      <c r="AJ2" s="28" t="s">
        <v>1108</v>
      </c>
      <c r="AK2" s="28" t="s">
        <v>1109</v>
      </c>
      <c r="AL2" s="28" t="s">
        <v>1110</v>
      </c>
      <c r="AM2" s="28" t="s">
        <v>1111</v>
      </c>
      <c r="AN2" s="28" t="s">
        <v>1112</v>
      </c>
      <c r="AO2" s="28" t="s">
        <v>1113</v>
      </c>
    </row>
    <row r="3" spans="1:109" x14ac:dyDescent="0.2">
      <c r="B3" t="s">
        <v>1076</v>
      </c>
      <c r="C3" t="s">
        <v>1077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643</v>
      </c>
      <c r="C4" t="s">
        <v>20</v>
      </c>
      <c r="D4" t="s">
        <v>645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667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671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1117</v>
      </c>
      <c r="C7" t="s">
        <v>1118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665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660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1124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654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663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668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669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664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666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674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652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648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670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662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656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659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646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658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672</v>
      </c>
      <c r="C26" t="s">
        <v>673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650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649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651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653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655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657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1129</v>
      </c>
      <c r="C33" t="s">
        <v>31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1130</v>
      </c>
      <c r="C34" t="s">
        <v>31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1131</v>
      </c>
      <c r="C35" t="s">
        <v>31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1132</v>
      </c>
      <c r="C36" t="s">
        <v>31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1133</v>
      </c>
      <c r="C37" t="s">
        <v>31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1134</v>
      </c>
      <c r="C38" t="s">
        <v>31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1135</v>
      </c>
      <c r="C39" t="s">
        <v>31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1136</v>
      </c>
      <c r="C40" t="s">
        <v>31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1137</v>
      </c>
      <c r="C41" t="s">
        <v>31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1138</v>
      </c>
      <c r="C42" t="s">
        <v>31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1139</v>
      </c>
      <c r="C43" t="s">
        <v>31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1140</v>
      </c>
      <c r="C44" t="s">
        <v>31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1078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265</v>
      </c>
      <c r="D3" t="s">
        <v>266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Main!B40+1</f>
        <v>32</v>
      </c>
      <c r="C4" t="s">
        <v>271</v>
      </c>
      <c r="D4" t="s">
        <v>272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340</v>
      </c>
      <c r="B5" s="1">
        <f>Main!B32+1</f>
        <v>24</v>
      </c>
      <c r="C5" t="s">
        <v>282</v>
      </c>
      <c r="D5" t="s">
        <v>283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409</v>
      </c>
      <c r="D6" t="s">
        <v>410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411</v>
      </c>
      <c r="D7" t="s">
        <v>412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46</v>
      </c>
      <c r="C8" t="s">
        <v>417</v>
      </c>
      <c r="D8" t="s">
        <v>418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47</v>
      </c>
      <c r="C9" t="s">
        <v>419</v>
      </c>
      <c r="D9" t="s">
        <v>420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340</v>
      </c>
      <c r="B10" s="1">
        <f>Main!B76+1</f>
        <v>66</v>
      </c>
      <c r="C10" t="s">
        <v>366</v>
      </c>
      <c r="D10" t="s">
        <v>367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606</v>
      </c>
      <c r="D11" t="s">
        <v>607</v>
      </c>
    </row>
    <row r="12" spans="1:28" x14ac:dyDescent="0.2">
      <c r="C12" t="s">
        <v>445</v>
      </c>
      <c r="D12" s="23" t="s">
        <v>703</v>
      </c>
      <c r="E12" s="3">
        <v>27.98</v>
      </c>
      <c r="F12" s="6" cm="1">
        <f t="array" ref="F12">40290/CNY</f>
        <v>5951.2555391432797</v>
      </c>
    </row>
    <row r="13" spans="1:28" x14ac:dyDescent="0.2">
      <c r="C13" t="s">
        <v>1091</v>
      </c>
      <c r="D13" t="s">
        <v>1092</v>
      </c>
    </row>
    <row r="14" spans="1:28" x14ac:dyDescent="0.2">
      <c r="C14" t="s">
        <v>387</v>
      </c>
      <c r="D14" t="s">
        <v>388</v>
      </c>
    </row>
    <row r="15" spans="1:28" x14ac:dyDescent="0.2">
      <c r="B15" s="1"/>
      <c r="C15" s="1" t="s">
        <v>1146</v>
      </c>
      <c r="D15" t="s">
        <v>1147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3" sqref="C3"/>
    </sheetView>
  </sheetViews>
  <sheetFormatPr defaultColWidth="8.85546875" defaultRowHeight="12.75" x14ac:dyDescent="0.2"/>
  <cols>
    <col min="1" max="1" width="4.85546875" bestFit="1" customWidth="1"/>
  </cols>
  <sheetData>
    <row r="1" spans="1:3" x14ac:dyDescent="0.2">
      <c r="A1" s="5" t="s">
        <v>290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380</v>
      </c>
      <c r="C7">
        <v>145.25</v>
      </c>
    </row>
    <row r="8" spans="1:3" x14ac:dyDescent="0.2">
      <c r="B8" t="s">
        <v>403</v>
      </c>
      <c r="C8">
        <v>7.85</v>
      </c>
    </row>
    <row r="9" spans="1:3" x14ac:dyDescent="0.2">
      <c r="B9" t="s">
        <v>405</v>
      </c>
      <c r="C9">
        <v>1433</v>
      </c>
    </row>
    <row r="10" spans="1:3" x14ac:dyDescent="0.2">
      <c r="B10" t="s">
        <v>441</v>
      </c>
      <c r="C10">
        <v>82.55</v>
      </c>
    </row>
    <row r="11" spans="1:3" x14ac:dyDescent="0.2">
      <c r="B11" t="s">
        <v>446</v>
      </c>
      <c r="C11">
        <v>6.77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290</v>
      </c>
    </row>
    <row r="2" spans="1:10" x14ac:dyDescent="0.2">
      <c r="B2" t="s">
        <v>1</v>
      </c>
      <c r="C2" t="s">
        <v>2</v>
      </c>
      <c r="D2" t="s">
        <v>288</v>
      </c>
      <c r="E2" t="s">
        <v>330</v>
      </c>
      <c r="F2" t="s">
        <v>332</v>
      </c>
      <c r="G2" t="s">
        <v>333</v>
      </c>
      <c r="H2" s="28" t="s">
        <v>336</v>
      </c>
      <c r="I2" t="s">
        <v>434</v>
      </c>
      <c r="J2" t="s">
        <v>1053</v>
      </c>
    </row>
    <row r="3" spans="1:10" x14ac:dyDescent="0.2">
      <c r="B3" t="s">
        <v>510</v>
      </c>
      <c r="E3" t="s">
        <v>331</v>
      </c>
      <c r="F3">
        <v>3000</v>
      </c>
      <c r="G3" t="s">
        <v>511</v>
      </c>
    </row>
    <row r="4" spans="1:10" x14ac:dyDescent="0.2">
      <c r="B4" t="s">
        <v>489</v>
      </c>
      <c r="E4" t="s">
        <v>625</v>
      </c>
      <c r="F4">
        <v>401</v>
      </c>
      <c r="G4" t="s">
        <v>1048</v>
      </c>
      <c r="H4" s="38">
        <v>45070</v>
      </c>
    </row>
    <row r="5" spans="1:10" x14ac:dyDescent="0.2">
      <c r="B5" t="s">
        <v>451</v>
      </c>
      <c r="C5">
        <v>2018</v>
      </c>
      <c r="D5" t="s">
        <v>452</v>
      </c>
      <c r="E5" t="s">
        <v>399</v>
      </c>
      <c r="F5">
        <v>400</v>
      </c>
    </row>
    <row r="6" spans="1:10" x14ac:dyDescent="0.2">
      <c r="B6" t="s">
        <v>507</v>
      </c>
      <c r="E6" t="s">
        <v>331</v>
      </c>
      <c r="F6">
        <v>350</v>
      </c>
      <c r="G6" t="s">
        <v>1060</v>
      </c>
      <c r="H6" s="38">
        <v>44754</v>
      </c>
    </row>
    <row r="7" spans="1:10" x14ac:dyDescent="0.2">
      <c r="B7" t="s">
        <v>467</v>
      </c>
      <c r="C7">
        <v>2018</v>
      </c>
      <c r="E7" t="s">
        <v>399</v>
      </c>
      <c r="F7">
        <v>300</v>
      </c>
      <c r="G7" t="s">
        <v>1051</v>
      </c>
      <c r="J7">
        <v>1700</v>
      </c>
    </row>
    <row r="8" spans="1:10" x14ac:dyDescent="0.2">
      <c r="B8" t="s">
        <v>1066</v>
      </c>
      <c r="E8" t="s">
        <v>331</v>
      </c>
      <c r="F8">
        <v>290</v>
      </c>
      <c r="G8" t="s">
        <v>1067</v>
      </c>
      <c r="H8" s="38">
        <v>45400</v>
      </c>
    </row>
    <row r="9" spans="1:10" x14ac:dyDescent="0.2">
      <c r="B9" t="s">
        <v>462</v>
      </c>
      <c r="E9" t="s">
        <v>614</v>
      </c>
      <c r="F9">
        <v>221</v>
      </c>
      <c r="G9" t="s">
        <v>1051</v>
      </c>
      <c r="H9" s="38">
        <v>44670</v>
      </c>
    </row>
    <row r="10" spans="1:10" x14ac:dyDescent="0.2">
      <c r="B10" t="s">
        <v>487</v>
      </c>
    </row>
    <row r="11" spans="1:10" x14ac:dyDescent="0.2">
      <c r="B11" t="s">
        <v>488</v>
      </c>
    </row>
    <row r="12" spans="1:10" x14ac:dyDescent="0.2">
      <c r="B12" t="s">
        <v>490</v>
      </c>
      <c r="C12">
        <v>2019</v>
      </c>
      <c r="I12" t="s">
        <v>513</v>
      </c>
    </row>
    <row r="13" spans="1:10" x14ac:dyDescent="0.2">
      <c r="B13" t="s">
        <v>491</v>
      </c>
    </row>
    <row r="14" spans="1:10" x14ac:dyDescent="0.2">
      <c r="B14" t="s">
        <v>492</v>
      </c>
    </row>
    <row r="15" spans="1:10" x14ac:dyDescent="0.2">
      <c r="B15" t="s">
        <v>493</v>
      </c>
    </row>
    <row r="16" spans="1:10" x14ac:dyDescent="0.2">
      <c r="B16" t="s">
        <v>494</v>
      </c>
      <c r="E16" t="s">
        <v>399</v>
      </c>
      <c r="F16">
        <v>270</v>
      </c>
      <c r="G16" t="s">
        <v>1141</v>
      </c>
      <c r="H16" s="38">
        <v>44697</v>
      </c>
    </row>
    <row r="17" spans="2:9" x14ac:dyDescent="0.2">
      <c r="B17" t="s">
        <v>495</v>
      </c>
    </row>
    <row r="18" spans="2:9" x14ac:dyDescent="0.2">
      <c r="B18" t="s">
        <v>1019</v>
      </c>
      <c r="C18">
        <v>2020</v>
      </c>
      <c r="E18" t="s">
        <v>614</v>
      </c>
      <c r="F18">
        <v>150</v>
      </c>
      <c r="H18" s="38">
        <v>44657</v>
      </c>
      <c r="I18" t="s">
        <v>1020</v>
      </c>
    </row>
    <row r="19" spans="2:9" x14ac:dyDescent="0.2">
      <c r="B19" t="s">
        <v>496</v>
      </c>
    </row>
    <row r="20" spans="2:9" x14ac:dyDescent="0.2">
      <c r="B20" t="s">
        <v>1142</v>
      </c>
      <c r="E20" t="s">
        <v>614</v>
      </c>
      <c r="F20">
        <v>110</v>
      </c>
    </row>
    <row r="21" spans="2:9" x14ac:dyDescent="0.2">
      <c r="B21" t="s">
        <v>497</v>
      </c>
      <c r="C21">
        <v>2018</v>
      </c>
      <c r="E21" t="s">
        <v>625</v>
      </c>
      <c r="F21">
        <v>160</v>
      </c>
      <c r="G21" t="s">
        <v>628</v>
      </c>
      <c r="H21" s="38">
        <v>44817</v>
      </c>
      <c r="I21" t="s">
        <v>624</v>
      </c>
    </row>
    <row r="22" spans="2:9" x14ac:dyDescent="0.2">
      <c r="B22" t="s">
        <v>497</v>
      </c>
      <c r="C22">
        <v>2018</v>
      </c>
      <c r="E22" t="s">
        <v>399</v>
      </c>
      <c r="F22">
        <v>108</v>
      </c>
      <c r="G22" t="s">
        <v>627</v>
      </c>
      <c r="H22" s="38">
        <v>44362</v>
      </c>
    </row>
    <row r="23" spans="2:9" x14ac:dyDescent="0.2">
      <c r="B23" t="s">
        <v>497</v>
      </c>
      <c r="C23">
        <v>2018</v>
      </c>
      <c r="E23" t="s">
        <v>614</v>
      </c>
      <c r="F23">
        <v>105</v>
      </c>
      <c r="G23" t="s">
        <v>627</v>
      </c>
      <c r="H23" s="38">
        <v>44173</v>
      </c>
    </row>
    <row r="24" spans="2:9" x14ac:dyDescent="0.2">
      <c r="B24" t="s">
        <v>497</v>
      </c>
      <c r="C24">
        <v>2018</v>
      </c>
      <c r="E24" t="s">
        <v>331</v>
      </c>
      <c r="F24">
        <v>45</v>
      </c>
      <c r="G24" t="s">
        <v>626</v>
      </c>
      <c r="H24" s="38">
        <v>44118</v>
      </c>
    </row>
    <row r="25" spans="2:9" x14ac:dyDescent="0.2">
      <c r="H25" s="38"/>
    </row>
    <row r="26" spans="2:9" x14ac:dyDescent="0.2">
      <c r="B26" t="s">
        <v>398</v>
      </c>
      <c r="E26" t="s">
        <v>1063</v>
      </c>
      <c r="F26">
        <v>145</v>
      </c>
      <c r="G26" t="s">
        <v>1064</v>
      </c>
      <c r="H26" s="38">
        <v>45352</v>
      </c>
    </row>
    <row r="27" spans="2:9" x14ac:dyDescent="0.2">
      <c r="B27" t="s">
        <v>398</v>
      </c>
      <c r="E27" t="s">
        <v>625</v>
      </c>
      <c r="F27">
        <v>178</v>
      </c>
      <c r="G27" t="s">
        <v>1065</v>
      </c>
      <c r="H27" s="38">
        <v>44886</v>
      </c>
    </row>
    <row r="28" spans="2:9" x14ac:dyDescent="0.2">
      <c r="B28" t="s">
        <v>398</v>
      </c>
      <c r="E28" t="s">
        <v>399</v>
      </c>
      <c r="F28">
        <v>107</v>
      </c>
      <c r="I28" t="s">
        <v>400</v>
      </c>
    </row>
    <row r="31" spans="2:9" x14ac:dyDescent="0.2">
      <c r="B31" t="s">
        <v>1056</v>
      </c>
      <c r="E31" t="s">
        <v>614</v>
      </c>
      <c r="F31">
        <v>75</v>
      </c>
      <c r="G31" t="s">
        <v>1057</v>
      </c>
      <c r="H31" s="38">
        <v>45308</v>
      </c>
    </row>
    <row r="32" spans="2:9" x14ac:dyDescent="0.2">
      <c r="B32" t="s">
        <v>1058</v>
      </c>
      <c r="E32" t="s">
        <v>399</v>
      </c>
      <c r="F32">
        <v>75</v>
      </c>
      <c r="G32" t="s">
        <v>1059</v>
      </c>
      <c r="H32" s="38">
        <v>45314</v>
      </c>
    </row>
    <row r="33" spans="2:8" x14ac:dyDescent="0.2">
      <c r="B33" t="s">
        <v>1143</v>
      </c>
      <c r="H33" s="38"/>
    </row>
    <row r="34" spans="2:8" x14ac:dyDescent="0.2">
      <c r="B34" t="s">
        <v>498</v>
      </c>
      <c r="E34" t="s">
        <v>399</v>
      </c>
      <c r="F34">
        <v>259</v>
      </c>
    </row>
    <row r="35" spans="2:8" x14ac:dyDescent="0.2">
      <c r="B35" t="s">
        <v>499</v>
      </c>
    </row>
    <row r="36" spans="2:8" x14ac:dyDescent="0.2">
      <c r="B36" t="s">
        <v>500</v>
      </c>
    </row>
    <row r="37" spans="2:8" x14ac:dyDescent="0.2">
      <c r="B37" t="s">
        <v>501</v>
      </c>
    </row>
    <row r="38" spans="2:8" x14ac:dyDescent="0.2">
      <c r="B38" t="s">
        <v>502</v>
      </c>
    </row>
    <row r="39" spans="2:8" x14ac:dyDescent="0.2">
      <c r="B39" t="s">
        <v>503</v>
      </c>
    </row>
    <row r="40" spans="2:8" x14ac:dyDescent="0.2">
      <c r="B40" t="s">
        <v>1026</v>
      </c>
      <c r="C40">
        <v>2021</v>
      </c>
      <c r="F40">
        <v>20</v>
      </c>
      <c r="H40" s="38">
        <v>45030</v>
      </c>
    </row>
    <row r="41" spans="2:8" x14ac:dyDescent="0.2">
      <c r="B41" t="s">
        <v>1027</v>
      </c>
      <c r="C41">
        <v>2020</v>
      </c>
      <c r="F41">
        <v>20</v>
      </c>
      <c r="H41" s="38">
        <v>44987</v>
      </c>
    </row>
    <row r="42" spans="2:8" x14ac:dyDescent="0.2">
      <c r="B42" t="s">
        <v>1025</v>
      </c>
    </row>
    <row r="43" spans="2:8" x14ac:dyDescent="0.2">
      <c r="B43" t="s">
        <v>1028</v>
      </c>
      <c r="C43" s="13">
        <v>44188</v>
      </c>
      <c r="F43">
        <v>19</v>
      </c>
      <c r="H43" s="38">
        <v>44545</v>
      </c>
    </row>
    <row r="44" spans="2:8" x14ac:dyDescent="0.2">
      <c r="B44" t="s">
        <v>1061</v>
      </c>
      <c r="C44" s="13"/>
      <c r="E44" t="s">
        <v>331</v>
      </c>
      <c r="F44">
        <v>16.8</v>
      </c>
      <c r="G44" t="s">
        <v>1062</v>
      </c>
      <c r="H44" s="38">
        <v>45349</v>
      </c>
    </row>
    <row r="45" spans="2:8" x14ac:dyDescent="0.2">
      <c r="B45" t="s">
        <v>1054</v>
      </c>
      <c r="C45" s="13"/>
      <c r="E45" t="s">
        <v>331</v>
      </c>
      <c r="F45">
        <v>14</v>
      </c>
      <c r="G45" t="s">
        <v>1055</v>
      </c>
      <c r="H45" s="38">
        <v>45307</v>
      </c>
    </row>
    <row r="46" spans="2:8" x14ac:dyDescent="0.2">
      <c r="B46" t="s">
        <v>504</v>
      </c>
    </row>
    <row r="47" spans="2:8" x14ac:dyDescent="0.2">
      <c r="B47" t="s">
        <v>1024</v>
      </c>
    </row>
    <row r="48" spans="2:8" x14ac:dyDescent="0.2">
      <c r="B48" t="s">
        <v>505</v>
      </c>
    </row>
    <row r="49" spans="2:6" x14ac:dyDescent="0.2">
      <c r="B49" t="s">
        <v>506</v>
      </c>
    </row>
    <row r="50" spans="2:6" x14ac:dyDescent="0.2">
      <c r="B50" t="s">
        <v>454</v>
      </c>
    </row>
    <row r="51" spans="2:6" x14ac:dyDescent="0.2">
      <c r="B51" t="s">
        <v>455</v>
      </c>
    </row>
    <row r="52" spans="2:6" x14ac:dyDescent="0.2">
      <c r="B52" t="s">
        <v>456</v>
      </c>
    </row>
    <row r="53" spans="2:6" x14ac:dyDescent="0.2">
      <c r="B53" t="s">
        <v>457</v>
      </c>
    </row>
    <row r="54" spans="2:6" x14ac:dyDescent="0.2">
      <c r="B54" t="s">
        <v>458</v>
      </c>
    </row>
    <row r="55" spans="2:6" x14ac:dyDescent="0.2">
      <c r="B55" t="s">
        <v>460</v>
      </c>
    </row>
    <row r="56" spans="2:6" x14ac:dyDescent="0.2">
      <c r="B56" t="s">
        <v>459</v>
      </c>
    </row>
    <row r="57" spans="2:6" x14ac:dyDescent="0.2">
      <c r="B57" t="s">
        <v>461</v>
      </c>
      <c r="E57" t="s">
        <v>614</v>
      </c>
      <c r="F57">
        <v>500</v>
      </c>
    </row>
    <row r="58" spans="2:6" x14ac:dyDescent="0.2">
      <c r="B58" t="s">
        <v>463</v>
      </c>
    </row>
    <row r="59" spans="2:6" x14ac:dyDescent="0.2">
      <c r="B59" t="s">
        <v>464</v>
      </c>
    </row>
    <row r="60" spans="2:6" x14ac:dyDescent="0.2">
      <c r="B60" t="s">
        <v>465</v>
      </c>
    </row>
    <row r="61" spans="2:6" x14ac:dyDescent="0.2">
      <c r="B61" t="s">
        <v>466</v>
      </c>
    </row>
    <row r="62" spans="2:6" x14ac:dyDescent="0.2">
      <c r="B62" t="s">
        <v>483</v>
      </c>
    </row>
    <row r="63" spans="2:6" x14ac:dyDescent="0.2">
      <c r="B63" t="s">
        <v>484</v>
      </c>
    </row>
    <row r="64" spans="2:6" x14ac:dyDescent="0.2">
      <c r="B64" t="s">
        <v>486</v>
      </c>
    </row>
    <row r="65" spans="2:6" x14ac:dyDescent="0.2">
      <c r="B65" t="s">
        <v>485</v>
      </c>
    </row>
    <row r="66" spans="2:6" x14ac:dyDescent="0.2">
      <c r="B66" t="s">
        <v>468</v>
      </c>
    </row>
    <row r="67" spans="2:6" x14ac:dyDescent="0.2">
      <c r="B67" t="s">
        <v>469</v>
      </c>
    </row>
    <row r="68" spans="2:6" x14ac:dyDescent="0.2">
      <c r="B68" t="s">
        <v>471</v>
      </c>
    </row>
    <row r="69" spans="2:6" x14ac:dyDescent="0.2">
      <c r="B69" t="s">
        <v>472</v>
      </c>
    </row>
    <row r="70" spans="2:6" x14ac:dyDescent="0.2">
      <c r="B70" t="s">
        <v>473</v>
      </c>
    </row>
    <row r="71" spans="2:6" x14ac:dyDescent="0.2">
      <c r="B71" t="s">
        <v>474</v>
      </c>
    </row>
    <row r="72" spans="2:6" x14ac:dyDescent="0.2">
      <c r="B72" t="s">
        <v>476</v>
      </c>
    </row>
    <row r="73" spans="2:6" x14ac:dyDescent="0.2">
      <c r="B73" t="s">
        <v>477</v>
      </c>
    </row>
    <row r="74" spans="2:6" x14ac:dyDescent="0.2">
      <c r="B74" t="s">
        <v>478</v>
      </c>
    </row>
    <row r="75" spans="2:6" x14ac:dyDescent="0.2">
      <c r="B75" t="s">
        <v>479</v>
      </c>
    </row>
    <row r="76" spans="2:6" x14ac:dyDescent="0.2">
      <c r="B76" t="s">
        <v>480</v>
      </c>
      <c r="E76" t="s">
        <v>614</v>
      </c>
      <c r="F76" t="s">
        <v>1021</v>
      </c>
    </row>
    <row r="77" spans="2:6" x14ac:dyDescent="0.2">
      <c r="B77" t="s">
        <v>1022</v>
      </c>
      <c r="E77" t="s">
        <v>331</v>
      </c>
      <c r="F77" t="s">
        <v>1023</v>
      </c>
    </row>
    <row r="78" spans="2:6" x14ac:dyDescent="0.2">
      <c r="B78" t="s">
        <v>481</v>
      </c>
    </row>
    <row r="79" spans="2:6" x14ac:dyDescent="0.2">
      <c r="B79" t="s">
        <v>482</v>
      </c>
    </row>
    <row r="80" spans="2:6" x14ac:dyDescent="0.2">
      <c r="B80" t="s">
        <v>475</v>
      </c>
    </row>
    <row r="81" spans="2:9" x14ac:dyDescent="0.2">
      <c r="B81" t="s">
        <v>470</v>
      </c>
    </row>
    <row r="82" spans="2:9" x14ac:dyDescent="0.2">
      <c r="B82" t="s">
        <v>453</v>
      </c>
    </row>
    <row r="83" spans="2:9" x14ac:dyDescent="0.2">
      <c r="B83" t="s">
        <v>0</v>
      </c>
    </row>
    <row r="84" spans="2:9" x14ac:dyDescent="0.2">
      <c r="B84" t="s">
        <v>284</v>
      </c>
    </row>
    <row r="85" spans="2:9" x14ac:dyDescent="0.2">
      <c r="B85" t="s">
        <v>285</v>
      </c>
    </row>
    <row r="86" spans="2:9" x14ac:dyDescent="0.2">
      <c r="B86" t="s">
        <v>286</v>
      </c>
      <c r="C86">
        <v>2019</v>
      </c>
      <c r="D86" t="s">
        <v>287</v>
      </c>
    </row>
    <row r="87" spans="2:9" x14ac:dyDescent="0.2">
      <c r="B87" t="s">
        <v>289</v>
      </c>
    </row>
    <row r="88" spans="2:9" x14ac:dyDescent="0.2">
      <c r="B88" t="s">
        <v>291</v>
      </c>
    </row>
    <row r="89" spans="2:9" x14ac:dyDescent="0.2">
      <c r="B89" t="s">
        <v>294</v>
      </c>
    </row>
    <row r="90" spans="2:9" x14ac:dyDescent="0.2">
      <c r="B90" t="s">
        <v>329</v>
      </c>
      <c r="C90">
        <v>2019</v>
      </c>
      <c r="D90" t="s">
        <v>337</v>
      </c>
      <c r="E90" t="s">
        <v>331</v>
      </c>
      <c r="F90" t="s">
        <v>335</v>
      </c>
      <c r="G90" t="s">
        <v>334</v>
      </c>
      <c r="H90" s="38">
        <v>44599</v>
      </c>
    </row>
    <row r="91" spans="2:9" x14ac:dyDescent="0.2">
      <c r="B91" t="s">
        <v>344</v>
      </c>
      <c r="E91" t="s">
        <v>331</v>
      </c>
      <c r="F91" t="s">
        <v>345</v>
      </c>
    </row>
    <row r="92" spans="2:9" x14ac:dyDescent="0.2">
      <c r="B92" t="s">
        <v>346</v>
      </c>
    </row>
    <row r="93" spans="2:9" x14ac:dyDescent="0.2">
      <c r="B93" t="s">
        <v>1068</v>
      </c>
    </row>
    <row r="94" spans="2:9" x14ac:dyDescent="0.2">
      <c r="B94" t="s">
        <v>347</v>
      </c>
      <c r="I94" t="s">
        <v>348</v>
      </c>
    </row>
    <row r="95" spans="2:9" x14ac:dyDescent="0.2">
      <c r="B95" t="s">
        <v>390</v>
      </c>
    </row>
    <row r="96" spans="2:9" x14ac:dyDescent="0.2">
      <c r="B96" t="s">
        <v>393</v>
      </c>
      <c r="C96" t="s">
        <v>394</v>
      </c>
      <c r="E96" t="s">
        <v>331</v>
      </c>
      <c r="F96" t="s">
        <v>395</v>
      </c>
      <c r="H96" s="38">
        <v>43466</v>
      </c>
      <c r="I96" t="s">
        <v>396</v>
      </c>
    </row>
    <row r="97" spans="2:9" x14ac:dyDescent="0.2">
      <c r="B97" t="s">
        <v>397</v>
      </c>
    </row>
    <row r="99" spans="2:9" x14ac:dyDescent="0.2">
      <c r="B99" t="s">
        <v>404</v>
      </c>
      <c r="E99" t="s">
        <v>399</v>
      </c>
      <c r="F99">
        <v>121</v>
      </c>
    </row>
    <row r="100" spans="2:9" x14ac:dyDescent="0.2">
      <c r="B100" t="s">
        <v>421</v>
      </c>
    </row>
    <row r="101" spans="2:9" x14ac:dyDescent="0.2">
      <c r="B101" t="s">
        <v>425</v>
      </c>
    </row>
    <row r="102" spans="2:9" x14ac:dyDescent="0.2">
      <c r="B102" t="s">
        <v>427</v>
      </c>
    </row>
    <row r="103" spans="2:9" x14ac:dyDescent="0.2">
      <c r="B103" t="s">
        <v>432</v>
      </c>
      <c r="I103" t="s">
        <v>433</v>
      </c>
    </row>
    <row r="104" spans="2:9" x14ac:dyDescent="0.2">
      <c r="B104" t="s">
        <v>450</v>
      </c>
    </row>
    <row r="105" spans="2:9" x14ac:dyDescent="0.2">
      <c r="B105" t="s">
        <v>512</v>
      </c>
    </row>
    <row r="106" spans="2:9" x14ac:dyDescent="0.2">
      <c r="B106" t="s">
        <v>528</v>
      </c>
      <c r="I106" t="s">
        <v>529</v>
      </c>
    </row>
    <row r="107" spans="2:9" x14ac:dyDescent="0.2">
      <c r="B107" t="s">
        <v>532</v>
      </c>
      <c r="I107" t="s">
        <v>529</v>
      </c>
    </row>
    <row r="108" spans="2:9" x14ac:dyDescent="0.2">
      <c r="B108" t="s">
        <v>618</v>
      </c>
      <c r="C108">
        <v>2018</v>
      </c>
      <c r="D108" t="s">
        <v>621</v>
      </c>
      <c r="E108" t="s">
        <v>619</v>
      </c>
      <c r="F108" t="s">
        <v>620</v>
      </c>
      <c r="H108" s="38">
        <v>43251</v>
      </c>
    </row>
    <row r="109" spans="2:9" x14ac:dyDescent="0.2">
      <c r="B109" t="s">
        <v>618</v>
      </c>
      <c r="C109">
        <v>2018</v>
      </c>
      <c r="D109" t="s">
        <v>621</v>
      </c>
      <c r="E109" t="s">
        <v>617</v>
      </c>
      <c r="F109" t="s">
        <v>616</v>
      </c>
    </row>
    <row r="110" spans="2:9" x14ac:dyDescent="0.2">
      <c r="B110" t="s">
        <v>618</v>
      </c>
      <c r="C110">
        <v>2018</v>
      </c>
      <c r="D110" t="s">
        <v>621</v>
      </c>
      <c r="E110" t="s">
        <v>614</v>
      </c>
      <c r="F110" t="s">
        <v>615</v>
      </c>
    </row>
    <row r="111" spans="2:9" x14ac:dyDescent="0.2">
      <c r="B111" t="s">
        <v>622</v>
      </c>
      <c r="I111" t="s">
        <v>623</v>
      </c>
    </row>
    <row r="112" spans="2:9" x14ac:dyDescent="0.2">
      <c r="B112" t="s">
        <v>629</v>
      </c>
      <c r="E112" t="s">
        <v>614</v>
      </c>
      <c r="F112" t="s">
        <v>631</v>
      </c>
    </row>
    <row r="113" spans="2:9" x14ac:dyDescent="0.2">
      <c r="B113" t="s">
        <v>629</v>
      </c>
      <c r="E113" t="s">
        <v>331</v>
      </c>
      <c r="F113" t="s">
        <v>630</v>
      </c>
      <c r="G113" t="s">
        <v>632</v>
      </c>
    </row>
    <row r="114" spans="2:9" x14ac:dyDescent="0.2">
      <c r="B114" t="s">
        <v>633</v>
      </c>
      <c r="E114" t="s">
        <v>399</v>
      </c>
      <c r="F114" t="s">
        <v>634</v>
      </c>
    </row>
    <row r="115" spans="2:9" x14ac:dyDescent="0.2">
      <c r="B115" t="s">
        <v>633</v>
      </c>
      <c r="E115" t="s">
        <v>625</v>
      </c>
      <c r="F115" t="s">
        <v>620</v>
      </c>
    </row>
    <row r="116" spans="2:9" x14ac:dyDescent="0.2">
      <c r="B116" t="s">
        <v>1029</v>
      </c>
      <c r="E116" t="s">
        <v>614</v>
      </c>
      <c r="F116" t="s">
        <v>1030</v>
      </c>
    </row>
    <row r="117" spans="2:9" x14ac:dyDescent="0.2">
      <c r="B117" t="s">
        <v>1031</v>
      </c>
      <c r="E117" t="s">
        <v>331</v>
      </c>
      <c r="F117" t="s">
        <v>1032</v>
      </c>
    </row>
    <row r="118" spans="2:9" x14ac:dyDescent="0.2">
      <c r="B118" t="s">
        <v>1042</v>
      </c>
      <c r="E118" t="s">
        <v>1043</v>
      </c>
      <c r="F118" t="s">
        <v>1044</v>
      </c>
    </row>
    <row r="119" spans="2:9" x14ac:dyDescent="0.2">
      <c r="B119" t="s">
        <v>1045</v>
      </c>
    </row>
    <row r="120" spans="2:9" x14ac:dyDescent="0.2">
      <c r="B120" t="s">
        <v>1047</v>
      </c>
    </row>
    <row r="123" spans="2:9" x14ac:dyDescent="0.2">
      <c r="B123" t="s">
        <v>1049</v>
      </c>
      <c r="E123" t="s">
        <v>1043</v>
      </c>
      <c r="F123" t="s">
        <v>1050</v>
      </c>
      <c r="G123" t="s">
        <v>1051</v>
      </c>
      <c r="H123" s="38">
        <v>44915</v>
      </c>
      <c r="I123" t="s">
        <v>1052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7" sqref="C37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290</v>
      </c>
    </row>
    <row r="2" spans="1:4" x14ac:dyDescent="0.2">
      <c r="B2" t="s">
        <v>299</v>
      </c>
      <c r="C2" t="s">
        <v>300</v>
      </c>
      <c r="D2" t="s">
        <v>325</v>
      </c>
    </row>
    <row r="3" spans="1:4" x14ac:dyDescent="0.2">
      <c r="B3" t="s">
        <v>298</v>
      </c>
      <c r="C3" t="s">
        <v>94</v>
      </c>
    </row>
    <row r="4" spans="1:4" x14ac:dyDescent="0.2">
      <c r="B4" t="s">
        <v>324</v>
      </c>
      <c r="C4" t="s">
        <v>46</v>
      </c>
      <c r="D4" t="s">
        <v>326</v>
      </c>
    </row>
    <row r="5" spans="1:4" x14ac:dyDescent="0.2">
      <c r="B5" t="s">
        <v>351</v>
      </c>
      <c r="C5" t="s">
        <v>36</v>
      </c>
    </row>
    <row r="6" spans="1:4" x14ac:dyDescent="0.2">
      <c r="B6" t="s">
        <v>352</v>
      </c>
      <c r="C6" t="s">
        <v>14</v>
      </c>
    </row>
    <row r="7" spans="1:4" x14ac:dyDescent="0.2">
      <c r="B7" t="s">
        <v>353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406</v>
      </c>
      <c r="C9" t="s">
        <v>24</v>
      </c>
    </row>
    <row r="10" spans="1:4" x14ac:dyDescent="0.2">
      <c r="B10" t="s">
        <v>407</v>
      </c>
      <c r="C10" t="s">
        <v>24</v>
      </c>
    </row>
    <row r="11" spans="1:4" x14ac:dyDescent="0.2">
      <c r="B11" t="s">
        <v>408</v>
      </c>
      <c r="C11" t="s">
        <v>24</v>
      </c>
    </row>
    <row r="12" spans="1:4" x14ac:dyDescent="0.2">
      <c r="B12" t="s">
        <v>422</v>
      </c>
      <c r="C12" t="s">
        <v>36</v>
      </c>
      <c r="D12" t="s">
        <v>423</v>
      </c>
    </row>
    <row r="13" spans="1:4" x14ac:dyDescent="0.2">
      <c r="B13" s="1" t="s">
        <v>192</v>
      </c>
      <c r="C13" s="1" t="s">
        <v>193</v>
      </c>
      <c r="D13" s="3">
        <v>67.849999999999994</v>
      </c>
    </row>
    <row r="14" spans="1:4" x14ac:dyDescent="0.2">
      <c r="B14" s="1" t="s">
        <v>188</v>
      </c>
      <c r="C14" s="1" t="s">
        <v>189</v>
      </c>
      <c r="D14" s="3">
        <v>51.76</v>
      </c>
    </row>
    <row r="15" spans="1:4" x14ac:dyDescent="0.2">
      <c r="A15" s="1"/>
      <c r="B15" s="1" t="s">
        <v>152</v>
      </c>
      <c r="C15" s="1" t="s">
        <v>153</v>
      </c>
      <c r="D15" s="3">
        <v>74.459999999999994</v>
      </c>
    </row>
    <row r="16" spans="1:4" x14ac:dyDescent="0.2">
      <c r="B16" t="s">
        <v>258</v>
      </c>
    </row>
    <row r="17" spans="1:15" x14ac:dyDescent="0.2">
      <c r="B17" t="s">
        <v>442</v>
      </c>
      <c r="C17" t="s">
        <v>18</v>
      </c>
    </row>
    <row r="18" spans="1:15" x14ac:dyDescent="0.2">
      <c r="B18" t="s">
        <v>444</v>
      </c>
      <c r="C18" t="s">
        <v>29</v>
      </c>
      <c r="D18" t="s">
        <v>443</v>
      </c>
    </row>
    <row r="19" spans="1:15" x14ac:dyDescent="0.2">
      <c r="B19" t="s">
        <v>361</v>
      </c>
      <c r="C19" t="s">
        <v>45</v>
      </c>
    </row>
    <row r="20" spans="1:15" x14ac:dyDescent="0.2">
      <c r="B20" t="s">
        <v>1016</v>
      </c>
      <c r="C20" t="s">
        <v>259</v>
      </c>
      <c r="E20">
        <v>2021</v>
      </c>
    </row>
    <row r="21" spans="1:15" x14ac:dyDescent="0.2">
      <c r="B21" t="s">
        <v>1017</v>
      </c>
      <c r="C21" t="s">
        <v>259</v>
      </c>
      <c r="E21">
        <v>2020</v>
      </c>
    </row>
    <row r="22" spans="1:15" x14ac:dyDescent="0.2">
      <c r="B22" t="s">
        <v>1018</v>
      </c>
      <c r="C22" t="s">
        <v>259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+[93]Main!$K$5-[93]Main!$K$6</f>
        <v>1763.7020000000002</v>
      </c>
      <c r="G23" s="6">
        <f>+E23-F23</f>
        <v>34738.017536599997</v>
      </c>
      <c r="H23" s="3" t="s">
        <v>426</v>
      </c>
      <c r="I23" s="6">
        <f>+[93]Main!$K$3</f>
        <v>185.66490099999999</v>
      </c>
      <c r="J23" s="9">
        <v>44919</v>
      </c>
      <c r="K23" s="7">
        <f>+[93]Model!$AO$27</f>
        <v>119.56497461195261</v>
      </c>
      <c r="L23" s="10">
        <f>+K23/D23-1</f>
        <v>-0.39183634480186869</v>
      </c>
      <c r="M23" s="10">
        <f>+[93]Model!$AO$25</f>
        <v>0.03</v>
      </c>
      <c r="N23" s="10">
        <f>+[93]Model!$AO$24</f>
        <v>-0.01</v>
      </c>
      <c r="O23" s="10">
        <f>+[93]Model!$AO$23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+[94]Main!$L$5-[94]Main!$L$6</f>
        <v>-434.61299999999983</v>
      </c>
      <c r="G24" s="6">
        <f>E24-F24</f>
        <v>26084.613000000001</v>
      </c>
      <c r="H24" s="3" t="s">
        <v>426</v>
      </c>
      <c r="I24" s="6">
        <f>+[94]Main!$L$3</f>
        <v>226.621465</v>
      </c>
      <c r="J24" s="9">
        <v>44925</v>
      </c>
    </row>
    <row r="25" spans="1:15" x14ac:dyDescent="0.2">
      <c r="A25" s="1">
        <f>+Main!B41+1</f>
        <v>33</v>
      </c>
      <c r="B25" s="5" t="s">
        <v>263</v>
      </c>
      <c r="C25" s="1" t="s">
        <v>264</v>
      </c>
      <c r="D25" s="19">
        <v>44.85</v>
      </c>
      <c r="E25" s="6" cm="1">
        <f t="array" ref="E25">+D25*I25/HKD</f>
        <v>24359.139492668794</v>
      </c>
      <c r="F25" s="6">
        <f>([95]Main!$J$5-[95]Main!$J$6)/HKD</f>
        <v>985.39847133757974</v>
      </c>
      <c r="G25" s="6">
        <f>+E25-F25</f>
        <v>23373.741021331214</v>
      </c>
      <c r="H25" s="3" t="s">
        <v>306</v>
      </c>
      <c r="I25" s="6">
        <f>+[95]Main!$J$3</f>
        <v>4263.5283170000002</v>
      </c>
      <c r="J25" s="9">
        <v>45086</v>
      </c>
    </row>
    <row r="26" spans="1:15" x14ac:dyDescent="0.2">
      <c r="A26" s="1">
        <f>Main!B61+1</f>
        <v>51</v>
      </c>
      <c r="B26" s="5" t="s">
        <v>610</v>
      </c>
      <c r="C26" t="s">
        <v>611</v>
      </c>
      <c r="D26" s="7">
        <v>176</v>
      </c>
      <c r="E26" s="6">
        <f>D26*I26</f>
        <v>6074.6458080000002</v>
      </c>
      <c r="F26" s="6">
        <f>[96]Main!$L$5-[96]Main!$L$6</f>
        <v>1124.0440000000001</v>
      </c>
      <c r="G26" s="6">
        <f>E26-F26</f>
        <v>4950.6018080000003</v>
      </c>
      <c r="H26" s="3" t="s">
        <v>527</v>
      </c>
      <c r="I26" s="6">
        <f>[96]Main!$L$3</f>
        <v>34.515033000000003</v>
      </c>
      <c r="J26" s="9">
        <v>45008</v>
      </c>
    </row>
    <row r="27" spans="1:15" x14ac:dyDescent="0.2">
      <c r="A27" s="1">
        <f>Main!B78+1</f>
        <v>68</v>
      </c>
      <c r="B27" t="s">
        <v>612</v>
      </c>
      <c r="C27" t="s">
        <v>613</v>
      </c>
      <c r="D27" s="7">
        <v>43</v>
      </c>
      <c r="E27" s="6">
        <v>2510</v>
      </c>
    </row>
    <row r="28" spans="1:15" x14ac:dyDescent="0.2">
      <c r="A28" s="1">
        <f>Main!B97+1</f>
        <v>87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Main!B112+1</f>
        <v>102</v>
      </c>
      <c r="B29" t="s">
        <v>1033</v>
      </c>
      <c r="C29" t="s">
        <v>1034</v>
      </c>
      <c r="D29" s="3">
        <v>14.34</v>
      </c>
    </row>
    <row r="30" spans="1:15" x14ac:dyDescent="0.2">
      <c r="A30" s="1">
        <f>Main!B101+1</f>
        <v>91</v>
      </c>
      <c r="B30" t="s">
        <v>701</v>
      </c>
      <c r="C30" t="s">
        <v>702</v>
      </c>
      <c r="D30" s="3">
        <v>92.93</v>
      </c>
      <c r="E30" s="6">
        <v>3490</v>
      </c>
    </row>
    <row r="31" spans="1:15" x14ac:dyDescent="0.2">
      <c r="A31" s="1">
        <f>Main!B121+1</f>
        <v>111</v>
      </c>
      <c r="B31" s="25" t="s">
        <v>518</v>
      </c>
      <c r="C31" s="25" t="s">
        <v>519</v>
      </c>
      <c r="D31" s="7">
        <v>23.01</v>
      </c>
      <c r="E31" s="6">
        <v>2080</v>
      </c>
    </row>
    <row r="32" spans="1:15" x14ac:dyDescent="0.2">
      <c r="A32" s="1">
        <f>Main!B124+1</f>
        <v>114</v>
      </c>
      <c r="B32" s="34" t="s">
        <v>349</v>
      </c>
      <c r="C32" s="34" t="s">
        <v>350</v>
      </c>
      <c r="D32" s="36">
        <v>14.86</v>
      </c>
      <c r="E32" s="37">
        <v>2880</v>
      </c>
    </row>
    <row r="33" spans="1:5" x14ac:dyDescent="0.2">
      <c r="A33" s="1">
        <f>Main!B154+1</f>
        <v>144</v>
      </c>
      <c r="B33" s="1" t="s">
        <v>170</v>
      </c>
      <c r="C33" s="1" t="s">
        <v>171</v>
      </c>
      <c r="D33" s="3">
        <v>2.15</v>
      </c>
      <c r="E33" s="6">
        <v>1050</v>
      </c>
    </row>
    <row r="34" spans="1:5" x14ac:dyDescent="0.2">
      <c r="A34" s="1">
        <f>Main!B321+1</f>
        <v>311</v>
      </c>
      <c r="B34" t="s">
        <v>841</v>
      </c>
      <c r="C34" t="s">
        <v>842</v>
      </c>
    </row>
    <row r="35" spans="1:5" x14ac:dyDescent="0.2">
      <c r="A35" s="1">
        <f>Main!B315+1</f>
        <v>305</v>
      </c>
      <c r="B35" t="s">
        <v>737</v>
      </c>
      <c r="C35" t="s">
        <v>738</v>
      </c>
    </row>
    <row r="36" spans="1:5" x14ac:dyDescent="0.2">
      <c r="B36" t="s">
        <v>1096</v>
      </c>
      <c r="C36" t="s">
        <v>40</v>
      </c>
    </row>
    <row r="37" spans="1:5" x14ac:dyDescent="0.2">
      <c r="B37" t="s">
        <v>149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2024-09-04T16:01:12Z</dcterms:modified>
</cp:coreProperties>
</file>