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A60F68F-0236-4FCA-B417-90F54E75F0FA}" xr6:coauthVersionLast="47" xr6:coauthVersionMax="47" xr10:uidLastSave="{00000000-0000-0000-0000-000000000000}"/>
  <bookViews>
    <workbookView xWindow="-27390" yWindow="750" windowWidth="26865" windowHeight="20025" activeTab="1" xr2:uid="{79B0AABE-526A-4476-AFB2-442F9E053778}"/>
  </bookViews>
  <sheets>
    <sheet name="Main" sheetId="1" r:id="rId1"/>
    <sheet name="Model" sheetId="2" r:id="rId2"/>
    <sheet name="Epidiole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" l="1"/>
  <c r="U20" i="2"/>
  <c r="V17" i="2"/>
  <c r="U17" i="2"/>
  <c r="V16" i="2"/>
  <c r="U16" i="2"/>
  <c r="U25" i="2"/>
  <c r="V25" i="2" s="1"/>
  <c r="V18" i="2"/>
  <c r="U12" i="2"/>
  <c r="V11" i="2"/>
  <c r="U11" i="2"/>
  <c r="V10" i="2"/>
  <c r="U10" i="2"/>
  <c r="V9" i="2"/>
  <c r="U9" i="2"/>
  <c r="V8" i="2"/>
  <c r="U8" i="2"/>
  <c r="V6" i="2"/>
  <c r="U6" i="2"/>
  <c r="V5" i="2"/>
  <c r="U5" i="2"/>
  <c r="V3" i="2"/>
  <c r="U3" i="2"/>
  <c r="V4" i="2"/>
  <c r="U4" i="2"/>
  <c r="U29" i="2"/>
  <c r="Q12" i="2"/>
  <c r="R12" i="2"/>
  <c r="V12" i="2" s="1"/>
  <c r="S18" i="2"/>
  <c r="S12" i="2"/>
  <c r="P12" i="2"/>
  <c r="T29" i="2"/>
  <c r="S29" i="2"/>
  <c r="T12" i="2"/>
  <c r="T18" i="2"/>
  <c r="T13" i="2"/>
  <c r="T15" i="2" s="1"/>
  <c r="T27" i="2" s="1"/>
  <c r="S13" i="2"/>
  <c r="K6" i="1"/>
  <c r="K5" i="1"/>
  <c r="Y25" i="2"/>
  <c r="Y22" i="2"/>
  <c r="Y20" i="2"/>
  <c r="Y17" i="2"/>
  <c r="Y16" i="2"/>
  <c r="Y18" i="2" s="1"/>
  <c r="Y14" i="2"/>
  <c r="Y11" i="2"/>
  <c r="Y10" i="2"/>
  <c r="Y9" i="2"/>
  <c r="Y8" i="2"/>
  <c r="Y7" i="2"/>
  <c r="Y6" i="2"/>
  <c r="Y5" i="2"/>
  <c r="Y4" i="2"/>
  <c r="Y3" i="2"/>
  <c r="Z25" i="2"/>
  <c r="Z22" i="2"/>
  <c r="Z20" i="2"/>
  <c r="Z17" i="2"/>
  <c r="Z16" i="2"/>
  <c r="Z18" i="2" s="1"/>
  <c r="Z14" i="2"/>
  <c r="Z11" i="2"/>
  <c r="Z10" i="2"/>
  <c r="Z9" i="2"/>
  <c r="Z8" i="2"/>
  <c r="Z6" i="2"/>
  <c r="Z5" i="2"/>
  <c r="Z4" i="2"/>
  <c r="Z3" i="2"/>
  <c r="N12" i="2"/>
  <c r="M29" i="2"/>
  <c r="L29" i="2"/>
  <c r="K29" i="2"/>
  <c r="J29" i="2"/>
  <c r="O29" i="2"/>
  <c r="N29" i="2"/>
  <c r="O12" i="2"/>
  <c r="N7" i="2"/>
  <c r="F18" i="2"/>
  <c r="F12" i="2"/>
  <c r="F13" i="2"/>
  <c r="F15" i="2" s="1"/>
  <c r="F27" i="2" s="1"/>
  <c r="J12" i="2"/>
  <c r="J13" i="2" s="1"/>
  <c r="J15" i="2" s="1"/>
  <c r="J27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G18" i="2"/>
  <c r="G12" i="2"/>
  <c r="G13" i="2" s="1"/>
  <c r="G15" i="2" s="1"/>
  <c r="K12" i="2"/>
  <c r="K13" i="2" s="1"/>
  <c r="K15" i="2" s="1"/>
  <c r="K27" i="2" s="1"/>
  <c r="H18" i="2"/>
  <c r="L12" i="2"/>
  <c r="L13" i="2" s="1"/>
  <c r="L15" i="2" s="1"/>
  <c r="L27" i="2" s="1"/>
  <c r="H12" i="2"/>
  <c r="H13" i="2" s="1"/>
  <c r="H15" i="2" s="1"/>
  <c r="H27" i="2" s="1"/>
  <c r="M18" i="2"/>
  <c r="L18" i="2"/>
  <c r="K18" i="2"/>
  <c r="J18" i="2"/>
  <c r="I18" i="2"/>
  <c r="I12" i="2"/>
  <c r="I13" i="2" s="1"/>
  <c r="I15" i="2" s="1"/>
  <c r="I27" i="2" s="1"/>
  <c r="M12" i="2"/>
  <c r="M13" i="2" s="1"/>
  <c r="M15" i="2" s="1"/>
  <c r="M27" i="2" s="1"/>
  <c r="K4" i="1"/>
  <c r="G19" i="2" l="1"/>
  <c r="G21" i="2" s="1"/>
  <c r="G23" i="2" s="1"/>
  <c r="G24" i="2" s="1"/>
  <c r="G27" i="2"/>
  <c r="S15" i="2"/>
  <c r="S19" i="2" s="1"/>
  <c r="S21" i="2" s="1"/>
  <c r="S23" i="2" s="1"/>
  <c r="S24" i="2" s="1"/>
  <c r="U18" i="2"/>
  <c r="V13" i="2"/>
  <c r="V29" i="2"/>
  <c r="U13" i="2"/>
  <c r="T19" i="2"/>
  <c r="T21" i="2" s="1"/>
  <c r="T23" i="2" s="1"/>
  <c r="T24" i="2" s="1"/>
  <c r="Z29" i="2"/>
  <c r="P29" i="2"/>
  <c r="Q29" i="2"/>
  <c r="Y12" i="2"/>
  <c r="Y13" i="2" s="1"/>
  <c r="Y15" i="2" s="1"/>
  <c r="AA3" i="2"/>
  <c r="AB3" i="2" s="1"/>
  <c r="Z7" i="2"/>
  <c r="Z12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K7" i="1"/>
  <c r="R29" i="2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A9" i="2"/>
  <c r="AA25" i="2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A20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F19" i="2"/>
  <c r="F21" i="2" s="1"/>
  <c r="F23" i="2" s="1"/>
  <c r="F24" i="2" s="1"/>
  <c r="H19" i="2"/>
  <c r="H21" i="2" s="1"/>
  <c r="H23" i="2" s="1"/>
  <c r="H24" i="2" s="1"/>
  <c r="I19" i="2"/>
  <c r="I21" i="2" s="1"/>
  <c r="I23" i="2" s="1"/>
  <c r="I24" i="2" s="1"/>
  <c r="J19" i="2"/>
  <c r="J21" i="2" s="1"/>
  <c r="J23" i="2" s="1"/>
  <c r="J24" i="2" s="1"/>
  <c r="K19" i="2"/>
  <c r="K21" i="2" s="1"/>
  <c r="K23" i="2" s="1"/>
  <c r="K24" i="2" s="1"/>
  <c r="L19" i="2"/>
  <c r="L21" i="2" s="1"/>
  <c r="L23" i="2" s="1"/>
  <c r="L24" i="2" s="1"/>
  <c r="M19" i="2"/>
  <c r="M21" i="2" s="1"/>
  <c r="M23" i="2" s="1"/>
  <c r="M24" i="2" s="1"/>
  <c r="V15" i="2" l="1"/>
  <c r="V19" i="2" s="1"/>
  <c r="V21" i="2" s="1"/>
  <c r="V22" i="2" s="1"/>
  <c r="V23" i="2" s="1"/>
  <c r="V24" i="2" s="1"/>
  <c r="S27" i="2"/>
  <c r="U15" i="2"/>
  <c r="U27" i="2" s="1"/>
  <c r="U14" i="2"/>
  <c r="U19" i="2"/>
  <c r="U21" i="2" s="1"/>
  <c r="AB29" i="2"/>
  <c r="Y27" i="2"/>
  <c r="Y19" i="2"/>
  <c r="Y21" i="2" s="1"/>
  <c r="Y23" i="2" s="1"/>
  <c r="Y24" i="2" s="1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Z13" i="2"/>
  <c r="Z15" i="2" s="1"/>
  <c r="Z27" i="2" s="1"/>
  <c r="AA29" i="2"/>
  <c r="O13" i="2"/>
  <c r="O15" i="2" s="1"/>
  <c r="N13" i="2"/>
  <c r="P13" i="2"/>
  <c r="AC3" i="2"/>
  <c r="AC29" i="2" s="1"/>
  <c r="AA8" i="2"/>
  <c r="U22" i="2" l="1"/>
  <c r="U23" i="2"/>
  <c r="U24" i="2" s="1"/>
  <c r="V14" i="2"/>
  <c r="V27" i="2"/>
  <c r="Z19" i="2"/>
  <c r="Z21" i="2" s="1"/>
  <c r="Z23" i="2" s="1"/>
  <c r="Z24" i="2" s="1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A11" i="2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D3" i="2"/>
  <c r="AD29" i="2" s="1"/>
  <c r="P18" i="2"/>
  <c r="P15" i="2"/>
  <c r="P27" i="2" s="1"/>
  <c r="N18" i="2"/>
  <c r="N15" i="2"/>
  <c r="N27" i="2" s="1"/>
  <c r="R13" i="2"/>
  <c r="O27" i="2"/>
  <c r="N19" i="2" l="1"/>
  <c r="N21" i="2" s="1"/>
  <c r="N23" i="2" s="1"/>
  <c r="R18" i="2"/>
  <c r="R15" i="2"/>
  <c r="R27" i="2" s="1"/>
  <c r="AE3" i="2"/>
  <c r="AE29" i="2" s="1"/>
  <c r="AA12" i="2"/>
  <c r="AB12" i="2" s="1"/>
  <c r="AC12" i="2" s="1"/>
  <c r="O18" i="2"/>
  <c r="O19" i="2" s="1"/>
  <c r="O21" i="2" s="1"/>
  <c r="P19" i="2"/>
  <c r="P21" i="2" s="1"/>
  <c r="P23" i="2" s="1"/>
  <c r="P24" i="2" s="1"/>
  <c r="Q13" i="2"/>
  <c r="AA13" i="2" l="1"/>
  <c r="AB13" i="2"/>
  <c r="AB14" i="2" s="1"/>
  <c r="AB15" i="2" s="1"/>
  <c r="AB27" i="2" s="1"/>
  <c r="N24" i="2"/>
  <c r="AD12" i="2"/>
  <c r="AC13" i="2"/>
  <c r="O23" i="2"/>
  <c r="AF3" i="2"/>
  <c r="AF29" i="2" s="1"/>
  <c r="R19" i="2"/>
  <c r="R21" i="2" s="1"/>
  <c r="R23" i="2" s="1"/>
  <c r="R24" i="2" s="1"/>
  <c r="AB16" i="2" l="1"/>
  <c r="AB18" i="2" s="1"/>
  <c r="O24" i="2"/>
  <c r="Q15" i="2"/>
  <c r="Q27" i="2" s="1"/>
  <c r="AA14" i="2"/>
  <c r="AA15" i="2" s="1"/>
  <c r="AA27" i="2" s="1"/>
  <c r="AB19" i="2"/>
  <c r="AG3" i="2"/>
  <c r="AG29" i="2" s="1"/>
  <c r="Q18" i="2"/>
  <c r="AA16" i="2"/>
  <c r="AA18" i="2" s="1"/>
  <c r="AC14" i="2"/>
  <c r="AC15" i="2" s="1"/>
  <c r="AC27" i="2" s="1"/>
  <c r="AC16" i="2"/>
  <c r="AC18" i="2" s="1"/>
  <c r="AE12" i="2"/>
  <c r="AD13" i="2"/>
  <c r="Q19" i="2" l="1"/>
  <c r="Q21" i="2" s="1"/>
  <c r="AA22" i="2" s="1"/>
  <c r="AC19" i="2"/>
  <c r="AF12" i="2"/>
  <c r="AE13" i="2"/>
  <c r="AH3" i="2"/>
  <c r="AH29" i="2" s="1"/>
  <c r="AD16" i="2"/>
  <c r="AD18" i="2" s="1"/>
  <c r="AD14" i="2"/>
  <c r="AD15" i="2" s="1"/>
  <c r="AD27" i="2" s="1"/>
  <c r="AA19" i="2"/>
  <c r="AA21" i="2" s="1"/>
  <c r="Q23" i="2" l="1"/>
  <c r="Q24" i="2" s="1"/>
  <c r="AA23" i="2"/>
  <c r="AA24" i="2" s="1"/>
  <c r="AA32" i="2"/>
  <c r="AB20" i="2" s="1"/>
  <c r="AB21" i="2" s="1"/>
  <c r="AB22" i="2" s="1"/>
  <c r="AB23" i="2" s="1"/>
  <c r="AB24" i="2" s="1"/>
  <c r="AI3" i="2"/>
  <c r="AI29" i="2" s="1"/>
  <c r="AD19" i="2"/>
  <c r="AE14" i="2"/>
  <c r="AE15" i="2" s="1"/>
  <c r="AE27" i="2" s="1"/>
  <c r="AE16" i="2"/>
  <c r="AE18" i="2" s="1"/>
  <c r="AG12" i="2"/>
  <c r="AF13" i="2"/>
  <c r="AB32" i="2" l="1"/>
  <c r="AC20" i="2" s="1"/>
  <c r="AC21" i="2" s="1"/>
  <c r="AC22" i="2" s="1"/>
  <c r="AC23" i="2" s="1"/>
  <c r="AC24" i="2" s="1"/>
  <c r="AF16" i="2"/>
  <c r="AF18" i="2" s="1"/>
  <c r="AF14" i="2"/>
  <c r="AF15" i="2" s="1"/>
  <c r="AF27" i="2" s="1"/>
  <c r="AH12" i="2"/>
  <c r="AG13" i="2"/>
  <c r="AE19" i="2"/>
  <c r="AJ3" i="2"/>
  <c r="AJ29" i="2" s="1"/>
  <c r="AC32" i="2" l="1"/>
  <c r="AK3" i="2"/>
  <c r="AK29" i="2" s="1"/>
  <c r="AG16" i="2"/>
  <c r="AG18" i="2" s="1"/>
  <c r="AG14" i="2"/>
  <c r="AG15" i="2" s="1"/>
  <c r="AG27" i="2" s="1"/>
  <c r="AI12" i="2"/>
  <c r="AH13" i="2"/>
  <c r="AF19" i="2"/>
  <c r="AD20" i="2" l="1"/>
  <c r="AD21" i="2" s="1"/>
  <c r="AD22" i="2" s="1"/>
  <c r="AD23" i="2" s="1"/>
  <c r="AD24" i="2" s="1"/>
  <c r="AH16" i="2"/>
  <c r="AH18" i="2" s="1"/>
  <c r="AH14" i="2"/>
  <c r="AH15" i="2" s="1"/>
  <c r="AH27" i="2" s="1"/>
  <c r="AJ12" i="2"/>
  <c r="AI13" i="2"/>
  <c r="AG19" i="2"/>
  <c r="AL3" i="2"/>
  <c r="AL29" i="2" s="1"/>
  <c r="AD32" i="2" l="1"/>
  <c r="AE20" i="2" s="1"/>
  <c r="AE21" i="2" s="1"/>
  <c r="AE22" i="2" s="1"/>
  <c r="AE23" i="2" s="1"/>
  <c r="AE24" i="2" s="1"/>
  <c r="AM3" i="2"/>
  <c r="AM29" i="2" s="1"/>
  <c r="AI16" i="2"/>
  <c r="AI18" i="2" s="1"/>
  <c r="AI14" i="2"/>
  <c r="AI15" i="2" s="1"/>
  <c r="AI27" i="2" s="1"/>
  <c r="AK12" i="2"/>
  <c r="AJ13" i="2"/>
  <c r="AH19" i="2"/>
  <c r="AE32" i="2" l="1"/>
  <c r="AF20" i="2" s="1"/>
  <c r="AF21" i="2" s="1"/>
  <c r="AF22" i="2" s="1"/>
  <c r="AF23" i="2" s="1"/>
  <c r="AF24" i="2" s="1"/>
  <c r="AJ16" i="2"/>
  <c r="AJ18" i="2" s="1"/>
  <c r="AJ14" i="2"/>
  <c r="AJ15" i="2" s="1"/>
  <c r="AJ27" i="2" s="1"/>
  <c r="AL12" i="2"/>
  <c r="AK13" i="2"/>
  <c r="AI19" i="2"/>
  <c r="AF32" i="2" l="1"/>
  <c r="AK16" i="2"/>
  <c r="AK18" i="2" s="1"/>
  <c r="AK14" i="2"/>
  <c r="AK15" i="2" s="1"/>
  <c r="AK27" i="2" s="1"/>
  <c r="AM12" i="2"/>
  <c r="AM13" i="2" s="1"/>
  <c r="AL13" i="2"/>
  <c r="AJ19" i="2"/>
  <c r="AG20" i="2" l="1"/>
  <c r="AG21" i="2" s="1"/>
  <c r="AG22" i="2" s="1"/>
  <c r="AG23" i="2" s="1"/>
  <c r="AL14" i="2"/>
  <c r="AL15" i="2" s="1"/>
  <c r="AL27" i="2" s="1"/>
  <c r="AL16" i="2"/>
  <c r="AL18" i="2" s="1"/>
  <c r="AM16" i="2"/>
  <c r="AM18" i="2" s="1"/>
  <c r="AM14" i="2"/>
  <c r="AM15" i="2" s="1"/>
  <c r="AM27" i="2" s="1"/>
  <c r="AK19" i="2"/>
  <c r="AL19" i="2" l="1"/>
  <c r="AG24" i="2"/>
  <c r="AG32" i="2"/>
  <c r="AM19" i="2"/>
  <c r="AH20" i="2" l="1"/>
  <c r="AH21" i="2" s="1"/>
  <c r="AH22" i="2" s="1"/>
  <c r="AH23" i="2" s="1"/>
  <c r="AH24" i="2" l="1"/>
  <c r="AH32" i="2"/>
  <c r="AI20" i="2" l="1"/>
  <c r="AI21" i="2" s="1"/>
  <c r="AI22" i="2" s="1"/>
  <c r="AI23" i="2" s="1"/>
  <c r="AI24" i="2" l="1"/>
  <c r="AI32" i="2"/>
  <c r="AJ20" i="2" l="1"/>
  <c r="AJ21" i="2" s="1"/>
  <c r="AJ22" i="2" s="1"/>
  <c r="AJ23" i="2" s="1"/>
  <c r="AJ24" i="2" l="1"/>
  <c r="AJ32" i="2"/>
  <c r="AK20" i="2" l="1"/>
  <c r="AK21" i="2" s="1"/>
  <c r="AK22" i="2" s="1"/>
  <c r="AK23" i="2" s="1"/>
  <c r="AK24" i="2" l="1"/>
  <c r="AK32" i="2"/>
  <c r="AL20" i="2" l="1"/>
  <c r="AL21" i="2" s="1"/>
  <c r="AL22" i="2" s="1"/>
  <c r="AL23" i="2" s="1"/>
  <c r="AL24" i="2" s="1"/>
  <c r="AL32" i="2" l="1"/>
  <c r="AM20" i="2" l="1"/>
  <c r="AM21" i="2" s="1"/>
  <c r="AM22" i="2" s="1"/>
  <c r="AM23" i="2" s="1"/>
  <c r="AM24" i="2" l="1"/>
  <c r="AN23" i="2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AP30" i="2" s="1"/>
  <c r="AP31" i="2" s="1"/>
  <c r="AM32" i="2"/>
</calcChain>
</file>

<file path=xl/sharedStrings.xml><?xml version="1.0" encoding="utf-8"?>
<sst xmlns="http://schemas.openxmlformats.org/spreadsheetml/2006/main" count="123" uniqueCount="115">
  <si>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</si>
  <si>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</si>
  <si>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</si>
  <si>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</si>
  <si>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</si>
  <si>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</si>
  <si>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</si>
  <si>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</si>
  <si>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</si>
  <si>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</si>
  <si>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</si>
  <si>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</si>
  <si>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</si>
  <si>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</si>
  <si>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</si>
  <si>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</si>
  <si>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</si>
  <si>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</si>
  <si>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</si>
  <si>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Xyrem</t>
  </si>
  <si>
    <t>Revenue</t>
  </si>
  <si>
    <t>Xywav</t>
  </si>
  <si>
    <t>Epidiolex</t>
  </si>
  <si>
    <t>Sativex</t>
  </si>
  <si>
    <t>Sunosi</t>
  </si>
  <si>
    <t>Zepzelca</t>
  </si>
  <si>
    <t>Rylaze</t>
  </si>
  <si>
    <t>Vyxeos</t>
  </si>
  <si>
    <t>Defitelio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</si>
  <si>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</si>
  <si>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</si>
  <si>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</si>
  <si>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</si>
  <si>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</si>
  <si>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</si>
  <si>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</si>
  <si>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</si>
  <si>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</si>
  <si>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</si>
  <si>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</si>
  <si>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</si>
  <si>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Name</t>
  </si>
  <si>
    <t>Indication</t>
  </si>
  <si>
    <t>IH</t>
  </si>
  <si>
    <t>SCLC</t>
  </si>
  <si>
    <t>JZP815</t>
  </si>
  <si>
    <t>pan-RAF</t>
  </si>
  <si>
    <t>Epidyolex</t>
  </si>
  <si>
    <t>zanidatamab</t>
  </si>
  <si>
    <t>suvecaltamide</t>
  </si>
  <si>
    <t>Parkinson's</t>
  </si>
  <si>
    <t>JZP441</t>
  </si>
  <si>
    <t>orexin-2 agonist</t>
  </si>
  <si>
    <t>MOA</t>
  </si>
  <si>
    <t>Zepzelca (lurbinectedin)</t>
  </si>
  <si>
    <t>Rylaze (asparaginase)</t>
  </si>
  <si>
    <t>ALL</t>
  </si>
  <si>
    <t>TSC/Dravet</t>
  </si>
  <si>
    <t>Economics</t>
  </si>
  <si>
    <t>ZYME</t>
  </si>
  <si>
    <t>HER2</t>
  </si>
  <si>
    <t>T-type Ca inhibitor</t>
  </si>
  <si>
    <t>JZP150</t>
  </si>
  <si>
    <t>PTSD</t>
  </si>
  <si>
    <t>FAAH</t>
  </si>
  <si>
    <t>Approved</t>
  </si>
  <si>
    <t>Phase</t>
  </si>
  <si>
    <t>I</t>
  </si>
  <si>
    <t>Q123</t>
  </si>
  <si>
    <t>Q223</t>
  </si>
  <si>
    <t>Q323</t>
  </si>
  <si>
    <t>Q423</t>
  </si>
  <si>
    <t>Gross Margin</t>
  </si>
  <si>
    <t>Xywav (Ca, Mg, K, Na oxybate)</t>
  </si>
  <si>
    <t>Xyrem (Na oxybate)</t>
  </si>
  <si>
    <t>Brand</t>
  </si>
  <si>
    <t>IP</t>
  </si>
  <si>
    <t>9949937 MOU for epilepsy</t>
  </si>
  <si>
    <t>9956183 MOU</t>
  </si>
  <si>
    <t>9956184 MOU</t>
  </si>
  <si>
    <t>9956185 MOU</t>
  </si>
  <si>
    <t>9956186 MOU</t>
  </si>
  <si>
    <t>10092525 MOU for epilepsy</t>
  </si>
  <si>
    <t>10111840 MOU for epilepsy</t>
  </si>
  <si>
    <t>10137095 MOU for epilepsy</t>
  </si>
  <si>
    <t>10195159 plant based</t>
  </si>
  <si>
    <t>Manufacturing</t>
  </si>
  <si>
    <t>Plant-derived</t>
  </si>
  <si>
    <t>10603288 MOU</t>
  </si>
  <si>
    <t>10709671 MOU</t>
  </si>
  <si>
    <t>10709673 MOU</t>
  </si>
  <si>
    <t>10709674 MOU</t>
  </si>
  <si>
    <t>10849860 MOU</t>
  </si>
  <si>
    <t>10918608 MOU</t>
  </si>
  <si>
    <t>10966939 MOU</t>
  </si>
  <si>
    <t>11065209 MOU</t>
  </si>
  <si>
    <t>11096905 MOU</t>
  </si>
  <si>
    <t>11154516 MOU</t>
  </si>
  <si>
    <t>11160795 MOU</t>
  </si>
  <si>
    <t>11207292 formulation</t>
  </si>
  <si>
    <t>11311498 MOU</t>
  </si>
  <si>
    <t>11357741 MOU</t>
  </si>
  <si>
    <t>11400055 MOU</t>
  </si>
  <si>
    <t>11406623 MOU</t>
  </si>
  <si>
    <t>11446258 MOU</t>
  </si>
  <si>
    <t>Discount</t>
  </si>
  <si>
    <t>NPV</t>
  </si>
  <si>
    <t>ROIC</t>
  </si>
  <si>
    <t>Maturity</t>
  </si>
  <si>
    <t>Oxybate</t>
  </si>
  <si>
    <t>Net Cash</t>
  </si>
  <si>
    <t>Q224</t>
  </si>
  <si>
    <t>Q124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</si>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</sst>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872AF5D-F0BD-4294-B65A-15CA86B4AD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4065</xdr:colOff>
      <xdr:row>0</xdr:row>
      <xdr:rowOff>0</xdr:rowOff>
    </xdr:from>
    <xdr:to>
      <xdr:col>20</xdr:col>
      <xdr:colOff>4065</xdr:colOff>
      <xdr:row>41</xdr:row>
      <xdr:rowOff>29765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FAD753D-0FB2-EF5C-D299-95ABADB404B3}"/>
            </a:ext>
          </a:extLst>
        </xdr:cNvPr>
        <xdr:cNvCxnSpPr/>
      </xdr:nvCxnSpPr>
      <xdr:spPr>
        <a:xfrm>
          <a:off x="12475862" y="0"/>
          <a:ext cx="0" cy="67806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28605</xdr:colOff>
      <xdr:row>0</xdr:row>
      <xdr:rowOff>47625</xdr:rowOff>
    </xdr:from>
    <xdr:to>
      <xdr:col>26</xdr:col>
      <xdr:colOff>28605</xdr:colOff>
      <xdr:row>32</xdr:row>
      <xdr:rowOff>12342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652E3C-E721-43B0-AED9-7F673169A911}"/>
            </a:ext>
          </a:extLst>
        </xdr:cNvPr>
        <xdr:cNvCxnSpPr/>
      </xdr:nvCxnSpPr>
      <xdr:spPr>
        <a:xfrm>
          <a:off x="13714839" y="47625"/>
          <a:ext cx="0" cy="52689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F0EA-6190-476D-832E-2260D789DF8A}">
  <dimension ref="B2:L14"/>
  <sheetViews>
    <sheetView zoomScale="160" zoomScaleNormal="160" workbookViewId="0">
      <selection activeCell="A11" sqref="A11"/>
    </sheetView>
  </sheetViews>
  <sheetFormatPr defaultRowHeight="12.75" x14ac:dyDescent="0.2"/>
  <cols>
    <col min="1" max="1" width="3" customWidth="1"/>
    <col min="2" max="2" width="28.42578125" customWidth="1"/>
    <col min="3" max="3" width="11" customWidth="1"/>
    <col min="4" max="4" width="16.5703125" customWidth="1"/>
    <col min="5" max="5" width="10.85546875" customWidth="1"/>
    <col min="6" max="6" width="10.42578125" customWidth="1"/>
  </cols>
  <sheetData>
    <row r="2" spans="2:12" x14ac:dyDescent="0.2">
      <c r="B2" s="11" t="s">
        <v>41</v>
      </c>
      <c r="C2" s="21" t="s">
        <v>42</v>
      </c>
      <c r="D2" s="21" t="s">
        <v>53</v>
      </c>
      <c r="E2" s="21" t="s">
        <v>58</v>
      </c>
      <c r="F2" s="21" t="s">
        <v>65</v>
      </c>
      <c r="G2" s="12"/>
      <c r="H2" s="13"/>
      <c r="J2" t="s">
        <v>0</v>
      </c>
      <c r="K2" s="20">
        <v>115</v>
      </c>
    </row>
    <row r="3" spans="2:12" x14ac:dyDescent="0.2">
      <c r="B3" s="14" t="s">
        <v>73</v>
      </c>
      <c r="C3" s="23" t="s">
        <v>43</v>
      </c>
      <c r="D3" s="23"/>
      <c r="E3" s="23"/>
      <c r="F3" s="22">
        <v>44033</v>
      </c>
      <c r="H3" s="15"/>
      <c r="J3" t="s">
        <v>1</v>
      </c>
      <c r="K3" s="1">
        <v>61.753509999999999</v>
      </c>
      <c r="L3" s="2" t="s">
        <v>111</v>
      </c>
    </row>
    <row r="4" spans="2:12" x14ac:dyDescent="0.2">
      <c r="B4" s="14" t="s">
        <v>74</v>
      </c>
      <c r="C4" s="23" t="s">
        <v>43</v>
      </c>
      <c r="D4" s="23"/>
      <c r="E4" s="23"/>
      <c r="F4" s="22">
        <v>37454</v>
      </c>
      <c r="H4" s="15"/>
      <c r="J4" t="s">
        <v>2</v>
      </c>
      <c r="K4" s="1">
        <f>+K2*K3</f>
        <v>7101.6536500000002</v>
      </c>
    </row>
    <row r="5" spans="2:12" x14ac:dyDescent="0.2">
      <c r="B5" s="14" t="s">
        <v>55</v>
      </c>
      <c r="C5" s="23" t="s">
        <v>56</v>
      </c>
      <c r="D5" s="23"/>
      <c r="E5" s="23"/>
      <c r="F5" s="23"/>
      <c r="H5" s="15"/>
      <c r="J5" t="s">
        <v>3</v>
      </c>
      <c r="K5" s="1">
        <f>1355.802+625</f>
        <v>1980.8019999999999</v>
      </c>
      <c r="L5" s="2" t="s">
        <v>111</v>
      </c>
    </row>
    <row r="6" spans="2:12" x14ac:dyDescent="0.2">
      <c r="B6" s="14" t="s">
        <v>54</v>
      </c>
      <c r="C6" s="23" t="s">
        <v>44</v>
      </c>
      <c r="D6" s="23"/>
      <c r="E6" s="23"/>
      <c r="F6" s="23"/>
      <c r="H6" s="15"/>
      <c r="J6" t="s">
        <v>4</v>
      </c>
      <c r="K6" s="1">
        <f>5100.983+605.798</f>
        <v>5706.7809999999999</v>
      </c>
      <c r="L6" s="2" t="s">
        <v>111</v>
      </c>
    </row>
    <row r="7" spans="2:12" x14ac:dyDescent="0.2">
      <c r="B7" s="14" t="s">
        <v>47</v>
      </c>
      <c r="C7" s="23" t="s">
        <v>57</v>
      </c>
      <c r="D7" s="23"/>
      <c r="E7" s="23"/>
      <c r="F7" s="22">
        <v>43371</v>
      </c>
      <c r="H7" s="15"/>
      <c r="J7" t="s">
        <v>5</v>
      </c>
      <c r="K7" s="1">
        <f>+K4-K5+K6</f>
        <v>10827.63265</v>
      </c>
    </row>
    <row r="8" spans="2:12" x14ac:dyDescent="0.2">
      <c r="B8" s="11"/>
      <c r="C8" s="21"/>
      <c r="D8" s="21"/>
      <c r="E8" s="21"/>
      <c r="F8" s="21" t="s">
        <v>66</v>
      </c>
      <c r="G8" s="12"/>
      <c r="H8" s="13"/>
      <c r="K8" s="1"/>
    </row>
    <row r="9" spans="2:12" x14ac:dyDescent="0.2">
      <c r="B9" s="14" t="s">
        <v>45</v>
      </c>
      <c r="C9" s="23"/>
      <c r="D9" s="23" t="s">
        <v>46</v>
      </c>
      <c r="E9" s="23"/>
      <c r="F9" s="23" t="s">
        <v>67</v>
      </c>
      <c r="H9" s="15"/>
    </row>
    <row r="10" spans="2:12" x14ac:dyDescent="0.2">
      <c r="B10" s="14" t="s">
        <v>48</v>
      </c>
      <c r="C10" s="23"/>
      <c r="D10" s="23" t="s">
        <v>60</v>
      </c>
      <c r="E10" s="23" t="s">
        <v>59</v>
      </c>
      <c r="F10" s="23"/>
      <c r="H10" s="15"/>
    </row>
    <row r="11" spans="2:12" x14ac:dyDescent="0.2">
      <c r="B11" s="14" t="s">
        <v>49</v>
      </c>
      <c r="C11" s="23" t="s">
        <v>50</v>
      </c>
      <c r="D11" s="23" t="s">
        <v>61</v>
      </c>
      <c r="E11" s="23"/>
      <c r="F11" s="23"/>
      <c r="H11" s="15"/>
    </row>
    <row r="12" spans="2:12" x14ac:dyDescent="0.2">
      <c r="B12" s="14" t="s">
        <v>51</v>
      </c>
      <c r="C12" s="23"/>
      <c r="D12" s="23" t="s">
        <v>52</v>
      </c>
      <c r="E12" s="23"/>
      <c r="F12" s="23" t="s">
        <v>67</v>
      </c>
      <c r="H12" s="15"/>
    </row>
    <row r="13" spans="2:12" x14ac:dyDescent="0.2">
      <c r="B13" s="14" t="s">
        <v>62</v>
      </c>
      <c r="C13" s="23" t="s">
        <v>63</v>
      </c>
      <c r="D13" s="23" t="s">
        <v>64</v>
      </c>
      <c r="E13" s="23"/>
      <c r="F13" s="23"/>
      <c r="H13" s="15"/>
    </row>
    <row r="14" spans="2:12" x14ac:dyDescent="0.2">
      <c r="B14" s="16"/>
      <c r="C14" s="24"/>
      <c r="D14" s="24"/>
      <c r="E14" s="24"/>
      <c r="F14" s="24"/>
      <c r="G14" s="17"/>
      <c r="H14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5E3F-0D5A-4F1A-A75A-A8CE578AC72F}">
  <dimension ref="A1:CX32"/>
  <sheetViews>
    <sheetView tabSelected="1" zoomScale="160" zoomScaleNormal="16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V26" sqref="V26"/>
    </sheetView>
  </sheetViews>
  <sheetFormatPr defaultRowHeight="12.75" x14ac:dyDescent="0.2"/>
  <cols>
    <col min="1" max="1" width="5" bestFit="1" customWidth="1"/>
    <col min="2" max="2" width="18.140625" bestFit="1" customWidth="1"/>
    <col min="3" max="16" width="9.140625" style="2"/>
    <col min="42" max="42" width="11.140625" bestFit="1" customWidth="1"/>
  </cols>
  <sheetData>
    <row r="1" spans="1:39" x14ac:dyDescent="0.2">
      <c r="A1" s="8" t="s">
        <v>7</v>
      </c>
    </row>
    <row r="2" spans="1:39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68</v>
      </c>
      <c r="P2" s="2" t="s">
        <v>69</v>
      </c>
      <c r="Q2" s="2" t="s">
        <v>70</v>
      </c>
      <c r="R2" s="2" t="s">
        <v>71</v>
      </c>
      <c r="S2" s="2" t="s">
        <v>112</v>
      </c>
      <c r="T2" s="2" t="s">
        <v>111</v>
      </c>
      <c r="U2" s="2" t="s">
        <v>113</v>
      </c>
      <c r="V2" s="2" t="s">
        <v>114</v>
      </c>
      <c r="X2">
        <v>2020</v>
      </c>
      <c r="Y2">
        <f>+X2+1</f>
        <v>2021</v>
      </c>
      <c r="Z2">
        <f t="shared" ref="Z2:AM2" si="0">+Y2+1</f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  <c r="AG2">
        <f t="shared" si="0"/>
        <v>2029</v>
      </c>
      <c r="AH2">
        <f t="shared" si="0"/>
        <v>2030</v>
      </c>
      <c r="AI2">
        <f t="shared" si="0"/>
        <v>2031</v>
      </c>
      <c r="AJ2">
        <f t="shared" si="0"/>
        <v>2032</v>
      </c>
      <c r="AK2">
        <f t="shared" si="0"/>
        <v>2033</v>
      </c>
      <c r="AL2">
        <f t="shared" si="0"/>
        <v>2034</v>
      </c>
      <c r="AM2">
        <f t="shared" si="0"/>
        <v>2035</v>
      </c>
    </row>
    <row r="3" spans="1:39" s="3" customFormat="1" x14ac:dyDescent="0.2">
      <c r="B3" s="3" t="s">
        <v>19</v>
      </c>
      <c r="C3" s="4"/>
      <c r="D3" s="4"/>
      <c r="E3" s="4"/>
      <c r="F3" s="4">
        <v>439.26600000000002</v>
      </c>
      <c r="G3" s="4">
        <v>335.55</v>
      </c>
      <c r="H3" s="4">
        <v>334.18200000000002</v>
      </c>
      <c r="I3" s="4">
        <v>307.33300000000003</v>
      </c>
      <c r="J3" s="4">
        <v>288.76499999999999</v>
      </c>
      <c r="K3" s="4">
        <v>247.49700000000001</v>
      </c>
      <c r="L3" s="4">
        <v>269.42099999999999</v>
      </c>
      <c r="M3" s="4">
        <v>256.03899999999999</v>
      </c>
      <c r="N3" s="4">
        <v>247.49600000000001</v>
      </c>
      <c r="O3" s="4">
        <v>178.13</v>
      </c>
      <c r="P3" s="4">
        <v>159.76900000000001</v>
      </c>
      <c r="Q3" s="4">
        <v>125.11</v>
      </c>
      <c r="R3" s="4">
        <v>106.721</v>
      </c>
      <c r="S3" s="4">
        <v>64.231999999999999</v>
      </c>
      <c r="T3" s="4">
        <v>62.18</v>
      </c>
      <c r="U3" s="4">
        <f>+T3-1</f>
        <v>61.18</v>
      </c>
      <c r="V3" s="4">
        <f>+U3-1</f>
        <v>60.18</v>
      </c>
      <c r="Y3" s="3">
        <f>SUM(G3:J3)</f>
        <v>1265.83</v>
      </c>
      <c r="Z3" s="3">
        <f t="shared" ref="Z3:Z8" si="1">SUM(K3:N3)</f>
        <v>1020.453</v>
      </c>
      <c r="AA3" s="3">
        <f>SUM(O3:R3)</f>
        <v>569.73</v>
      </c>
      <c r="AB3" s="3">
        <f>+AA3*0.5</f>
        <v>284.86500000000001</v>
      </c>
      <c r="AC3" s="3">
        <f t="shared" ref="AC3:AL3" si="2">+AB3*0.5</f>
        <v>142.4325</v>
      </c>
      <c r="AD3" s="3">
        <f t="shared" si="2"/>
        <v>71.216250000000002</v>
      </c>
      <c r="AE3" s="3">
        <f t="shared" si="2"/>
        <v>35.608125000000001</v>
      </c>
      <c r="AF3" s="3">
        <f t="shared" si="2"/>
        <v>17.804062500000001</v>
      </c>
      <c r="AG3" s="3">
        <f t="shared" si="2"/>
        <v>8.9020312500000003</v>
      </c>
      <c r="AH3" s="3">
        <f t="shared" si="2"/>
        <v>4.4510156250000001</v>
      </c>
      <c r="AI3" s="3">
        <f t="shared" si="2"/>
        <v>2.2255078125000001</v>
      </c>
      <c r="AJ3" s="3">
        <f t="shared" si="2"/>
        <v>1.11275390625</v>
      </c>
      <c r="AK3" s="3">
        <f t="shared" si="2"/>
        <v>0.55637695312500002</v>
      </c>
      <c r="AL3" s="3">
        <f t="shared" si="2"/>
        <v>0.27818847656250001</v>
      </c>
      <c r="AM3" s="3">
        <f t="shared" ref="AM3" si="3">+AL3*0.5</f>
        <v>0.13909423828125</v>
      </c>
    </row>
    <row r="4" spans="1:39" s="3" customFormat="1" x14ac:dyDescent="0.2">
      <c r="B4" s="3" t="s">
        <v>21</v>
      </c>
      <c r="C4" s="4"/>
      <c r="D4" s="4"/>
      <c r="E4" s="4"/>
      <c r="F4" s="4">
        <v>15.263999999999999</v>
      </c>
      <c r="G4" s="4">
        <v>75.415999999999997</v>
      </c>
      <c r="H4" s="4">
        <v>124.164</v>
      </c>
      <c r="I4" s="4">
        <v>153.06299999999999</v>
      </c>
      <c r="J4" s="4">
        <v>182.654</v>
      </c>
      <c r="K4" s="4">
        <v>186.08</v>
      </c>
      <c r="L4" s="4">
        <v>235.02500000000001</v>
      </c>
      <c r="M4" s="4">
        <v>255.93600000000001</v>
      </c>
      <c r="N4" s="4">
        <v>281.38400000000001</v>
      </c>
      <c r="O4" s="4">
        <v>277.76100000000002</v>
      </c>
      <c r="P4" s="4">
        <v>326.56400000000002</v>
      </c>
      <c r="Q4" s="4">
        <v>331.63299999999998</v>
      </c>
      <c r="R4" s="4">
        <v>337.01900000000001</v>
      </c>
      <c r="S4" s="4">
        <v>315.3</v>
      </c>
      <c r="T4" s="4">
        <v>368.47199999999998</v>
      </c>
      <c r="U4" s="4">
        <f>+Q4*1.1</f>
        <v>364.79630000000003</v>
      </c>
      <c r="V4" s="4">
        <f>+R4*1.1</f>
        <v>370.72090000000003</v>
      </c>
      <c r="Y4" s="3">
        <f t="shared" ref="Y4:Y17" si="4">SUM(G4:J4)</f>
        <v>535.29700000000003</v>
      </c>
      <c r="Z4" s="3">
        <f t="shared" si="1"/>
        <v>958.42500000000007</v>
      </c>
      <c r="AA4" s="3">
        <f t="shared" ref="AA4:AA16" si="5">SUM(O4:R4)</f>
        <v>1272.9770000000001</v>
      </c>
      <c r="AB4" s="3">
        <f>+AA4*1.1</f>
        <v>1400.2747000000002</v>
      </c>
      <c r="AC4" s="3">
        <f t="shared" ref="AC4:AD4" si="6">+AB4*1.1</f>
        <v>1540.3021700000004</v>
      </c>
      <c r="AD4" s="3">
        <f t="shared" si="6"/>
        <v>1694.3323870000006</v>
      </c>
      <c r="AE4" s="3">
        <f>+AD4*1.05</f>
        <v>1779.0490063500008</v>
      </c>
      <c r="AF4" s="3">
        <f t="shared" ref="AF4:AJ4" si="7">+AE4*1.05</f>
        <v>1868.0014566675009</v>
      </c>
      <c r="AG4" s="3">
        <f t="shared" si="7"/>
        <v>1961.401529500876</v>
      </c>
      <c r="AH4" s="3">
        <f t="shared" si="7"/>
        <v>2059.4716059759198</v>
      </c>
      <c r="AI4" s="3">
        <f t="shared" si="7"/>
        <v>2162.445186274716</v>
      </c>
      <c r="AJ4" s="3">
        <f t="shared" si="7"/>
        <v>2270.5674455884518</v>
      </c>
      <c r="AK4" s="3">
        <f>+AJ4*0.5</f>
        <v>1135.2837227942259</v>
      </c>
      <c r="AL4" s="3">
        <f>+AK4*0.2</f>
        <v>227.0567445588452</v>
      </c>
      <c r="AM4" s="3">
        <f t="shared" ref="AM4" si="8">+AL4*0.2</f>
        <v>45.411348911769039</v>
      </c>
    </row>
    <row r="5" spans="1:39" s="3" customFormat="1" x14ac:dyDescent="0.2">
      <c r="B5" s="3" t="s">
        <v>22</v>
      </c>
      <c r="C5" s="4"/>
      <c r="D5" s="4"/>
      <c r="E5" s="4"/>
      <c r="F5" s="4">
        <v>0</v>
      </c>
      <c r="G5" s="4">
        <v>0</v>
      </c>
      <c r="H5" s="4">
        <v>109.48099999999999</v>
      </c>
      <c r="I5" s="4">
        <v>160.37799999999999</v>
      </c>
      <c r="J5" s="4">
        <v>193.786</v>
      </c>
      <c r="K5" s="4">
        <v>157.893</v>
      </c>
      <c r="L5" s="4">
        <v>175.28899999999999</v>
      </c>
      <c r="M5" s="4">
        <v>196.21799999999999</v>
      </c>
      <c r="N5" s="4">
        <v>206.99799999999999</v>
      </c>
      <c r="O5" s="4">
        <v>188.90899999999999</v>
      </c>
      <c r="P5" s="4">
        <v>202.226</v>
      </c>
      <c r="Q5" s="4">
        <v>213.71100000000001</v>
      </c>
      <c r="R5" s="4">
        <v>240.62200000000001</v>
      </c>
      <c r="S5" s="4">
        <v>198.71600000000001</v>
      </c>
      <c r="T5" s="4">
        <v>247.102</v>
      </c>
      <c r="U5" s="4">
        <f>+Q5*1.1</f>
        <v>235.08210000000003</v>
      </c>
      <c r="V5" s="4">
        <f>+R5*1.1</f>
        <v>264.68420000000003</v>
      </c>
      <c r="Y5" s="3">
        <f t="shared" si="4"/>
        <v>463.64499999999998</v>
      </c>
      <c r="Z5" s="3">
        <f t="shared" si="1"/>
        <v>736.39799999999991</v>
      </c>
      <c r="AA5" s="3">
        <f t="shared" si="5"/>
        <v>845.46800000000007</v>
      </c>
      <c r="AB5" s="3">
        <f>+AA5*1.1</f>
        <v>930.01480000000015</v>
      </c>
      <c r="AC5" s="3">
        <f t="shared" ref="AC5:AD5" si="9">+AB5*1.1</f>
        <v>1023.0162800000003</v>
      </c>
      <c r="AD5" s="3">
        <f t="shared" si="9"/>
        <v>1125.3179080000004</v>
      </c>
      <c r="AE5" s="3">
        <f>+AD5*1.03</f>
        <v>1159.0774452400005</v>
      </c>
      <c r="AF5" s="3">
        <f>+AE5*0.7</f>
        <v>811.35421166800029</v>
      </c>
      <c r="AG5" s="3">
        <f>+AF5*0.7</f>
        <v>567.9479481676002</v>
      </c>
      <c r="AH5" s="3">
        <f t="shared" ref="AH5:AM5" si="10">+AG5*0.7</f>
        <v>397.56356371732011</v>
      </c>
      <c r="AI5" s="3">
        <f t="shared" si="10"/>
        <v>278.29449460212408</v>
      </c>
      <c r="AJ5" s="3">
        <f t="shared" si="10"/>
        <v>194.80614622148684</v>
      </c>
      <c r="AK5" s="3">
        <f t="shared" si="10"/>
        <v>136.36430235504079</v>
      </c>
      <c r="AL5" s="3">
        <f t="shared" si="10"/>
        <v>95.455011648528554</v>
      </c>
      <c r="AM5" s="3">
        <f t="shared" si="10"/>
        <v>66.818508153969987</v>
      </c>
    </row>
    <row r="6" spans="1:39" s="3" customFormat="1" x14ac:dyDescent="0.2">
      <c r="B6" s="3" t="s">
        <v>23</v>
      </c>
      <c r="C6" s="4"/>
      <c r="D6" s="4"/>
      <c r="E6" s="4"/>
      <c r="F6" s="4">
        <v>0</v>
      </c>
      <c r="G6" s="4">
        <v>0</v>
      </c>
      <c r="H6" s="4">
        <v>1.9610000000000001</v>
      </c>
      <c r="I6" s="4">
        <v>6.0970000000000004</v>
      </c>
      <c r="J6" s="4">
        <v>4.649</v>
      </c>
      <c r="K6" s="4">
        <v>4.742</v>
      </c>
      <c r="L6" s="4">
        <v>4.1420000000000003</v>
      </c>
      <c r="M6" s="4">
        <v>3.22</v>
      </c>
      <c r="N6" s="4">
        <v>4.7210000000000001</v>
      </c>
      <c r="O6" s="4">
        <v>7.0979999999999999</v>
      </c>
      <c r="P6" s="4">
        <v>2.806</v>
      </c>
      <c r="Q6" s="4">
        <v>4.6269999999999998</v>
      </c>
      <c r="R6" s="4">
        <v>5.1369999999999996</v>
      </c>
      <c r="S6" s="4">
        <v>2.7349999999999999</v>
      </c>
      <c r="T6" s="4">
        <v>6.383</v>
      </c>
      <c r="U6" s="4">
        <f>+T6</f>
        <v>6.383</v>
      </c>
      <c r="V6" s="4">
        <f>+U6</f>
        <v>6.383</v>
      </c>
      <c r="Y6" s="3">
        <f t="shared" si="4"/>
        <v>12.707000000000001</v>
      </c>
      <c r="Z6" s="3">
        <f t="shared" si="1"/>
        <v>16.825000000000003</v>
      </c>
      <c r="AA6" s="3">
        <f t="shared" si="5"/>
        <v>19.667999999999999</v>
      </c>
      <c r="AB6" s="3">
        <f>+AA6*0.9</f>
        <v>17.7012</v>
      </c>
      <c r="AC6" s="3">
        <f t="shared" ref="AC6:AM6" si="11">+AB6*0.9</f>
        <v>15.93108</v>
      </c>
      <c r="AD6" s="3">
        <f t="shared" si="11"/>
        <v>14.337972000000001</v>
      </c>
      <c r="AE6" s="3">
        <f t="shared" si="11"/>
        <v>12.904174800000002</v>
      </c>
      <c r="AF6" s="3">
        <f t="shared" si="11"/>
        <v>11.613757320000001</v>
      </c>
      <c r="AG6" s="3">
        <f t="shared" si="11"/>
        <v>10.452381588000001</v>
      </c>
      <c r="AH6" s="3">
        <f t="shared" si="11"/>
        <v>9.4071434292000013</v>
      </c>
      <c r="AI6" s="3">
        <f t="shared" si="11"/>
        <v>8.4664290862800016</v>
      </c>
      <c r="AJ6" s="3">
        <f t="shared" si="11"/>
        <v>7.6197861776520019</v>
      </c>
      <c r="AK6" s="3">
        <f t="shared" si="11"/>
        <v>6.857807559886802</v>
      </c>
      <c r="AL6" s="3">
        <f t="shared" si="11"/>
        <v>6.1720268038981221</v>
      </c>
      <c r="AM6" s="3">
        <f t="shared" si="11"/>
        <v>5.5548241235083102</v>
      </c>
    </row>
    <row r="7" spans="1:39" s="3" customFormat="1" x14ac:dyDescent="0.2">
      <c r="B7" s="3" t="s">
        <v>24</v>
      </c>
      <c r="C7" s="4"/>
      <c r="D7" s="4"/>
      <c r="E7" s="4"/>
      <c r="F7" s="4">
        <v>8.7149999999999999</v>
      </c>
      <c r="G7" s="4">
        <v>11.606</v>
      </c>
      <c r="H7" s="4">
        <v>12.124000000000001</v>
      </c>
      <c r="I7" s="4">
        <v>19.251000000000001</v>
      </c>
      <c r="J7" s="4">
        <v>14.933</v>
      </c>
      <c r="K7" s="4">
        <v>15.878</v>
      </c>
      <c r="L7" s="4">
        <v>12.965999999999999</v>
      </c>
      <c r="M7" s="4">
        <v>0</v>
      </c>
      <c r="N7" s="4">
        <f t="shared" ref="N7" si="12">+M7*0.9</f>
        <v>0</v>
      </c>
      <c r="O7" s="4"/>
      <c r="P7" s="4"/>
      <c r="Q7" s="4"/>
      <c r="R7" s="4"/>
      <c r="S7" s="4"/>
      <c r="T7" s="4"/>
      <c r="U7" s="4"/>
      <c r="V7" s="4"/>
      <c r="Y7" s="3">
        <f t="shared" si="4"/>
        <v>57.914000000000001</v>
      </c>
      <c r="Z7" s="3">
        <f t="shared" si="1"/>
        <v>28.844000000000001</v>
      </c>
      <c r="AA7" s="3">
        <f t="shared" si="5"/>
        <v>0</v>
      </c>
      <c r="AB7" s="3">
        <f t="shared" ref="AB7:AM7" si="13">+AA7*0.9</f>
        <v>0</v>
      </c>
      <c r="AC7" s="3">
        <f t="shared" si="13"/>
        <v>0</v>
      </c>
      <c r="AD7" s="3">
        <f t="shared" si="13"/>
        <v>0</v>
      </c>
      <c r="AE7" s="3">
        <f t="shared" si="13"/>
        <v>0</v>
      </c>
      <c r="AF7" s="3">
        <f t="shared" si="13"/>
        <v>0</v>
      </c>
      <c r="AG7" s="3">
        <f t="shared" si="13"/>
        <v>0</v>
      </c>
      <c r="AH7" s="3">
        <f t="shared" si="13"/>
        <v>0</v>
      </c>
      <c r="AI7" s="3">
        <f t="shared" si="13"/>
        <v>0</v>
      </c>
      <c r="AJ7" s="3">
        <f t="shared" si="13"/>
        <v>0</v>
      </c>
      <c r="AK7" s="3">
        <f t="shared" si="13"/>
        <v>0</v>
      </c>
      <c r="AL7" s="3">
        <f t="shared" si="13"/>
        <v>0</v>
      </c>
      <c r="AM7" s="3">
        <f t="shared" si="13"/>
        <v>0</v>
      </c>
    </row>
    <row r="8" spans="1:39" s="3" customFormat="1" x14ac:dyDescent="0.2">
      <c r="B8" s="3" t="s">
        <v>25</v>
      </c>
      <c r="C8" s="4"/>
      <c r="D8" s="4"/>
      <c r="E8" s="4"/>
      <c r="F8" s="4">
        <v>53.439</v>
      </c>
      <c r="G8" s="4">
        <v>54.334000000000003</v>
      </c>
      <c r="H8" s="4">
        <v>55.923999999999999</v>
      </c>
      <c r="I8" s="4">
        <v>71.713999999999999</v>
      </c>
      <c r="J8" s="4">
        <v>64.835999999999999</v>
      </c>
      <c r="K8" s="4">
        <v>59.338000000000001</v>
      </c>
      <c r="L8" s="4">
        <v>68.284999999999997</v>
      </c>
      <c r="M8" s="4">
        <v>70.319999999999993</v>
      </c>
      <c r="N8" s="4">
        <v>71.968999999999994</v>
      </c>
      <c r="O8" s="4">
        <v>67.180999999999997</v>
      </c>
      <c r="P8" s="4">
        <v>70.347999999999999</v>
      </c>
      <c r="Q8" s="4">
        <v>77.994</v>
      </c>
      <c r="R8" s="4">
        <v>74.010000000000005</v>
      </c>
      <c r="S8" s="4">
        <v>75.099999999999994</v>
      </c>
      <c r="T8" s="4">
        <v>81.046999999999997</v>
      </c>
      <c r="U8" s="4">
        <f>+Q8*1.1</f>
        <v>85.793400000000005</v>
      </c>
      <c r="V8" s="4">
        <f>+R8*1.1</f>
        <v>81.411000000000016</v>
      </c>
      <c r="Y8" s="3">
        <f t="shared" si="4"/>
        <v>246.80799999999999</v>
      </c>
      <c r="Z8" s="3">
        <f t="shared" si="1"/>
        <v>269.91199999999998</v>
      </c>
      <c r="AA8" s="3">
        <f t="shared" si="5"/>
        <v>289.53300000000002</v>
      </c>
    </row>
    <row r="9" spans="1:39" s="3" customFormat="1" x14ac:dyDescent="0.2">
      <c r="B9" s="3" t="s">
        <v>26</v>
      </c>
      <c r="C9" s="4"/>
      <c r="D9" s="4"/>
      <c r="E9" s="4"/>
      <c r="F9" s="4">
        <v>0</v>
      </c>
      <c r="G9" s="4">
        <v>0</v>
      </c>
      <c r="H9" s="4">
        <v>0</v>
      </c>
      <c r="I9" s="4">
        <v>20.673999999999999</v>
      </c>
      <c r="J9" s="4">
        <v>64.954999999999998</v>
      </c>
      <c r="K9" s="4">
        <v>54.22</v>
      </c>
      <c r="L9" s="4">
        <v>72.953999999999994</v>
      </c>
      <c r="M9" s="4">
        <v>73.513000000000005</v>
      </c>
      <c r="N9" s="4">
        <v>80.971999999999994</v>
      </c>
      <c r="O9" s="4">
        <v>85.927000000000007</v>
      </c>
      <c r="P9" s="4">
        <v>101.693</v>
      </c>
      <c r="Q9" s="4">
        <v>104.85899999999999</v>
      </c>
      <c r="R9" s="4">
        <v>101.747</v>
      </c>
      <c r="S9" s="4">
        <v>102.75</v>
      </c>
      <c r="T9" s="4">
        <v>107.82899999999999</v>
      </c>
      <c r="U9" s="4">
        <f t="shared" ref="U9:U12" si="14">+Q9*1.1</f>
        <v>115.34490000000001</v>
      </c>
      <c r="V9" s="4">
        <f t="shared" ref="V9:V12" si="15">+R9*1.1</f>
        <v>111.92170000000002</v>
      </c>
      <c r="Y9" s="3">
        <f t="shared" si="4"/>
        <v>85.628999999999991</v>
      </c>
      <c r="Z9" s="3">
        <f t="shared" ref="Z9:Z17" si="16">SUM(K9:N9)</f>
        <v>281.65899999999999</v>
      </c>
      <c r="AA9" s="3">
        <f t="shared" si="5"/>
        <v>394.226</v>
      </c>
    </row>
    <row r="10" spans="1:39" s="3" customFormat="1" x14ac:dyDescent="0.2">
      <c r="B10" s="3" t="s">
        <v>27</v>
      </c>
      <c r="C10" s="4"/>
      <c r="D10" s="4"/>
      <c r="E10" s="4"/>
      <c r="F10" s="4">
        <v>30.992000000000001</v>
      </c>
      <c r="G10" s="4">
        <v>33.155000000000001</v>
      </c>
      <c r="H10" s="4">
        <v>31.452999999999999</v>
      </c>
      <c r="I10" s="4">
        <v>34.688000000000002</v>
      </c>
      <c r="J10" s="4">
        <v>34.764000000000003</v>
      </c>
      <c r="K10" s="4">
        <v>33.756999999999998</v>
      </c>
      <c r="L10" s="4">
        <v>33.89</v>
      </c>
      <c r="M10" s="4">
        <v>30.067</v>
      </c>
      <c r="N10" s="4">
        <v>30.265999999999998</v>
      </c>
      <c r="O10" s="4">
        <v>36.700000000000003</v>
      </c>
      <c r="P10" s="4">
        <v>34.055999999999997</v>
      </c>
      <c r="Q10" s="4">
        <v>29.827000000000002</v>
      </c>
      <c r="R10" s="4">
        <v>46.911999999999999</v>
      </c>
      <c r="S10" s="4">
        <v>32.023000000000003</v>
      </c>
      <c r="T10" s="4">
        <v>43.012</v>
      </c>
      <c r="U10" s="4">
        <f t="shared" si="14"/>
        <v>32.809700000000007</v>
      </c>
      <c r="V10" s="4">
        <f t="shared" si="15"/>
        <v>51.603200000000001</v>
      </c>
      <c r="Y10" s="3">
        <f t="shared" si="4"/>
        <v>134.06</v>
      </c>
      <c r="Z10" s="3">
        <f t="shared" si="16"/>
        <v>127.97999999999999</v>
      </c>
      <c r="AA10" s="3">
        <f t="shared" si="5"/>
        <v>147.495</v>
      </c>
      <c r="AB10" s="3">
        <f>+AA10*0.99</f>
        <v>146.02005</v>
      </c>
      <c r="AC10" s="3">
        <f t="shared" ref="AC10:AM10" si="17">+AB10*0.99</f>
        <v>144.55984949999998</v>
      </c>
      <c r="AD10" s="3">
        <f t="shared" si="17"/>
        <v>143.11425100499997</v>
      </c>
      <c r="AE10" s="3">
        <f t="shared" si="17"/>
        <v>141.68310849494998</v>
      </c>
      <c r="AF10" s="3">
        <f t="shared" si="17"/>
        <v>140.26627741000047</v>
      </c>
      <c r="AG10" s="3">
        <f t="shared" si="17"/>
        <v>138.86361463590046</v>
      </c>
      <c r="AH10" s="3">
        <f t="shared" si="17"/>
        <v>137.47497848954146</v>
      </c>
      <c r="AI10" s="3">
        <f t="shared" si="17"/>
        <v>136.10022870464604</v>
      </c>
      <c r="AJ10" s="3">
        <f t="shared" si="17"/>
        <v>134.73922641759958</v>
      </c>
      <c r="AK10" s="3">
        <f t="shared" si="17"/>
        <v>133.39183415342359</v>
      </c>
      <c r="AL10" s="3">
        <f t="shared" si="17"/>
        <v>132.05791581188936</v>
      </c>
      <c r="AM10" s="3">
        <f t="shared" si="17"/>
        <v>130.73733665377046</v>
      </c>
    </row>
    <row r="11" spans="1:39" s="3" customFormat="1" x14ac:dyDescent="0.2">
      <c r="B11" s="3" t="s">
        <v>28</v>
      </c>
      <c r="C11" s="4"/>
      <c r="D11" s="4"/>
      <c r="E11" s="4"/>
      <c r="F11" s="4">
        <v>55.454999999999998</v>
      </c>
      <c r="G11" s="4">
        <v>49.619</v>
      </c>
      <c r="H11" s="4">
        <v>48.095999999999997</v>
      </c>
      <c r="I11" s="4">
        <v>57.704999999999998</v>
      </c>
      <c r="J11" s="4">
        <v>42.511000000000003</v>
      </c>
      <c r="K11" s="4">
        <v>49.488999999999997</v>
      </c>
      <c r="L11" s="4">
        <v>54.695999999999998</v>
      </c>
      <c r="M11" s="4">
        <v>49.451999999999998</v>
      </c>
      <c r="N11" s="4">
        <v>40.652999999999999</v>
      </c>
      <c r="O11" s="4">
        <v>39.079000000000001</v>
      </c>
      <c r="P11" s="4">
        <v>46.107999999999997</v>
      </c>
      <c r="Q11" s="4">
        <v>47.73</v>
      </c>
      <c r="R11" s="4">
        <v>51.082999999999998</v>
      </c>
      <c r="S11" s="4">
        <v>47.676000000000002</v>
      </c>
      <c r="T11" s="4">
        <v>45.420999999999999</v>
      </c>
      <c r="U11" s="4">
        <f t="shared" si="14"/>
        <v>52.503</v>
      </c>
      <c r="V11" s="4">
        <f t="shared" si="15"/>
        <v>56.191300000000005</v>
      </c>
      <c r="Y11" s="3">
        <f t="shared" si="4"/>
        <v>197.93100000000001</v>
      </c>
      <c r="Z11" s="3">
        <f t="shared" si="16"/>
        <v>194.29</v>
      </c>
      <c r="AA11" s="3">
        <f t="shared" si="5"/>
        <v>184</v>
      </c>
      <c r="AB11" s="3">
        <f t="shared" ref="AB11:AM11" si="18">+AA11*0.99</f>
        <v>182.16</v>
      </c>
      <c r="AC11" s="3">
        <f t="shared" si="18"/>
        <v>180.33840000000001</v>
      </c>
      <c r="AD11" s="3">
        <f t="shared" si="18"/>
        <v>178.53501600000001</v>
      </c>
      <c r="AE11" s="3">
        <f t="shared" si="18"/>
        <v>176.74966584000001</v>
      </c>
      <c r="AF11" s="3">
        <f t="shared" si="18"/>
        <v>174.9821691816</v>
      </c>
      <c r="AG11" s="3">
        <f t="shared" si="18"/>
        <v>173.23234748978399</v>
      </c>
      <c r="AH11" s="3">
        <f t="shared" si="18"/>
        <v>171.50002401488615</v>
      </c>
      <c r="AI11" s="3">
        <f t="shared" si="18"/>
        <v>169.78502377473728</v>
      </c>
      <c r="AJ11" s="3">
        <f t="shared" si="18"/>
        <v>168.08717353698992</v>
      </c>
      <c r="AK11" s="3">
        <f t="shared" si="18"/>
        <v>166.40630180162003</v>
      </c>
      <c r="AL11" s="3">
        <f t="shared" si="18"/>
        <v>164.74223878360382</v>
      </c>
      <c r="AM11" s="3">
        <f t="shared" si="18"/>
        <v>163.09481639576779</v>
      </c>
    </row>
    <row r="12" spans="1:39" s="3" customFormat="1" x14ac:dyDescent="0.2">
      <c r="B12" s="3" t="s">
        <v>29</v>
      </c>
      <c r="C12" s="4"/>
      <c r="D12" s="4"/>
      <c r="E12" s="4"/>
      <c r="F12" s="4">
        <f>4.214+1.596+56.576</f>
        <v>62.386000000000003</v>
      </c>
      <c r="G12" s="4">
        <f>41.068+4.05+2.783</f>
        <v>47.900999999999996</v>
      </c>
      <c r="H12" s="4">
        <f>28.314+2.641+3.471</f>
        <v>34.426000000000002</v>
      </c>
      <c r="I12" s="4">
        <f>3.344+3.868</f>
        <v>7.2119999999999997</v>
      </c>
      <c r="J12" s="4">
        <f>3.848+1.03</f>
        <v>4.8780000000000001</v>
      </c>
      <c r="K12" s="4">
        <f>0+0.943+3.884</f>
        <v>4.827</v>
      </c>
      <c r="L12" s="4">
        <f>4.578+1.632</f>
        <v>6.21</v>
      </c>
      <c r="M12" s="4">
        <f>1.001+4.886</f>
        <v>5.8870000000000005</v>
      </c>
      <c r="N12" s="4">
        <f>3.067+4.597</f>
        <v>7.6640000000000006</v>
      </c>
      <c r="O12" s="4">
        <f>2.096+6.497+3.434</f>
        <v>12.027000000000001</v>
      </c>
      <c r="P12" s="4">
        <f>3.417+10.33</f>
        <v>13.747</v>
      </c>
      <c r="Q12" s="4">
        <f>2.907+28.921+4.821</f>
        <v>36.649000000000001</v>
      </c>
      <c r="R12" s="4">
        <f>4.088+5.209+39.387</f>
        <v>48.683999999999997</v>
      </c>
      <c r="S12" s="4">
        <f>3.57+49.947+9.934</f>
        <v>63.451000000000001</v>
      </c>
      <c r="T12" s="4">
        <f>2.698+59.681</f>
        <v>62.378999999999998</v>
      </c>
      <c r="U12" s="4">
        <f t="shared" si="14"/>
        <v>40.313900000000004</v>
      </c>
      <c r="V12" s="4">
        <f t="shared" si="15"/>
        <v>53.552399999999999</v>
      </c>
      <c r="Y12" s="3">
        <f t="shared" si="4"/>
        <v>94.417000000000002</v>
      </c>
      <c r="Z12" s="3">
        <f t="shared" si="16"/>
        <v>24.588000000000001</v>
      </c>
      <c r="AA12" s="3">
        <f t="shared" si="5"/>
        <v>111.107</v>
      </c>
      <c r="AB12" s="3">
        <f t="shared" ref="AB12:AM12" si="19">+AA12*0.99</f>
        <v>109.99593</v>
      </c>
      <c r="AC12" s="3">
        <f t="shared" si="19"/>
        <v>108.89597070000001</v>
      </c>
      <c r="AD12" s="3">
        <f t="shared" si="19"/>
        <v>107.80701099300001</v>
      </c>
      <c r="AE12" s="3">
        <f t="shared" si="19"/>
        <v>106.72894088307001</v>
      </c>
      <c r="AF12" s="3">
        <f t="shared" si="19"/>
        <v>105.66165147423931</v>
      </c>
      <c r="AG12" s="3">
        <f t="shared" si="19"/>
        <v>104.60503495949692</v>
      </c>
      <c r="AH12" s="3">
        <f t="shared" si="19"/>
        <v>103.55898460990196</v>
      </c>
      <c r="AI12" s="3">
        <f t="shared" si="19"/>
        <v>102.52339476380294</v>
      </c>
      <c r="AJ12" s="3">
        <f t="shared" si="19"/>
        <v>101.49816081616491</v>
      </c>
      <c r="AK12" s="3">
        <f t="shared" si="19"/>
        <v>100.48317920800326</v>
      </c>
      <c r="AL12" s="3">
        <f t="shared" si="19"/>
        <v>99.478347415923224</v>
      </c>
      <c r="AM12" s="3">
        <f t="shared" si="19"/>
        <v>98.48356394176399</v>
      </c>
    </row>
    <row r="13" spans="1:39" s="5" customFormat="1" x14ac:dyDescent="0.2">
      <c r="B13" s="5" t="s">
        <v>20</v>
      </c>
      <c r="C13" s="6"/>
      <c r="D13" s="6"/>
      <c r="E13" s="6"/>
      <c r="F13" s="6">
        <f t="shared" ref="F13:G13" si="20">SUM(F3:F12)</f>
        <v>665.51699999999994</v>
      </c>
      <c r="G13" s="6">
        <f t="shared" si="20"/>
        <v>607.58100000000002</v>
      </c>
      <c r="H13" s="6">
        <f t="shared" ref="H13" si="21">SUM(H3:H12)</f>
        <v>751.81100000000004</v>
      </c>
      <c r="I13" s="6">
        <f>SUM(I3:I12)</f>
        <v>838.11500000000001</v>
      </c>
      <c r="J13" s="6">
        <f>SUM(J3:J12)</f>
        <v>896.73099999999999</v>
      </c>
      <c r="K13" s="6">
        <f t="shared" ref="K13" si="22">SUM(K3:K12)</f>
        <v>813.721</v>
      </c>
      <c r="L13" s="6">
        <f>SUM(L3:L12)</f>
        <v>932.87800000000004</v>
      </c>
      <c r="M13" s="6">
        <f>SUM(M3:M12)</f>
        <v>940.65200000000004</v>
      </c>
      <c r="N13" s="6">
        <f t="shared" ref="N13:V13" si="23">SUM(N3:N12)</f>
        <v>972.12299999999993</v>
      </c>
      <c r="O13" s="6">
        <f t="shared" si="23"/>
        <v>892.81200000000001</v>
      </c>
      <c r="P13" s="6">
        <f t="shared" si="23"/>
        <v>957.31699999999989</v>
      </c>
      <c r="Q13" s="6">
        <f t="shared" si="23"/>
        <v>972.14</v>
      </c>
      <c r="R13" s="6">
        <f t="shared" si="23"/>
        <v>1011.9349999999999</v>
      </c>
      <c r="S13" s="6">
        <f t="shared" si="23"/>
        <v>901.98300000000017</v>
      </c>
      <c r="T13" s="6">
        <f t="shared" si="23"/>
        <v>1023.8250000000002</v>
      </c>
      <c r="U13" s="6">
        <f t="shared" si="23"/>
        <v>994.20630000000028</v>
      </c>
      <c r="V13" s="6">
        <f t="shared" si="23"/>
        <v>1056.6477</v>
      </c>
      <c r="Y13" s="6">
        <f t="shared" ref="Y13:AA13" si="24">SUM(Y3:Y12)</f>
        <v>3094.2379999999998</v>
      </c>
      <c r="Z13" s="6">
        <f t="shared" si="24"/>
        <v>3659.3739999999998</v>
      </c>
      <c r="AA13" s="6">
        <f t="shared" si="24"/>
        <v>3834.2040000000002</v>
      </c>
      <c r="AB13" s="6">
        <f t="shared" ref="AB13" si="25">SUM(AB3:AB12)</f>
        <v>3071.0316800000005</v>
      </c>
      <c r="AC13" s="6">
        <f t="shared" ref="AC13" si="26">SUM(AC3:AC12)</f>
        <v>3155.4762502000003</v>
      </c>
      <c r="AD13" s="6">
        <f t="shared" ref="AD13" si="27">SUM(AD3:AD12)</f>
        <v>3334.6607949980003</v>
      </c>
      <c r="AE13" s="6">
        <f t="shared" ref="AE13" si="28">SUM(AE3:AE12)</f>
        <v>3411.8004666080215</v>
      </c>
      <c r="AF13" s="6">
        <f t="shared" ref="AF13" si="29">SUM(AF3:AF12)</f>
        <v>3129.6835862213411</v>
      </c>
      <c r="AG13" s="6">
        <f t="shared" ref="AG13" si="30">SUM(AG3:AG12)</f>
        <v>2965.4048875916578</v>
      </c>
      <c r="AH13" s="6">
        <f t="shared" ref="AH13" si="31">SUM(AH3:AH12)</f>
        <v>2883.4273158617693</v>
      </c>
      <c r="AI13" s="6">
        <f t="shared" ref="AI13" si="32">SUM(AI3:AI12)</f>
        <v>2859.8402650188059</v>
      </c>
      <c r="AJ13" s="6">
        <f t="shared" ref="AJ13" si="33">SUM(AJ3:AJ12)</f>
        <v>2878.430692664595</v>
      </c>
      <c r="AK13" s="6">
        <f t="shared" ref="AK13" si="34">SUM(AK3:AK12)</f>
        <v>1679.3435248253254</v>
      </c>
      <c r="AL13" s="6">
        <f t="shared" ref="AL13" si="35">SUM(AL3:AL12)</f>
        <v>725.24047349925081</v>
      </c>
      <c r="AM13" s="6">
        <f t="shared" ref="AM13" si="36">SUM(AM3:AM12)</f>
        <v>510.23949241883082</v>
      </c>
    </row>
    <row r="14" spans="1:39" s="3" customFormat="1" x14ac:dyDescent="0.2">
      <c r="B14" s="3" t="s">
        <v>30</v>
      </c>
      <c r="C14" s="4"/>
      <c r="D14" s="4"/>
      <c r="E14" s="4"/>
      <c r="F14" s="4">
        <v>48.298000000000002</v>
      </c>
      <c r="G14" s="4">
        <v>38.192999999999998</v>
      </c>
      <c r="H14" s="4">
        <v>50.225999999999999</v>
      </c>
      <c r="I14" s="4">
        <v>58.872</v>
      </c>
      <c r="J14" s="4">
        <v>58.11</v>
      </c>
      <c r="K14" s="4">
        <v>48.206000000000003</v>
      </c>
      <c r="L14" s="4">
        <v>53.244999999999997</v>
      </c>
      <c r="M14" s="4">
        <v>57.103000000000002</v>
      </c>
      <c r="N14" s="3">
        <v>93.385999999999996</v>
      </c>
      <c r="O14" s="3">
        <v>64.727999999999994</v>
      </c>
      <c r="P14" s="3">
        <v>97.537000000000006</v>
      </c>
      <c r="Q14" s="3">
        <v>102.15300000000001</v>
      </c>
      <c r="R14" s="3">
        <v>71.238</v>
      </c>
      <c r="S14" s="3">
        <v>95.486999999999995</v>
      </c>
      <c r="T14" s="3">
        <v>72.412999999999997</v>
      </c>
      <c r="U14" s="3">
        <f>+U13-U15</f>
        <v>69.594440999999961</v>
      </c>
      <c r="V14" s="3">
        <f>+V13-V15</f>
        <v>73.965338999999972</v>
      </c>
      <c r="Y14" s="3">
        <f t="shared" si="4"/>
        <v>205.40100000000001</v>
      </c>
      <c r="Z14" s="3">
        <f t="shared" si="16"/>
        <v>251.94</v>
      </c>
      <c r="AA14" s="3">
        <f t="shared" si="5"/>
        <v>335.65600000000001</v>
      </c>
      <c r="AB14" s="3">
        <f>+AB13*0.06</f>
        <v>184.26190080000003</v>
      </c>
      <c r="AC14" s="3">
        <f t="shared" ref="AC14:AM14" si="37">+AC13*0.06</f>
        <v>189.32857501200002</v>
      </c>
      <c r="AD14" s="3">
        <f t="shared" si="37"/>
        <v>200.07964769988001</v>
      </c>
      <c r="AE14" s="3">
        <f t="shared" si="37"/>
        <v>204.70802799648129</v>
      </c>
      <c r="AF14" s="3">
        <f t="shared" si="37"/>
        <v>187.78101517328045</v>
      </c>
      <c r="AG14" s="3">
        <f t="shared" si="37"/>
        <v>177.92429325549946</v>
      </c>
      <c r="AH14" s="3">
        <f t="shared" si="37"/>
        <v>173.00563895170615</v>
      </c>
      <c r="AI14" s="3">
        <f t="shared" si="37"/>
        <v>171.59041590112835</v>
      </c>
      <c r="AJ14" s="3">
        <f t="shared" si="37"/>
        <v>172.70584155987569</v>
      </c>
      <c r="AK14" s="3">
        <f t="shared" si="37"/>
        <v>100.76061148951952</v>
      </c>
      <c r="AL14" s="3">
        <f t="shared" si="37"/>
        <v>43.514428409955045</v>
      </c>
      <c r="AM14" s="3">
        <f t="shared" si="37"/>
        <v>30.614369545129847</v>
      </c>
    </row>
    <row r="15" spans="1:39" s="3" customFormat="1" x14ac:dyDescent="0.2">
      <c r="B15" s="3" t="s">
        <v>31</v>
      </c>
      <c r="C15" s="4"/>
      <c r="D15" s="4"/>
      <c r="E15" s="4"/>
      <c r="F15" s="4">
        <f t="shared" ref="F15:M15" si="38">+F13-F14</f>
        <v>617.21899999999994</v>
      </c>
      <c r="G15" s="4">
        <f t="shared" si="38"/>
        <v>569.38800000000003</v>
      </c>
      <c r="H15" s="4">
        <f t="shared" si="38"/>
        <v>701.58500000000004</v>
      </c>
      <c r="I15" s="4">
        <f t="shared" si="38"/>
        <v>779.24300000000005</v>
      </c>
      <c r="J15" s="4">
        <f t="shared" si="38"/>
        <v>838.62099999999998</v>
      </c>
      <c r="K15" s="4">
        <f t="shared" si="38"/>
        <v>765.51499999999999</v>
      </c>
      <c r="L15" s="4">
        <f t="shared" si="38"/>
        <v>879.63300000000004</v>
      </c>
      <c r="M15" s="4">
        <f t="shared" si="38"/>
        <v>883.54900000000009</v>
      </c>
      <c r="N15" s="4">
        <f t="shared" ref="N15:R15" si="39">+N13-N14</f>
        <v>878.73699999999997</v>
      </c>
      <c r="O15" s="4">
        <f>+O13-O14</f>
        <v>828.08400000000006</v>
      </c>
      <c r="P15" s="4">
        <f t="shared" si="39"/>
        <v>859.77999999999986</v>
      </c>
      <c r="Q15" s="4">
        <f t="shared" si="39"/>
        <v>869.98699999999997</v>
      </c>
      <c r="R15" s="4">
        <f t="shared" si="39"/>
        <v>940.69699999999989</v>
      </c>
      <c r="S15" s="4">
        <f>+S13-S14</f>
        <v>806.49600000000021</v>
      </c>
      <c r="T15" s="4">
        <f>+T13-T14</f>
        <v>951.41200000000015</v>
      </c>
      <c r="U15" s="4">
        <f>+U13*0.93</f>
        <v>924.61185900000032</v>
      </c>
      <c r="V15" s="4">
        <f>+V13*0.93</f>
        <v>982.68236100000001</v>
      </c>
      <c r="Y15" s="3">
        <f>+Y13-Y14</f>
        <v>2888.837</v>
      </c>
      <c r="Z15" s="3">
        <f>+Z13-Z14</f>
        <v>3407.4339999999997</v>
      </c>
      <c r="AA15" s="3">
        <f>+AA13-AA14</f>
        <v>3498.5480000000002</v>
      </c>
      <c r="AB15" s="3">
        <f>+AB13-AB14</f>
        <v>2886.7697792000004</v>
      </c>
      <c r="AC15" s="3">
        <f t="shared" ref="AC15:AM15" si="40">+AC13-AC14</f>
        <v>2966.1476751880004</v>
      </c>
      <c r="AD15" s="3">
        <f t="shared" si="40"/>
        <v>3134.5811472981204</v>
      </c>
      <c r="AE15" s="3">
        <f t="shared" si="40"/>
        <v>3207.0924386115403</v>
      </c>
      <c r="AF15" s="3">
        <f t="shared" si="40"/>
        <v>2941.9025710480605</v>
      </c>
      <c r="AG15" s="3">
        <f t="shared" si="40"/>
        <v>2787.4805943361584</v>
      </c>
      <c r="AH15" s="3">
        <f t="shared" si="40"/>
        <v>2710.4216769100631</v>
      </c>
      <c r="AI15" s="3">
        <f t="shared" si="40"/>
        <v>2688.2498491176775</v>
      </c>
      <c r="AJ15" s="3">
        <f t="shared" si="40"/>
        <v>2705.7248511047192</v>
      </c>
      <c r="AK15" s="3">
        <f t="shared" si="40"/>
        <v>1578.5829133358059</v>
      </c>
      <c r="AL15" s="3">
        <f t="shared" si="40"/>
        <v>681.72604508929578</v>
      </c>
      <c r="AM15" s="3">
        <f t="shared" si="40"/>
        <v>479.625122873701</v>
      </c>
    </row>
    <row r="16" spans="1:39" s="3" customFormat="1" x14ac:dyDescent="0.2">
      <c r="B16" s="3" t="s">
        <v>32</v>
      </c>
      <c r="C16" s="4"/>
      <c r="D16" s="4"/>
      <c r="E16" s="4"/>
      <c r="F16" s="4">
        <v>225.37799999999999</v>
      </c>
      <c r="G16" s="4">
        <v>228.4</v>
      </c>
      <c r="H16" s="4">
        <v>269.44</v>
      </c>
      <c r="I16" s="4">
        <v>278.55200000000002</v>
      </c>
      <c r="J16" s="4">
        <v>328.65600000000001</v>
      </c>
      <c r="K16" s="4">
        <v>258.70100000000002</v>
      </c>
      <c r="L16" s="4">
        <v>281.49299999999999</v>
      </c>
      <c r="M16" s="4">
        <v>274.74700000000001</v>
      </c>
      <c r="N16" s="4">
        <v>319.76299999999998</v>
      </c>
      <c r="O16" s="4">
        <v>260.51499999999999</v>
      </c>
      <c r="P16" s="4">
        <v>276.87099999999998</v>
      </c>
      <c r="Q16" s="4">
        <v>308.3</v>
      </c>
      <c r="R16" s="4">
        <v>300.52</v>
      </c>
      <c r="S16" s="4">
        <v>351.71199999999999</v>
      </c>
      <c r="T16" s="4">
        <v>303.38600000000002</v>
      </c>
      <c r="U16" s="4">
        <f>+Q16</f>
        <v>308.3</v>
      </c>
      <c r="V16" s="4">
        <f>+R16</f>
        <v>300.52</v>
      </c>
      <c r="Y16" s="3">
        <f t="shared" si="4"/>
        <v>1105.048</v>
      </c>
      <c r="Z16" s="3">
        <f t="shared" si="16"/>
        <v>1134.704</v>
      </c>
      <c r="AA16" s="3">
        <f t="shared" si="5"/>
        <v>1146.2059999999999</v>
      </c>
      <c r="AB16" s="3">
        <f>+AB13*0.25</f>
        <v>767.75792000000013</v>
      </c>
      <c r="AC16" s="3">
        <f t="shared" ref="AC16:AM16" si="41">+AC13*0.25</f>
        <v>788.86906255000008</v>
      </c>
      <c r="AD16" s="3">
        <f t="shared" si="41"/>
        <v>833.66519874950006</v>
      </c>
      <c r="AE16" s="3">
        <f t="shared" si="41"/>
        <v>852.95011665200536</v>
      </c>
      <c r="AF16" s="3">
        <f t="shared" si="41"/>
        <v>782.42089655533528</v>
      </c>
      <c r="AG16" s="3">
        <f t="shared" si="41"/>
        <v>741.35122189791446</v>
      </c>
      <c r="AH16" s="3">
        <f t="shared" si="41"/>
        <v>720.85682896544233</v>
      </c>
      <c r="AI16" s="3">
        <f t="shared" si="41"/>
        <v>714.96006625470147</v>
      </c>
      <c r="AJ16" s="3">
        <f t="shared" si="41"/>
        <v>719.60767316614874</v>
      </c>
      <c r="AK16" s="3">
        <f t="shared" si="41"/>
        <v>419.83588120633135</v>
      </c>
      <c r="AL16" s="3">
        <f t="shared" si="41"/>
        <v>181.3101183748127</v>
      </c>
      <c r="AM16" s="3">
        <f t="shared" si="41"/>
        <v>127.55987310470771</v>
      </c>
    </row>
    <row r="17" spans="2:102" s="3" customFormat="1" x14ac:dyDescent="0.2">
      <c r="B17" s="3" t="s">
        <v>33</v>
      </c>
      <c r="C17" s="4"/>
      <c r="D17" s="4"/>
      <c r="E17" s="4"/>
      <c r="F17" s="4">
        <v>83.968000000000004</v>
      </c>
      <c r="G17" s="4">
        <v>67.930000000000007</v>
      </c>
      <c r="H17" s="4">
        <v>118.52500000000001</v>
      </c>
      <c r="I17" s="4">
        <v>124.47</v>
      </c>
      <c r="J17" s="4">
        <v>140.101</v>
      </c>
      <c r="K17" s="4">
        <v>116.459</v>
      </c>
      <c r="L17" s="4">
        <v>123.71899999999999</v>
      </c>
      <c r="M17" s="4">
        <v>120.80200000000001</v>
      </c>
      <c r="N17" s="4">
        <v>160.10499999999999</v>
      </c>
      <c r="O17" s="4">
        <v>173.91800000000001</v>
      </c>
      <c r="P17" s="4">
        <v>192.01900000000001</v>
      </c>
      <c r="Q17" s="3">
        <v>234.40199999999999</v>
      </c>
      <c r="R17" s="3">
        <v>201.107</v>
      </c>
      <c r="S17" s="3">
        <v>222.84700000000001</v>
      </c>
      <c r="T17" s="3">
        <v>203.46299999999999</v>
      </c>
      <c r="U17" s="3">
        <f>+Q17</f>
        <v>234.40199999999999</v>
      </c>
      <c r="V17" s="3">
        <f>+R17</f>
        <v>201.107</v>
      </c>
      <c r="Y17" s="3">
        <f t="shared" si="4"/>
        <v>451.02600000000001</v>
      </c>
      <c r="Z17" s="3">
        <f t="shared" si="16"/>
        <v>521.08500000000004</v>
      </c>
    </row>
    <row r="18" spans="2:102" s="3" customFormat="1" x14ac:dyDescent="0.2">
      <c r="B18" s="3" t="s">
        <v>34</v>
      </c>
      <c r="C18" s="4"/>
      <c r="D18" s="4"/>
      <c r="E18" s="4"/>
      <c r="F18" s="4">
        <f>+F16+F17</f>
        <v>309.346</v>
      </c>
      <c r="G18" s="4">
        <f>+G16+G17</f>
        <v>296.33000000000004</v>
      </c>
      <c r="H18" s="4">
        <f>+H16+H17</f>
        <v>387.96500000000003</v>
      </c>
      <c r="I18" s="4">
        <f>+I16+I17</f>
        <v>403.02200000000005</v>
      </c>
      <c r="J18" s="4">
        <f t="shared" ref="J18:M18" si="42">+J16+J17</f>
        <v>468.75700000000001</v>
      </c>
      <c r="K18" s="4">
        <f t="shared" si="42"/>
        <v>375.16</v>
      </c>
      <c r="L18" s="4">
        <f t="shared" si="42"/>
        <v>405.21199999999999</v>
      </c>
      <c r="M18" s="4">
        <f t="shared" si="42"/>
        <v>395.54900000000004</v>
      </c>
      <c r="N18" s="4">
        <f t="shared" ref="N18" si="43">+N16+N17</f>
        <v>479.86799999999994</v>
      </c>
      <c r="O18" s="4">
        <f t="shared" ref="O18" si="44">+O16+O17</f>
        <v>434.43299999999999</v>
      </c>
      <c r="P18" s="4">
        <f t="shared" ref="P18" si="45">+P16+P17</f>
        <v>468.89</v>
      </c>
      <c r="Q18" s="4">
        <f t="shared" ref="Q18" si="46">+Q16+Q17</f>
        <v>542.702</v>
      </c>
      <c r="R18" s="4">
        <f t="shared" ref="R18:S18" si="47">+R16+R17</f>
        <v>501.62699999999995</v>
      </c>
      <c r="S18" s="4">
        <f t="shared" si="47"/>
        <v>574.55899999999997</v>
      </c>
      <c r="T18" s="4">
        <f>+T16+T17</f>
        <v>506.84900000000005</v>
      </c>
      <c r="U18" s="4">
        <f t="shared" ref="U18:V18" si="48">+U16+U17</f>
        <v>542.702</v>
      </c>
      <c r="V18" s="4">
        <f t="shared" si="48"/>
        <v>501.62699999999995</v>
      </c>
      <c r="Y18" s="4">
        <f t="shared" ref="Y18" si="49">+Y16+Y17</f>
        <v>1556.0740000000001</v>
      </c>
      <c r="Z18" s="4">
        <f t="shared" ref="Z18:AA18" si="50">+Z16+Z17</f>
        <v>1655.789</v>
      </c>
      <c r="AA18" s="4">
        <f t="shared" si="50"/>
        <v>1146.2059999999999</v>
      </c>
      <c r="AB18" s="4">
        <f t="shared" ref="AB18" si="51">+AB16+AB17</f>
        <v>767.75792000000013</v>
      </c>
      <c r="AC18" s="4">
        <f t="shared" ref="AC18" si="52">+AC16+AC17</f>
        <v>788.86906255000008</v>
      </c>
      <c r="AD18" s="4">
        <f t="shared" ref="AD18" si="53">+AD16+AD17</f>
        <v>833.66519874950006</v>
      </c>
      <c r="AE18" s="4">
        <f t="shared" ref="AE18" si="54">+AE16+AE17</f>
        <v>852.95011665200536</v>
      </c>
      <c r="AF18" s="4">
        <f t="shared" ref="AF18" si="55">+AF16+AF17</f>
        <v>782.42089655533528</v>
      </c>
      <c r="AG18" s="4">
        <f t="shared" ref="AG18" si="56">+AG16+AG17</f>
        <v>741.35122189791446</v>
      </c>
      <c r="AH18" s="4">
        <f t="shared" ref="AH18" si="57">+AH16+AH17</f>
        <v>720.85682896544233</v>
      </c>
      <c r="AI18" s="4">
        <f t="shared" ref="AI18" si="58">+AI16+AI17</f>
        <v>714.96006625470147</v>
      </c>
      <c r="AJ18" s="4">
        <f t="shared" ref="AJ18" si="59">+AJ16+AJ17</f>
        <v>719.60767316614874</v>
      </c>
      <c r="AK18" s="4">
        <f t="shared" ref="AK18" si="60">+AK16+AK17</f>
        <v>419.83588120633135</v>
      </c>
      <c r="AL18" s="4">
        <f t="shared" ref="AL18" si="61">+AL16+AL17</f>
        <v>181.3101183748127</v>
      </c>
      <c r="AM18" s="4">
        <f t="shared" ref="AM18" si="62">+AM16+AM17</f>
        <v>127.55987310470771</v>
      </c>
    </row>
    <row r="19" spans="2:102" s="3" customFormat="1" x14ac:dyDescent="0.2">
      <c r="B19" s="3" t="s">
        <v>35</v>
      </c>
      <c r="C19" s="4"/>
      <c r="D19" s="4"/>
      <c r="E19" s="4"/>
      <c r="F19" s="4">
        <f>+F15-F18</f>
        <v>307.87299999999993</v>
      </c>
      <c r="G19" s="4">
        <f>+G15-G18</f>
        <v>273.05799999999999</v>
      </c>
      <c r="H19" s="4">
        <f>+H15-H18</f>
        <v>313.62</v>
      </c>
      <c r="I19" s="4">
        <f>+I15-I18</f>
        <v>376.221</v>
      </c>
      <c r="J19" s="4">
        <f t="shared" ref="J19:M19" si="63">+J15-J18</f>
        <v>369.86399999999998</v>
      </c>
      <c r="K19" s="4">
        <f t="shared" si="63"/>
        <v>390.35499999999996</v>
      </c>
      <c r="L19" s="4">
        <f t="shared" si="63"/>
        <v>474.42100000000005</v>
      </c>
      <c r="M19" s="4">
        <f t="shared" si="63"/>
        <v>488.00000000000006</v>
      </c>
      <c r="N19" s="4">
        <f t="shared" ref="N19" si="64">+N15-N18</f>
        <v>398.86900000000003</v>
      </c>
      <c r="O19" s="4">
        <f t="shared" ref="O19" si="65">+O15-O18</f>
        <v>393.65100000000007</v>
      </c>
      <c r="P19" s="4">
        <f t="shared" ref="P19" si="66">+P15-P18</f>
        <v>390.88999999999987</v>
      </c>
      <c r="Q19" s="4">
        <f t="shared" ref="Q19" si="67">+Q15-Q18</f>
        <v>327.28499999999997</v>
      </c>
      <c r="R19" s="4">
        <f t="shared" ref="R19:S19" si="68">+R15-R18</f>
        <v>439.06999999999994</v>
      </c>
      <c r="S19" s="4">
        <f t="shared" si="68"/>
        <v>231.93700000000024</v>
      </c>
      <c r="T19" s="4">
        <f>+T15-T18</f>
        <v>444.5630000000001</v>
      </c>
      <c r="U19" s="4">
        <f t="shared" ref="U19:V19" si="69">+U15-U18</f>
        <v>381.90985900000032</v>
      </c>
      <c r="V19" s="4">
        <f t="shared" si="69"/>
        <v>481.05536100000006</v>
      </c>
      <c r="Y19" s="4">
        <f t="shared" ref="Y19" si="70">+Y15-Y18</f>
        <v>1332.7629999999999</v>
      </c>
      <c r="Z19" s="4">
        <f t="shared" ref="Z19:AA19" si="71">+Z15-Z18</f>
        <v>1751.6449999999998</v>
      </c>
      <c r="AA19" s="4">
        <f t="shared" si="71"/>
        <v>2352.3420000000006</v>
      </c>
      <c r="AB19" s="4">
        <f t="shared" ref="AB19" si="72">+AB15-AB18</f>
        <v>2119.0118592000003</v>
      </c>
      <c r="AC19" s="4">
        <f t="shared" ref="AC19" si="73">+AC15-AC18</f>
        <v>2177.2786126380006</v>
      </c>
      <c r="AD19" s="4">
        <f t="shared" ref="AD19" si="74">+AD15-AD18</f>
        <v>2300.9159485486202</v>
      </c>
      <c r="AE19" s="4">
        <f t="shared" ref="AE19" si="75">+AE15-AE18</f>
        <v>2354.1423219595349</v>
      </c>
      <c r="AF19" s="4">
        <f t="shared" ref="AF19" si="76">+AF15-AF18</f>
        <v>2159.4816744927252</v>
      </c>
      <c r="AG19" s="4">
        <f t="shared" ref="AG19" si="77">+AG15-AG18</f>
        <v>2046.129372438244</v>
      </c>
      <c r="AH19" s="4">
        <f t="shared" ref="AH19" si="78">+AH15-AH18</f>
        <v>1989.5648479446209</v>
      </c>
      <c r="AI19" s="4">
        <f t="shared" ref="AI19" si="79">+AI15-AI18</f>
        <v>1973.2897828629762</v>
      </c>
      <c r="AJ19" s="4">
        <f t="shared" ref="AJ19" si="80">+AJ15-AJ18</f>
        <v>1986.1171779385704</v>
      </c>
      <c r="AK19" s="4">
        <f t="shared" ref="AK19" si="81">+AK15-AK18</f>
        <v>1158.7470321294745</v>
      </c>
      <c r="AL19" s="4">
        <f t="shared" ref="AL19" si="82">+AL15-AL18</f>
        <v>500.41592671448308</v>
      </c>
      <c r="AM19" s="4">
        <f t="shared" ref="AM19" si="83">+AM15-AM18</f>
        <v>352.06524976899328</v>
      </c>
    </row>
    <row r="20" spans="2:102" s="3" customFormat="1" x14ac:dyDescent="0.2">
      <c r="B20" s="3" t="s">
        <v>36</v>
      </c>
      <c r="C20" s="4"/>
      <c r="D20" s="4"/>
      <c r="E20" s="4"/>
      <c r="F20" s="4">
        <v>-11.526999999999999</v>
      </c>
      <c r="G20" s="4">
        <v>-11.688000000000001</v>
      </c>
      <c r="H20" s="4">
        <v>-47.097999999999999</v>
      </c>
      <c r="I20" s="4">
        <v>-65.326999999999998</v>
      </c>
      <c r="J20" s="4">
        <v>-61.997999999999998</v>
      </c>
      <c r="K20" s="4">
        <v>-58.515999999999998</v>
      </c>
      <c r="L20" s="4">
        <v>-57.616999999999997</v>
      </c>
      <c r="M20" s="4">
        <v>-65.981999999999999</v>
      </c>
      <c r="N20" s="4">
        <v>-74.125</v>
      </c>
      <c r="O20" s="4">
        <v>-74.147000000000006</v>
      </c>
      <c r="P20" s="4">
        <v>-73.47</v>
      </c>
      <c r="Q20" s="3">
        <v>-71.497</v>
      </c>
      <c r="R20" s="3">
        <v>-70.323999999999998</v>
      </c>
      <c r="S20" s="3">
        <v>-66.116</v>
      </c>
      <c r="T20" s="3">
        <v>-62.023000000000003</v>
      </c>
      <c r="U20" s="3">
        <f>+T20+2</f>
        <v>-60.023000000000003</v>
      </c>
      <c r="V20" s="3">
        <f>+U20+2</f>
        <v>-58.023000000000003</v>
      </c>
      <c r="Y20" s="3">
        <f t="shared" ref="Y20:Y22" si="84">SUM(G20:J20)</f>
        <v>-186.11099999999999</v>
      </c>
      <c r="Z20" s="3">
        <f t="shared" ref="Z20:Z22" si="85">SUM(K20:N20)</f>
        <v>-256.24</v>
      </c>
      <c r="AA20" s="3">
        <f t="shared" ref="AA20:AA22" si="86">SUM(O20:R20)</f>
        <v>-289.43800000000005</v>
      </c>
      <c r="AB20" s="3">
        <f>+AA32*0.05</f>
        <v>0</v>
      </c>
      <c r="AC20" s="3">
        <f>+AB32*0.05</f>
        <v>95.355533664000021</v>
      </c>
      <c r="AD20" s="3">
        <f>+AC32*$AP$28</f>
        <v>79.049628099036013</v>
      </c>
      <c r="AE20" s="3">
        <f>+AD32*$AP$28</f>
        <v>121.88900847869384</v>
      </c>
      <c r="AF20" s="3">
        <f>+AE32*$AP$28</f>
        <v>166.45757242658198</v>
      </c>
      <c r="AG20" s="3">
        <f>+AF32*$AP$28</f>
        <v>208.32447887112951</v>
      </c>
      <c r="AH20" s="3">
        <f>+AG32*$AP$28</f>
        <v>248.90464819469824</v>
      </c>
      <c r="AI20" s="3">
        <f>+AH32*$AP$28</f>
        <v>289.19709912520602</v>
      </c>
      <c r="AJ20" s="3">
        <f>+AI32*$AP$28</f>
        <v>329.92186300099326</v>
      </c>
      <c r="AK20" s="3">
        <f>+AJ32*$AP$28</f>
        <v>371.6105657379054</v>
      </c>
      <c r="AL20" s="3">
        <f>+AK32*$AP$28</f>
        <v>399.15700249951828</v>
      </c>
      <c r="AM20" s="3">
        <f>+AL32*$AP$28</f>
        <v>415.34931522537033</v>
      </c>
    </row>
    <row r="21" spans="2:102" s="3" customFormat="1" x14ac:dyDescent="0.2">
      <c r="B21" s="3" t="s">
        <v>37</v>
      </c>
      <c r="C21" s="4"/>
      <c r="D21" s="4"/>
      <c r="E21" s="4"/>
      <c r="F21" s="4">
        <f t="shared" ref="F21:L21" si="87">+F19+F20</f>
        <v>296.34599999999995</v>
      </c>
      <c r="G21" s="4">
        <f t="shared" si="87"/>
        <v>261.37</v>
      </c>
      <c r="H21" s="4">
        <f t="shared" si="87"/>
        <v>266.52199999999999</v>
      </c>
      <c r="I21" s="4">
        <f t="shared" si="87"/>
        <v>310.89400000000001</v>
      </c>
      <c r="J21" s="4">
        <f t="shared" si="87"/>
        <v>307.86599999999999</v>
      </c>
      <c r="K21" s="4">
        <f t="shared" si="87"/>
        <v>331.83899999999994</v>
      </c>
      <c r="L21" s="4">
        <f t="shared" si="87"/>
        <v>416.80400000000003</v>
      </c>
      <c r="M21" s="4">
        <f>+M19+M20</f>
        <v>422.01800000000003</v>
      </c>
      <c r="N21" s="4">
        <f t="shared" ref="N21:V21" si="88">+N19+N20</f>
        <v>324.74400000000003</v>
      </c>
      <c r="O21" s="4">
        <f t="shared" si="88"/>
        <v>319.50400000000008</v>
      </c>
      <c r="P21" s="4">
        <f t="shared" si="88"/>
        <v>317.41999999999985</v>
      </c>
      <c r="Q21" s="4">
        <f t="shared" si="88"/>
        <v>255.78799999999995</v>
      </c>
      <c r="R21" s="4">
        <f t="shared" si="88"/>
        <v>368.74599999999992</v>
      </c>
      <c r="S21" s="4">
        <f t="shared" si="88"/>
        <v>165.82100000000025</v>
      </c>
      <c r="T21" s="4">
        <f t="shared" si="88"/>
        <v>382.54000000000008</v>
      </c>
      <c r="U21" s="4">
        <f t="shared" si="88"/>
        <v>321.8868590000003</v>
      </c>
      <c r="V21" s="4">
        <f t="shared" si="88"/>
        <v>423.03236100000004</v>
      </c>
      <c r="Y21" s="4">
        <f t="shared" ref="Y21:AA21" si="89">+Y19+Y20</f>
        <v>1146.652</v>
      </c>
      <c r="Z21" s="4">
        <f t="shared" si="89"/>
        <v>1495.4049999999997</v>
      </c>
      <c r="AA21" s="4">
        <f t="shared" si="89"/>
        <v>2062.9040000000005</v>
      </c>
      <c r="AB21" s="4">
        <f t="shared" ref="AB21" si="90">+AB19+AB20</f>
        <v>2119.0118592000003</v>
      </c>
      <c r="AC21" s="4">
        <f t="shared" ref="AC21" si="91">+AC19+AC20</f>
        <v>2272.6341463020008</v>
      </c>
      <c r="AD21" s="4">
        <f t="shared" ref="AD21" si="92">+AD19+AD20</f>
        <v>2379.9655766476562</v>
      </c>
      <c r="AE21" s="4">
        <f t="shared" ref="AE21" si="93">+AE19+AE20</f>
        <v>2476.0313304382289</v>
      </c>
      <c r="AF21" s="4">
        <f t="shared" ref="AF21" si="94">+AF19+AF20</f>
        <v>2325.9392469193072</v>
      </c>
      <c r="AG21" s="4">
        <f t="shared" ref="AG21" si="95">+AG19+AG20</f>
        <v>2254.4538513093735</v>
      </c>
      <c r="AH21" s="4">
        <f t="shared" ref="AH21" si="96">+AH19+AH20</f>
        <v>2238.4694961393193</v>
      </c>
      <c r="AI21" s="4">
        <f t="shared" ref="AI21" si="97">+AI19+AI20</f>
        <v>2262.4868819881822</v>
      </c>
      <c r="AJ21" s="4">
        <f t="shared" ref="AJ21" si="98">+AJ19+AJ20</f>
        <v>2316.0390409395636</v>
      </c>
      <c r="AK21" s="4">
        <f t="shared" ref="AK21" si="99">+AK19+AK20</f>
        <v>1530.3575978673798</v>
      </c>
      <c r="AL21" s="4">
        <f t="shared" ref="AL21" si="100">+AL19+AL20</f>
        <v>899.57292921400131</v>
      </c>
      <c r="AM21" s="4">
        <f t="shared" ref="AM21" si="101">+AM19+AM20</f>
        <v>767.41456499436367</v>
      </c>
    </row>
    <row r="22" spans="2:102" s="3" customFormat="1" x14ac:dyDescent="0.2">
      <c r="B22" s="3" t="s">
        <v>38</v>
      </c>
      <c r="C22" s="4"/>
      <c r="D22" s="4"/>
      <c r="E22" s="4"/>
      <c r="F22" s="4">
        <v>29.968</v>
      </c>
      <c r="G22" s="4">
        <v>37.658999999999999</v>
      </c>
      <c r="H22" s="4">
        <v>30.262</v>
      </c>
      <c r="I22" s="4">
        <v>43.588999999999999</v>
      </c>
      <c r="J22" s="4">
        <v>37.253999999999998</v>
      </c>
      <c r="K22" s="4">
        <v>55.222999999999999</v>
      </c>
      <c r="L22" s="4">
        <v>38.387</v>
      </c>
      <c r="M22" s="4">
        <v>44.386000000000003</v>
      </c>
      <c r="N22" s="4">
        <v>0</v>
      </c>
      <c r="O22" s="4">
        <v>40.197000000000003</v>
      </c>
      <c r="P22" s="4">
        <v>24.323</v>
      </c>
      <c r="Q22" s="4">
        <v>47.176000000000002</v>
      </c>
      <c r="R22" s="4">
        <v>33.088999999999999</v>
      </c>
      <c r="S22" s="4">
        <v>11.669</v>
      </c>
      <c r="T22" s="4">
        <v>23.52</v>
      </c>
      <c r="U22" s="4">
        <f>+U21*0.1</f>
        <v>32.188685900000031</v>
      </c>
      <c r="V22" s="4">
        <f>+V21*0.1</f>
        <v>42.303236100000007</v>
      </c>
      <c r="Y22" s="3">
        <f t="shared" si="84"/>
        <v>148.76399999999998</v>
      </c>
      <c r="Z22" s="3">
        <f t="shared" si="85"/>
        <v>137.99600000000001</v>
      </c>
      <c r="AA22" s="3">
        <f t="shared" si="86"/>
        <v>144.78500000000003</v>
      </c>
      <c r="AB22" s="3">
        <f>+AB21*0.1</f>
        <v>211.90118592000005</v>
      </c>
      <c r="AC22" s="3">
        <f t="shared" ref="AC22:AM22" si="102">+AC21*0.1</f>
        <v>227.26341463020009</v>
      </c>
      <c r="AD22" s="3">
        <f t="shared" si="102"/>
        <v>237.99655766476565</v>
      </c>
      <c r="AE22" s="3">
        <f t="shared" si="102"/>
        <v>247.60313304382291</v>
      </c>
      <c r="AF22" s="3">
        <f t="shared" si="102"/>
        <v>232.59392469193074</v>
      </c>
      <c r="AG22" s="3">
        <f t="shared" si="102"/>
        <v>225.44538513093735</v>
      </c>
      <c r="AH22" s="3">
        <f t="shared" si="102"/>
        <v>223.84694961393194</v>
      </c>
      <c r="AI22" s="3">
        <f t="shared" si="102"/>
        <v>226.24868819881823</v>
      </c>
      <c r="AJ22" s="3">
        <f t="shared" si="102"/>
        <v>231.60390409395637</v>
      </c>
      <c r="AK22" s="3">
        <f t="shared" si="102"/>
        <v>153.035759786738</v>
      </c>
      <c r="AL22" s="3">
        <f t="shared" si="102"/>
        <v>89.957292921400139</v>
      </c>
      <c r="AM22" s="3">
        <f t="shared" si="102"/>
        <v>76.741456499436367</v>
      </c>
    </row>
    <row r="23" spans="2:102" s="3" customFormat="1" x14ac:dyDescent="0.2">
      <c r="B23" s="3" t="s">
        <v>39</v>
      </c>
      <c r="C23" s="4"/>
      <c r="D23" s="4"/>
      <c r="E23" s="4"/>
      <c r="F23" s="4">
        <f t="shared" ref="F23:L23" si="103">+F21-F22</f>
        <v>266.37799999999993</v>
      </c>
      <c r="G23" s="4">
        <f t="shared" si="103"/>
        <v>223.71100000000001</v>
      </c>
      <c r="H23" s="4">
        <f t="shared" si="103"/>
        <v>236.26</v>
      </c>
      <c r="I23" s="4">
        <f t="shared" si="103"/>
        <v>267.30500000000001</v>
      </c>
      <c r="J23" s="4">
        <f t="shared" si="103"/>
        <v>270.61199999999997</v>
      </c>
      <c r="K23" s="4">
        <f t="shared" si="103"/>
        <v>276.61599999999993</v>
      </c>
      <c r="L23" s="4">
        <f t="shared" si="103"/>
        <v>378.41700000000003</v>
      </c>
      <c r="M23" s="4">
        <f>+M21-M22</f>
        <v>377.63200000000001</v>
      </c>
      <c r="N23" s="4">
        <f>+N21-N22</f>
        <v>324.74400000000003</v>
      </c>
      <c r="O23" s="4">
        <f t="shared" ref="O23:V23" si="104">+O21-O22</f>
        <v>279.30700000000007</v>
      </c>
      <c r="P23" s="4">
        <f t="shared" si="104"/>
        <v>293.09699999999987</v>
      </c>
      <c r="Q23" s="4">
        <f t="shared" si="104"/>
        <v>208.61199999999997</v>
      </c>
      <c r="R23" s="4">
        <f t="shared" si="104"/>
        <v>335.65699999999993</v>
      </c>
      <c r="S23" s="4">
        <f t="shared" si="104"/>
        <v>154.15200000000024</v>
      </c>
      <c r="T23" s="4">
        <f t="shared" si="104"/>
        <v>359.0200000000001</v>
      </c>
      <c r="U23" s="4">
        <f t="shared" si="104"/>
        <v>289.69817310000025</v>
      </c>
      <c r="V23" s="4">
        <f t="shared" si="104"/>
        <v>380.72912490000004</v>
      </c>
      <c r="Y23" s="4">
        <f t="shared" ref="Y23:AB23" si="105">+Y21-Y22</f>
        <v>997.88800000000003</v>
      </c>
      <c r="Z23" s="4">
        <f t="shared" si="105"/>
        <v>1357.4089999999997</v>
      </c>
      <c r="AA23" s="4">
        <f t="shared" si="105"/>
        <v>1918.1190000000004</v>
      </c>
      <c r="AB23" s="4">
        <f t="shared" si="105"/>
        <v>1907.1106732800004</v>
      </c>
      <c r="AC23" s="4">
        <f t="shared" ref="AC23" si="106">+AC21-AC22</f>
        <v>2045.3707316718007</v>
      </c>
      <c r="AD23" s="4">
        <f t="shared" ref="AD23" si="107">+AD21-AD22</f>
        <v>2141.9690189828907</v>
      </c>
      <c r="AE23" s="4">
        <f t="shared" ref="AE23" si="108">+AE21-AE22</f>
        <v>2228.4281973944062</v>
      </c>
      <c r="AF23" s="4">
        <f t="shared" ref="AF23" si="109">+AF21-AF22</f>
        <v>2093.3453222273765</v>
      </c>
      <c r="AG23" s="4">
        <f t="shared" ref="AG23" si="110">+AG21-AG22</f>
        <v>2029.008466178436</v>
      </c>
      <c r="AH23" s="4">
        <f t="shared" ref="AH23" si="111">+AH21-AH22</f>
        <v>2014.6225465253874</v>
      </c>
      <c r="AI23" s="4">
        <f t="shared" ref="AI23" si="112">+AI21-AI22</f>
        <v>2036.238193789364</v>
      </c>
      <c r="AJ23" s="4">
        <f t="shared" ref="AJ23" si="113">+AJ21-AJ22</f>
        <v>2084.4351368456073</v>
      </c>
      <c r="AK23" s="4">
        <f t="shared" ref="AK23" si="114">+AK21-AK22</f>
        <v>1377.3218380806418</v>
      </c>
      <c r="AL23" s="4">
        <f t="shared" ref="AL23" si="115">+AL21-AL22</f>
        <v>809.61563629260115</v>
      </c>
      <c r="AM23" s="4">
        <f t="shared" ref="AM23" si="116">+AM21-AM22</f>
        <v>690.67310849492731</v>
      </c>
      <c r="AN23" s="3">
        <f>+AM23*(1+$AP$27)</f>
        <v>656.13945307018093</v>
      </c>
      <c r="AO23" s="3">
        <f>+AN23*(1+$AP$27)</f>
        <v>623.33248041667184</v>
      </c>
      <c r="AP23" s="3">
        <f>+AO23*(1+$AP$27)</f>
        <v>592.1658563958382</v>
      </c>
      <c r="AQ23" s="3">
        <f>+AP23*(1+$AP$27)</f>
        <v>562.55756357604628</v>
      </c>
      <c r="AR23" s="3">
        <f>+AQ23*(1+$AP$27)</f>
        <v>534.42968539724393</v>
      </c>
      <c r="AS23" s="3">
        <f>+AR23*(1+$AP$27)</f>
        <v>507.7082011273817</v>
      </c>
      <c r="AT23" s="3">
        <f>+AS23*(1+$AP$27)</f>
        <v>482.3227910710126</v>
      </c>
      <c r="AU23" s="3">
        <f>+AT23*(1+$AP$27)</f>
        <v>458.20665151746198</v>
      </c>
      <c r="AV23" s="3">
        <f>+AU23*(1+$AP$27)</f>
        <v>435.29631894158888</v>
      </c>
      <c r="AW23" s="3">
        <f>+AV23*(1+$AP$27)</f>
        <v>413.53150299450942</v>
      </c>
      <c r="AX23" s="3">
        <f>+AW23*(1+$AP$27)</f>
        <v>392.85492784478396</v>
      </c>
      <c r="AY23" s="3">
        <f>+AX23*(1+$AP$27)</f>
        <v>373.21218145254477</v>
      </c>
      <c r="AZ23" s="3">
        <f>+AY23*(1+$AP$27)</f>
        <v>354.5515723799175</v>
      </c>
      <c r="BA23" s="3">
        <f>+AZ23*(1+$AP$27)</f>
        <v>336.82399376092161</v>
      </c>
      <c r="BB23" s="3">
        <f>+BA23*(1+$AP$27)</f>
        <v>319.98279407287549</v>
      </c>
      <c r="BC23" s="3">
        <f>+BB23*(1+$AP$27)</f>
        <v>303.98365436923172</v>
      </c>
      <c r="BD23" s="3">
        <f>+BC23*(1+$AP$27)</f>
        <v>288.78447165077012</v>
      </c>
      <c r="BE23" s="3">
        <f>+BD23*(1+$AP$27)</f>
        <v>274.34524806823157</v>
      </c>
      <c r="BF23" s="3">
        <f>+BE23*(1+$AP$27)</f>
        <v>260.62798566481996</v>
      </c>
      <c r="BG23" s="3">
        <f>+BF23*(1+$AP$27)</f>
        <v>247.59658638157896</v>
      </c>
      <c r="BH23" s="3">
        <f>+BG23*(1+$AP$27)</f>
        <v>235.21675706249999</v>
      </c>
      <c r="BI23" s="3">
        <f>+BH23*(1+$AP$27)</f>
        <v>223.455919209375</v>
      </c>
      <c r="BJ23" s="3">
        <f>+BI23*(1+$AP$27)</f>
        <v>212.28312324890624</v>
      </c>
      <c r="BK23" s="3">
        <f>+BJ23*(1+$AP$27)</f>
        <v>201.66896708646092</v>
      </c>
      <c r="BL23" s="3">
        <f>+BK23*(1+$AP$27)</f>
        <v>191.58551873213787</v>
      </c>
      <c r="BM23" s="3">
        <f>+BL23*(1+$AP$27)</f>
        <v>182.00624279553097</v>
      </c>
      <c r="BN23" s="3">
        <f>+BM23*(1+$AP$27)</f>
        <v>172.90593065575442</v>
      </c>
      <c r="BO23" s="3">
        <f>+BN23*(1+$AP$27)</f>
        <v>164.26063412296668</v>
      </c>
      <c r="BP23" s="3">
        <f>+BO23*(1+$AP$27)</f>
        <v>156.04760241681834</v>
      </c>
      <c r="BQ23" s="3">
        <f>+BP23*(1+$AP$27)</f>
        <v>148.24522229597741</v>
      </c>
      <c r="BR23" s="3">
        <f>+BQ23*(1+$AP$27)</f>
        <v>140.83296118117855</v>
      </c>
      <c r="BS23" s="3">
        <f>+BR23*(1+$AP$27)</f>
        <v>133.79131312211962</v>
      </c>
      <c r="BT23" s="3">
        <f>+BS23*(1+$AP$27)</f>
        <v>127.10174746601363</v>
      </c>
      <c r="BU23" s="3">
        <f>+BT23*(1+$AP$27)</f>
        <v>120.74666009271294</v>
      </c>
      <c r="BV23" s="3">
        <f>+BU23*(1+$AP$27)</f>
        <v>114.70932708807729</v>
      </c>
      <c r="BW23" s="3">
        <f>+BV23*(1+$AP$27)</f>
        <v>108.97386073367342</v>
      </c>
      <c r="BX23" s="3">
        <f>+BW23*(1+$AP$27)</f>
        <v>103.52516769698974</v>
      </c>
      <c r="BY23" s="3">
        <f>+BX23*(1+$AP$27)</f>
        <v>98.34890931214025</v>
      </c>
      <c r="BZ23" s="3">
        <f>+BY23*(1+$AP$27)</f>
        <v>93.431463846533234</v>
      </c>
      <c r="CA23" s="3">
        <f>+BZ23*(1+$AP$27)</f>
        <v>88.759890654206572</v>
      </c>
      <c r="CB23" s="3">
        <f>+CA23*(1+$AP$27)</f>
        <v>84.321896121496238</v>
      </c>
      <c r="CC23" s="3">
        <f>+CB23*(1+$AP$27)</f>
        <v>80.105801315421417</v>
      </c>
      <c r="CD23" s="3">
        <f>+CC23*(1+$AP$27)</f>
        <v>76.100511249650339</v>
      </c>
      <c r="CE23" s="3">
        <f>+CD23*(1+$AP$27)</f>
        <v>72.295485687167812</v>
      </c>
      <c r="CF23" s="3">
        <f>+CE23*(1+$AP$27)</f>
        <v>68.680711402809422</v>
      </c>
      <c r="CG23" s="3">
        <f>+CF23*(1+$AP$27)</f>
        <v>65.246675832668942</v>
      </c>
      <c r="CH23" s="3">
        <f>+CG23*(1+$AP$27)</f>
        <v>61.98434204103549</v>
      </c>
      <c r="CI23" s="3">
        <f>+CH23*(1+$AP$27)</f>
        <v>58.885124938983715</v>
      </c>
      <c r="CJ23" s="3">
        <f>+CI23*(1+$AP$27)</f>
        <v>55.940868692034527</v>
      </c>
      <c r="CK23" s="3">
        <f>+CJ23*(1+$AP$27)</f>
        <v>53.143825257432802</v>
      </c>
      <c r="CL23" s="3">
        <f>+CK23*(1+$AP$27)</f>
        <v>50.48663399456116</v>
      </c>
      <c r="CM23" s="3">
        <f>+CL23*(1+$AP$27)</f>
        <v>47.962302294833101</v>
      </c>
      <c r="CN23" s="3">
        <f>+CM23*(1+$AP$27)</f>
        <v>45.564187180091444</v>
      </c>
      <c r="CO23" s="3">
        <f>+CN23*(1+$AP$27)</f>
        <v>43.285977821086867</v>
      </c>
      <c r="CP23" s="3">
        <f>+CO23*(1+$AP$27)</f>
        <v>41.121678930032523</v>
      </c>
      <c r="CQ23" s="3">
        <f>+CP23*(1+$AP$27)</f>
        <v>39.065594983530893</v>
      </c>
      <c r="CR23" s="3">
        <f>+CQ23*(1+$AP$27)</f>
        <v>37.112315234354348</v>
      </c>
      <c r="CS23" s="3">
        <f>+CR23*(1+$AP$27)</f>
        <v>35.256699472636626</v>
      </c>
      <c r="CT23" s="3">
        <f>+CS23*(1+$AP$27)</f>
        <v>33.493864499004793</v>
      </c>
      <c r="CU23" s="3">
        <f>+CT23*(1+$AP$27)</f>
        <v>31.81917127405455</v>
      </c>
      <c r="CV23" s="3">
        <f>+CU23*(1+$AP$27)</f>
        <v>30.228212710351823</v>
      </c>
      <c r="CW23" s="3">
        <f>+CV23*(1+$AP$27)</f>
        <v>28.716802074834231</v>
      </c>
      <c r="CX23" s="3">
        <f>+CW23*(1+$AP$27)</f>
        <v>27.280961971092516</v>
      </c>
    </row>
    <row r="24" spans="2:102" x14ac:dyDescent="0.2">
      <c r="B24" s="7" t="s">
        <v>40</v>
      </c>
      <c r="F24" s="9">
        <f t="shared" ref="F24:M24" si="117">+F23/F25</f>
        <v>4.6590758036869895</v>
      </c>
      <c r="G24" s="9">
        <f t="shared" si="117"/>
        <v>3.8311270186494957</v>
      </c>
      <c r="H24" s="9">
        <f t="shared" si="117"/>
        <v>3.9742295787915487</v>
      </c>
      <c r="I24" s="9">
        <f t="shared" si="117"/>
        <v>4.3617420533907714</v>
      </c>
      <c r="J24" s="9">
        <f t="shared" si="117"/>
        <v>4.3999804887566452</v>
      </c>
      <c r="K24" s="9">
        <f t="shared" si="117"/>
        <v>4.3972212949274319</v>
      </c>
      <c r="L24" s="9">
        <f t="shared" si="117"/>
        <v>5.9658053633081627</v>
      </c>
      <c r="M24" s="9">
        <f t="shared" si="117"/>
        <v>6.0146850362347699</v>
      </c>
      <c r="N24" s="9">
        <f t="shared" ref="N24:V24" si="118">+N23/N25</f>
        <v>5.1504155300386989</v>
      </c>
      <c r="O24" s="9">
        <f t="shared" si="118"/>
        <v>4.3989510819920001</v>
      </c>
      <c r="P24" s="9">
        <f t="shared" si="118"/>
        <v>3.9855452814794647</v>
      </c>
      <c r="Q24" s="9">
        <f t="shared" si="118"/>
        <v>2.926121779136801</v>
      </c>
      <c r="R24" s="9">
        <f t="shared" si="118"/>
        <v>4.8176050981011285</v>
      </c>
      <c r="S24" s="9">
        <f t="shared" si="118"/>
        <v>2.4649727361402087</v>
      </c>
      <c r="T24" s="9">
        <f t="shared" si="118"/>
        <v>5.1564811490125688</v>
      </c>
      <c r="U24" s="9">
        <f t="shared" si="118"/>
        <v>4.1608355202872565</v>
      </c>
      <c r="V24" s="9">
        <f t="shared" si="118"/>
        <v>5.468281865709157</v>
      </c>
      <c r="Y24" s="20">
        <f>+Y23/Y25</f>
        <v>16.588061239755973</v>
      </c>
      <c r="Z24" s="20">
        <f>+Z23/Z25</f>
        <v>21.531222365420835</v>
      </c>
      <c r="AA24" s="20">
        <f>+AA23/AA25</f>
        <v>27.598834532374106</v>
      </c>
      <c r="AB24" s="20">
        <f t="shared" ref="AB24:AM24" si="119">+AB23/AB25</f>
        <v>27.44044134215828</v>
      </c>
      <c r="AC24" s="20">
        <f t="shared" si="119"/>
        <v>29.429794700313678</v>
      </c>
      <c r="AD24" s="20">
        <f t="shared" si="119"/>
        <v>30.819698114861737</v>
      </c>
      <c r="AE24" s="20">
        <f t="shared" si="119"/>
        <v>32.063715070423108</v>
      </c>
      <c r="AF24" s="20">
        <f t="shared" si="119"/>
        <v>30.120076578811172</v>
      </c>
      <c r="AG24" s="20">
        <f t="shared" si="119"/>
        <v>29.194366419833614</v>
      </c>
      <c r="AH24" s="20">
        <f t="shared" si="119"/>
        <v>28.987374770149458</v>
      </c>
      <c r="AI24" s="20">
        <f t="shared" si="119"/>
        <v>29.298391277544805</v>
      </c>
      <c r="AJ24" s="20">
        <f t="shared" si="119"/>
        <v>29.991872472598665</v>
      </c>
      <c r="AK24" s="20">
        <f t="shared" si="119"/>
        <v>19.817580404038011</v>
      </c>
      <c r="AL24" s="20">
        <f t="shared" si="119"/>
        <v>11.649145845936708</v>
      </c>
      <c r="AM24" s="20">
        <f t="shared" si="119"/>
        <v>9.9377425682723359</v>
      </c>
    </row>
    <row r="25" spans="2:102" s="3" customFormat="1" x14ac:dyDescent="0.2">
      <c r="B25" s="3" t="s">
        <v>1</v>
      </c>
      <c r="C25" s="4"/>
      <c r="D25" s="4"/>
      <c r="E25" s="4"/>
      <c r="F25" s="4">
        <v>57.173999999999999</v>
      </c>
      <c r="G25" s="4">
        <v>58.393000000000001</v>
      </c>
      <c r="H25" s="4">
        <v>59.448</v>
      </c>
      <c r="I25" s="4">
        <v>61.283999999999999</v>
      </c>
      <c r="J25" s="4">
        <v>61.503</v>
      </c>
      <c r="K25" s="4">
        <v>62.906999999999996</v>
      </c>
      <c r="L25" s="4">
        <v>63.430999999999997</v>
      </c>
      <c r="M25" s="4">
        <v>62.784999999999997</v>
      </c>
      <c r="N25" s="4">
        <v>63.052</v>
      </c>
      <c r="O25" s="4">
        <v>63.494</v>
      </c>
      <c r="P25" s="4">
        <v>73.540000000000006</v>
      </c>
      <c r="Q25" s="4">
        <v>71.293000000000006</v>
      </c>
      <c r="R25" s="4">
        <v>69.673000000000002</v>
      </c>
      <c r="S25" s="4">
        <v>62.536999999999999</v>
      </c>
      <c r="T25" s="4">
        <v>69.625</v>
      </c>
      <c r="U25" s="4">
        <f>+T25</f>
        <v>69.625</v>
      </c>
      <c r="V25" s="4">
        <f>+U25</f>
        <v>69.625</v>
      </c>
      <c r="Y25" s="3">
        <f>AVERAGE(G25:J25)</f>
        <v>60.156999999999996</v>
      </c>
      <c r="Z25" s="3">
        <f>AVERAGE(K25:N25)</f>
        <v>63.043749999999996</v>
      </c>
      <c r="AA25" s="3">
        <f>AVERAGE(O25:R25)</f>
        <v>69.5</v>
      </c>
      <c r="AB25" s="3">
        <f>+AA25</f>
        <v>69.5</v>
      </c>
      <c r="AC25" s="3">
        <f t="shared" ref="AC25:AM25" si="120">+AB25</f>
        <v>69.5</v>
      </c>
      <c r="AD25" s="3">
        <f t="shared" si="120"/>
        <v>69.5</v>
      </c>
      <c r="AE25" s="3">
        <f t="shared" si="120"/>
        <v>69.5</v>
      </c>
      <c r="AF25" s="3">
        <f t="shared" si="120"/>
        <v>69.5</v>
      </c>
      <c r="AG25" s="3">
        <f t="shared" si="120"/>
        <v>69.5</v>
      </c>
      <c r="AH25" s="3">
        <f t="shared" si="120"/>
        <v>69.5</v>
      </c>
      <c r="AI25" s="3">
        <f t="shared" si="120"/>
        <v>69.5</v>
      </c>
      <c r="AJ25" s="3">
        <f t="shared" si="120"/>
        <v>69.5</v>
      </c>
      <c r="AK25" s="3">
        <f t="shared" si="120"/>
        <v>69.5</v>
      </c>
      <c r="AL25" s="3">
        <f t="shared" si="120"/>
        <v>69.5</v>
      </c>
      <c r="AM25" s="3">
        <f t="shared" si="120"/>
        <v>69.5</v>
      </c>
    </row>
    <row r="26" spans="2:102" s="1" customFormat="1" x14ac:dyDescent="0.2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102" x14ac:dyDescent="0.2">
      <c r="B27" t="s">
        <v>72</v>
      </c>
      <c r="F27" s="19">
        <f>+F15/F13</f>
        <v>0.92742784932616296</v>
      </c>
      <c r="G27" s="19">
        <f>+G15/G13</f>
        <v>0.93713924563144668</v>
      </c>
      <c r="H27" s="19">
        <f>+H15/H13</f>
        <v>0.93319331587327137</v>
      </c>
      <c r="I27" s="19">
        <f>+I15/I13</f>
        <v>0.92975665630611559</v>
      </c>
      <c r="J27" s="19">
        <f>+J15/J13</f>
        <v>0.93519795791603055</v>
      </c>
      <c r="K27" s="19">
        <f>+K15/K13</f>
        <v>0.94075856466774233</v>
      </c>
      <c r="L27" s="19">
        <f>+L15/L13</f>
        <v>0.94292394075109498</v>
      </c>
      <c r="M27" s="19">
        <f>+M15/M13</f>
        <v>0.93929423421201474</v>
      </c>
      <c r="N27" s="19">
        <f>+N15/N13</f>
        <v>0.9039360245565633</v>
      </c>
      <c r="O27" s="19">
        <f>+O15/O13</f>
        <v>0.92750097444926816</v>
      </c>
      <c r="P27" s="19">
        <f>+P15/P13</f>
        <v>0.89811420877306047</v>
      </c>
      <c r="Q27" s="19">
        <f>+Q15/Q13</f>
        <v>0.89491945604542555</v>
      </c>
      <c r="R27" s="19">
        <f>+R15/R13</f>
        <v>0.9296021977696195</v>
      </c>
      <c r="S27" s="19">
        <f>+S15/S13</f>
        <v>0.89413658572279087</v>
      </c>
      <c r="T27" s="19">
        <f>+T15/T13</f>
        <v>0.92927209239860331</v>
      </c>
      <c r="U27" s="19">
        <f t="shared" ref="U27:V27" si="121">+U15/U13</f>
        <v>0.93</v>
      </c>
      <c r="V27" s="19">
        <f t="shared" si="121"/>
        <v>0.93</v>
      </c>
      <c r="Y27" s="19">
        <f>+Y15/Y13</f>
        <v>0.9336182284620641</v>
      </c>
      <c r="Z27" s="19">
        <f>+Z15/Z13</f>
        <v>0.93115215881186231</v>
      </c>
      <c r="AA27" s="19">
        <f>+AA15/AA13</f>
        <v>0.91245744879510848</v>
      </c>
      <c r="AB27" s="19">
        <f>+AB15/AB13</f>
        <v>0.94</v>
      </c>
      <c r="AC27" s="19">
        <f>+AC15/AC13</f>
        <v>0.94000000000000006</v>
      </c>
      <c r="AD27" s="19">
        <f>+AD15/AD13</f>
        <v>0.94000000000000006</v>
      </c>
      <c r="AE27" s="19">
        <f>+AE15/AE13</f>
        <v>0.94000000000000006</v>
      </c>
      <c r="AF27" s="19">
        <f>+AF15/AF13</f>
        <v>0.94</v>
      </c>
      <c r="AG27" s="19">
        <f>+AG15/AG13</f>
        <v>0.94000000000000006</v>
      </c>
      <c r="AH27" s="19">
        <f>+AH15/AH13</f>
        <v>0.94</v>
      </c>
      <c r="AI27" s="19">
        <f>+AI15/AI13</f>
        <v>0.94</v>
      </c>
      <c r="AJ27" s="19">
        <f>+AJ15/AJ13</f>
        <v>0.94</v>
      </c>
      <c r="AK27" s="19">
        <f>+AK15/AK13</f>
        <v>0.94</v>
      </c>
      <c r="AL27" s="19">
        <f>+AL15/AL13</f>
        <v>0.94000000000000006</v>
      </c>
      <c r="AM27" s="19">
        <f>+AM15/AM13</f>
        <v>0.94000000000000006</v>
      </c>
      <c r="AO27" s="3" t="s">
        <v>108</v>
      </c>
      <c r="AP27" s="25">
        <v>-0.05</v>
      </c>
    </row>
    <row r="28" spans="2:102" x14ac:dyDescent="0.2">
      <c r="AO28" t="s">
        <v>107</v>
      </c>
      <c r="AP28" s="25">
        <v>0.02</v>
      </c>
    </row>
    <row r="29" spans="2:102" x14ac:dyDescent="0.2">
      <c r="B29" t="s">
        <v>109</v>
      </c>
      <c r="H29" s="19"/>
      <c r="I29" s="19"/>
      <c r="J29" s="19">
        <f>SUM(J3:J4)/SUM(F3:F4)-1</f>
        <v>3.7157063340153451E-2</v>
      </c>
      <c r="K29" s="19">
        <f>SUM(K3:K4)/SUM(G3:G4)-1</f>
        <v>5.5019150002676653E-2</v>
      </c>
      <c r="L29" s="19">
        <f>SUM(L3:L4)/SUM(H3:H4)-1</f>
        <v>0.10057903854293482</v>
      </c>
      <c r="M29" s="19">
        <f>SUM(M3:M4)/SUM(I3:I4)-1</f>
        <v>0.11203181608875834</v>
      </c>
      <c r="N29" s="19">
        <f>SUM(N3:N4)/SUM(J3:J4)-1</f>
        <v>0.12188944442205352</v>
      </c>
      <c r="O29" s="19">
        <f>SUM(O3:O4)/SUM(K3:K4)-1</f>
        <v>5.1464907040733365E-2</v>
      </c>
      <c r="P29" s="19">
        <f>SUM(P3:P4)/SUM(L3:L4)-1</f>
        <v>-3.590671746827212E-2</v>
      </c>
      <c r="Q29" s="19">
        <f>SUM(Q3:Q4)/SUM(M3:M4)-1</f>
        <v>-0.10788026759119107</v>
      </c>
      <c r="R29" s="19">
        <f>SUM(R3:R4)/SUM(N3:N4)-1</f>
        <v>-0.160981697171381</v>
      </c>
      <c r="S29" s="19">
        <f>SUM(S3:S4)/SUM(O3:O4)-1</f>
        <v>-0.16749398430765239</v>
      </c>
      <c r="T29" s="19">
        <f>SUM(T3:T4)/SUM(P3:P4)-1</f>
        <v>-0.11449151096059706</v>
      </c>
      <c r="U29" s="19">
        <f>SUM(U3:U4)/SUM(Q3:Q4)-1</f>
        <v>-6.7361076141287279E-2</v>
      </c>
      <c r="V29" s="19">
        <f>SUM(V3:V4)/SUM(R3:R4)-1</f>
        <v>-2.8933835128678864E-2</v>
      </c>
      <c r="Z29" s="25">
        <f>SUM(Z3:Z4)/SUM(Y3:Y4)-1</f>
        <v>9.8688765422982438E-2</v>
      </c>
      <c r="AA29" s="25">
        <f>SUM(AA3:AA4)/SUM(Z3:Z4)-1</f>
        <v>-6.8812225917919134E-2</v>
      </c>
      <c r="AB29" s="25">
        <f>SUM(AB3:AB4)/SUM(AA3:AA4)-1</f>
        <v>-8.5508602290000457E-2</v>
      </c>
      <c r="AC29" s="25">
        <f>SUM(AC3:AC4)/SUM(AB3:AB4)-1</f>
        <v>-1.4271991811717344E-3</v>
      </c>
      <c r="AD29" s="25">
        <f>SUM(AD3:AD4)/SUM(AC3:AC4)-1</f>
        <v>4.9213918555561786E-2</v>
      </c>
      <c r="AE29" s="25">
        <f>SUM(AE3:AE4)/SUM(AD3:AD4)-1</f>
        <v>2.7814863505230214E-2</v>
      </c>
      <c r="AF29" s="25">
        <f>SUM(AF3:AF4)/SUM(AE3:AE4)-1</f>
        <v>3.920762032030245E-2</v>
      </c>
      <c r="AG29" s="25">
        <f>SUM(AG3:AG4)/SUM(AF3:AF4)-1</f>
        <v>4.4807399662653014E-2</v>
      </c>
      <c r="AH29" s="25">
        <f>SUM(AH3:AH4)/SUM(AG3:AG4)-1</f>
        <v>4.7515044237328441E-2</v>
      </c>
      <c r="AI29" s="25">
        <f>SUM(AI3:AI4)/SUM(AH3:AH4)-1</f>
        <v>4.8813880632864626E-2</v>
      </c>
      <c r="AJ29" s="25">
        <f>SUM(AJ3:AJ4)/SUM(AI3:AI4)-1</f>
        <v>4.9434542491743283E-2</v>
      </c>
      <c r="AK29" s="25">
        <f>SUM(AK3:AK4)/SUM(AJ3:AJ4)-1</f>
        <v>-0.5</v>
      </c>
      <c r="AL29" s="25">
        <f>SUM(AL3:AL4)/SUM(AK3:AK4)-1</f>
        <v>-0.79985304878215291</v>
      </c>
      <c r="AM29" s="25">
        <f>SUM(AM3:AM4)/SUM(AL3:AL4)-1</f>
        <v>-0.79963289169044793</v>
      </c>
      <c r="AO29" s="1" t="s">
        <v>105</v>
      </c>
      <c r="AP29" s="25">
        <v>0.08</v>
      </c>
    </row>
    <row r="30" spans="2:102" x14ac:dyDescent="0.2">
      <c r="AO30" t="s">
        <v>106</v>
      </c>
      <c r="AP30" s="1">
        <f>NPV(AP29,AA23:CX23)+Main!K5-Main!K6</f>
        <v>12996.908966913921</v>
      </c>
    </row>
    <row r="31" spans="2:102" x14ac:dyDescent="0.2">
      <c r="AP31" s="20">
        <f>+AP30/Main!K3</f>
        <v>210.46429533987495</v>
      </c>
    </row>
    <row r="32" spans="2:102" x14ac:dyDescent="0.2">
      <c r="B32" t="s">
        <v>110</v>
      </c>
      <c r="AA32" s="1">
        <f>+R26</f>
        <v>0</v>
      </c>
      <c r="AB32" s="1">
        <f>+AA32+AB23</f>
        <v>1907.1106732800004</v>
      </c>
      <c r="AC32" s="1">
        <f>+AB32+AC23</f>
        <v>3952.4814049518009</v>
      </c>
      <c r="AD32" s="1">
        <f>+AC32+AD23</f>
        <v>6094.4504239346916</v>
      </c>
      <c r="AE32" s="1">
        <f>+AD32+AE23</f>
        <v>8322.8786213290987</v>
      </c>
      <c r="AF32" s="1">
        <f>+AE32+AF23</f>
        <v>10416.223943556475</v>
      </c>
      <c r="AG32" s="1">
        <f>+AF32+AG23</f>
        <v>12445.232409734912</v>
      </c>
      <c r="AH32" s="1">
        <f>+AG32+AH23</f>
        <v>14459.8549562603</v>
      </c>
      <c r="AI32" s="1">
        <f>+AH32+AI23</f>
        <v>16496.093150049663</v>
      </c>
      <c r="AJ32" s="1">
        <f>+AI32+AJ23</f>
        <v>18580.528286895271</v>
      </c>
      <c r="AK32" s="1">
        <f>+AJ32+AK23</f>
        <v>19957.850124975914</v>
      </c>
      <c r="AL32" s="1">
        <f>+AK32+AL23</f>
        <v>20767.465761268515</v>
      </c>
      <c r="AM32" s="1">
        <f>+AL32+AM23</f>
        <v>21458.138869763443</v>
      </c>
    </row>
  </sheetData>
  <hyperlinks>
    <hyperlink ref="A1" location="Main!A1" display="Main" xr:uid="{6F2D3B94-EC42-45A9-97E1-D3E623B3FF8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D8C-3D34-4DEF-904D-39A18D13C697}">
  <dimension ref="A1:C29"/>
  <sheetViews>
    <sheetView topLeftCell="A2" zoomScale="190" zoomScaleNormal="190" workbookViewId="0">
      <selection activeCell="C30" sqref="C30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8" t="s">
        <v>7</v>
      </c>
    </row>
    <row r="2" spans="1:3" x14ac:dyDescent="0.2">
      <c r="B2" t="s">
        <v>75</v>
      </c>
      <c r="C2" t="s">
        <v>22</v>
      </c>
    </row>
    <row r="3" spans="1:3" x14ac:dyDescent="0.2">
      <c r="B3" t="s">
        <v>86</v>
      </c>
      <c r="C3" t="s">
        <v>87</v>
      </c>
    </row>
    <row r="4" spans="1:3" x14ac:dyDescent="0.2">
      <c r="B4" t="s">
        <v>76</v>
      </c>
      <c r="C4" t="s">
        <v>77</v>
      </c>
    </row>
    <row r="5" spans="1:3" x14ac:dyDescent="0.2">
      <c r="C5" t="s">
        <v>78</v>
      </c>
    </row>
    <row r="6" spans="1:3" x14ac:dyDescent="0.2">
      <c r="C6" t="s">
        <v>79</v>
      </c>
    </row>
    <row r="7" spans="1:3" x14ac:dyDescent="0.2">
      <c r="C7" t="s">
        <v>80</v>
      </c>
    </row>
    <row r="8" spans="1:3" x14ac:dyDescent="0.2">
      <c r="C8" t="s">
        <v>81</v>
      </c>
    </row>
    <row r="9" spans="1:3" x14ac:dyDescent="0.2">
      <c r="C9" t="s">
        <v>82</v>
      </c>
    </row>
    <row r="10" spans="1:3" x14ac:dyDescent="0.2">
      <c r="C10" t="s">
        <v>83</v>
      </c>
    </row>
    <row r="11" spans="1:3" x14ac:dyDescent="0.2">
      <c r="C11" t="s">
        <v>84</v>
      </c>
    </row>
    <row r="12" spans="1:3" x14ac:dyDescent="0.2">
      <c r="C12" t="s">
        <v>85</v>
      </c>
    </row>
    <row r="13" spans="1:3" x14ac:dyDescent="0.2">
      <c r="C13" t="s">
        <v>88</v>
      </c>
    </row>
    <row r="14" spans="1:3" x14ac:dyDescent="0.2">
      <c r="C14" t="s">
        <v>89</v>
      </c>
    </row>
    <row r="15" spans="1:3" x14ac:dyDescent="0.2">
      <c r="C15" t="s">
        <v>90</v>
      </c>
    </row>
    <row r="16" spans="1:3" x14ac:dyDescent="0.2">
      <c r="C16" t="s">
        <v>91</v>
      </c>
    </row>
    <row r="17" spans="3:3" x14ac:dyDescent="0.2">
      <c r="C17" t="s">
        <v>92</v>
      </c>
    </row>
    <row r="18" spans="3:3" x14ac:dyDescent="0.2">
      <c r="C18" t="s">
        <v>93</v>
      </c>
    </row>
    <row r="19" spans="3:3" x14ac:dyDescent="0.2">
      <c r="C19" t="s">
        <v>94</v>
      </c>
    </row>
    <row r="20" spans="3:3" x14ac:dyDescent="0.2">
      <c r="C20" t="s">
        <v>95</v>
      </c>
    </row>
    <row r="21" spans="3:3" x14ac:dyDescent="0.2">
      <c r="C21" t="s">
        <v>96</v>
      </c>
    </row>
    <row r="22" spans="3:3" x14ac:dyDescent="0.2">
      <c r="C22" t="s">
        <v>97</v>
      </c>
    </row>
    <row r="23" spans="3:3" x14ac:dyDescent="0.2">
      <c r="C23" t="s">
        <v>98</v>
      </c>
    </row>
    <row r="24" spans="3:3" x14ac:dyDescent="0.2">
      <c r="C24" t="s">
        <v>99</v>
      </c>
    </row>
    <row r="25" spans="3:3" x14ac:dyDescent="0.2">
      <c r="C25" t="s">
        <v>100</v>
      </c>
    </row>
    <row r="26" spans="3:3" x14ac:dyDescent="0.2">
      <c r="C26" t="s">
        <v>101</v>
      </c>
    </row>
    <row r="27" spans="3:3" x14ac:dyDescent="0.2">
      <c r="C27" t="s">
        <v>102</v>
      </c>
    </row>
    <row r="28" spans="3:3" x14ac:dyDescent="0.2">
      <c r="C28" t="s">
        <v>103</v>
      </c>
    </row>
    <row r="29" spans="3:3" x14ac:dyDescent="0.2">
      <c r="C29" t="s">
        <v>104</v>
      </c>
    </row>
  </sheetData>
  <hyperlinks>
    <hyperlink ref="A1" location="Main!A1" display="Main" xr:uid="{2724D065-F033-4833-A2DC-365820F9E7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Epidiolex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2022-12-20T01:13:24Z</dcterms:created>
  <dcterms:modified xsi:type="dcterms:W3CDTF">2024-09-02T23:53:37Z</dcterms:modified>
</cp:coreProperties>
</file>