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8D2DD6-C1B4-4BC8-BC5A-7D6D0A39059B}" xr6:coauthVersionLast="47" xr6:coauthVersionMax="47" xr10:uidLastSave="{00000000-0000-0000-0000-000000000000}"/>
  <bookViews>
    <workbookView xWindow="-27015" yWindow="750" windowWidth="26490" windowHeight="19650" activeTab="1" xr2:uid="{409249CC-86EB-47D2-8A0E-5D085FBE782F}"/>
  </bookViews>
  <sheets>
    <sheet name="Main" sheetId="1" r:id="rId1"/>
    <sheet name="Model" sheetId="2" r:id="rId2"/>
    <sheet name="Ingrezza" sheetId="3" r:id="rId3"/>
    <sheet name="1065845" sheetId="4" r:id="rId4"/>
    <sheet name="crinecerfon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2" l="1"/>
  <c r="R14" i="2"/>
  <c r="AH14" i="2" s="1"/>
  <c r="R9" i="2"/>
  <c r="P17" i="2"/>
  <c r="P18" i="2" s="1"/>
  <c r="P15" i="2"/>
  <c r="P14" i="2"/>
  <c r="P13" i="2"/>
  <c r="P12" i="2"/>
  <c r="P9" i="2"/>
  <c r="T18" i="2"/>
  <c r="T15" i="2"/>
  <c r="T17" i="2" s="1"/>
  <c r="T14" i="2"/>
  <c r="AI14" i="2" s="1"/>
  <c r="T9" i="2"/>
  <c r="AI19" i="2"/>
  <c r="AH19" i="2"/>
  <c r="AG19" i="2"/>
  <c r="AI16" i="2"/>
  <c r="AH16" i="2"/>
  <c r="AG16" i="2"/>
  <c r="AG14" i="2"/>
  <c r="AI11" i="2"/>
  <c r="AH11" i="2"/>
  <c r="AG11" i="2"/>
  <c r="AI10" i="2"/>
  <c r="AH10" i="2"/>
  <c r="AG10" i="2"/>
  <c r="W23" i="2"/>
  <c r="V23" i="2"/>
  <c r="W21" i="2"/>
  <c r="V21" i="2"/>
  <c r="W19" i="2"/>
  <c r="V19" i="2"/>
  <c r="W18" i="2"/>
  <c r="V18" i="2"/>
  <c r="W17" i="2"/>
  <c r="V17" i="2"/>
  <c r="W15" i="2"/>
  <c r="V15" i="2"/>
  <c r="W12" i="2"/>
  <c r="W13" i="2"/>
  <c r="V12" i="2"/>
  <c r="V13" i="2" s="1"/>
  <c r="W9" i="2"/>
  <c r="V9" i="2"/>
  <c r="W8" i="2"/>
  <c r="V8" i="2"/>
  <c r="AI8" i="2"/>
  <c r="AH8" i="2"/>
  <c r="AG8" i="2"/>
  <c r="AE7" i="2"/>
  <c r="AF7" i="2"/>
  <c r="AI6" i="2"/>
  <c r="AH6" i="2"/>
  <c r="AG6" i="2"/>
  <c r="AH5" i="2"/>
  <c r="AI5" i="2"/>
  <c r="W5" i="2"/>
  <c r="W7" i="2" s="1"/>
  <c r="V5" i="2"/>
  <c r="S18" i="2"/>
  <c r="S17" i="2"/>
  <c r="S15" i="2"/>
  <c r="S14" i="2"/>
  <c r="O14" i="2"/>
  <c r="O9" i="2"/>
  <c r="S9" i="2"/>
  <c r="U41" i="2"/>
  <c r="U25" i="2"/>
  <c r="U34" i="2" s="1"/>
  <c r="U23" i="2"/>
  <c r="Q23" i="2"/>
  <c r="U21" i="2"/>
  <c r="T21" i="2"/>
  <c r="S21" i="2"/>
  <c r="R21" i="2"/>
  <c r="Q21" i="2"/>
  <c r="P21" i="2"/>
  <c r="Q15" i="2"/>
  <c r="Q17" i="2" s="1"/>
  <c r="Q18" i="2" s="1"/>
  <c r="U18" i="2"/>
  <c r="U17" i="2"/>
  <c r="U15" i="2"/>
  <c r="U12" i="2"/>
  <c r="U13" i="2" s="1"/>
  <c r="T12" i="2"/>
  <c r="T13" i="2" s="1"/>
  <c r="S12" i="2"/>
  <c r="S13" i="2" s="1"/>
  <c r="R12" i="2"/>
  <c r="R13" i="2" s="1"/>
  <c r="Q13" i="2"/>
  <c r="Q12" i="2"/>
  <c r="U9" i="2"/>
  <c r="Q9" i="2"/>
  <c r="L5" i="1"/>
  <c r="V7" i="2"/>
  <c r="U7" i="2"/>
  <c r="T7" i="2"/>
  <c r="T23" i="2" s="1"/>
  <c r="S7" i="2"/>
  <c r="S23" i="2" s="1"/>
  <c r="R7" i="2"/>
  <c r="R23" i="2" s="1"/>
  <c r="Q7" i="2"/>
  <c r="P7" i="2"/>
  <c r="N12" i="2"/>
  <c r="M25" i="2"/>
  <c r="AP6" i="2"/>
  <c r="AO6" i="2"/>
  <c r="AN6" i="2"/>
  <c r="AM6" i="2"/>
  <c r="AL6" i="2"/>
  <c r="AK6" i="2"/>
  <c r="AE5" i="2"/>
  <c r="AF5" i="2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O12" i="2"/>
  <c r="AG5" i="2"/>
  <c r="N21" i="2"/>
  <c r="N7" i="2"/>
  <c r="N9" i="2" s="1"/>
  <c r="C12" i="2"/>
  <c r="C7" i="2"/>
  <c r="C9" i="2" s="1"/>
  <c r="H21" i="2"/>
  <c r="D12" i="2"/>
  <c r="D7" i="2"/>
  <c r="D9" i="2" s="1"/>
  <c r="M21" i="2"/>
  <c r="L21" i="2"/>
  <c r="K21" i="2"/>
  <c r="J21" i="2"/>
  <c r="I21" i="2"/>
  <c r="E12" i="2"/>
  <c r="E7" i="2"/>
  <c r="E9" i="2" s="1"/>
  <c r="F12" i="2"/>
  <c r="F7" i="2"/>
  <c r="F9" i="2" s="1"/>
  <c r="F23" i="2" s="1"/>
  <c r="J12" i="2"/>
  <c r="J7" i="2"/>
  <c r="J9" i="2" s="1"/>
  <c r="G12" i="2"/>
  <c r="G7" i="2"/>
  <c r="G9" i="2" s="1"/>
  <c r="K12" i="2"/>
  <c r="K7" i="2"/>
  <c r="K9" i="2" s="1"/>
  <c r="K13" i="2" s="1"/>
  <c r="K15" i="2" s="1"/>
  <c r="K17" i="2" s="1"/>
  <c r="K18" i="2" s="1"/>
  <c r="H7" i="2"/>
  <c r="H12" i="2"/>
  <c r="H9" i="2"/>
  <c r="H23" i="2" s="1"/>
  <c r="L12" i="2"/>
  <c r="L7" i="2"/>
  <c r="L9" i="2" s="1"/>
  <c r="L23" i="2" s="1"/>
  <c r="I12" i="2"/>
  <c r="M12" i="2"/>
  <c r="M7" i="2"/>
  <c r="M9" i="2" s="1"/>
  <c r="I7" i="2"/>
  <c r="I9" i="2" s="1"/>
  <c r="I23" i="2" s="1"/>
  <c r="L4" i="1"/>
  <c r="L7" i="1" s="1"/>
  <c r="R15" i="2" l="1"/>
  <c r="R17" i="2" s="1"/>
  <c r="P23" i="2"/>
  <c r="AJ19" i="2"/>
  <c r="J13" i="2"/>
  <c r="J15" i="2" s="1"/>
  <c r="J17" i="2" s="1"/>
  <c r="J18" i="2" s="1"/>
  <c r="N13" i="2"/>
  <c r="O7" i="2"/>
  <c r="AF21" i="2"/>
  <c r="K23" i="2"/>
  <c r="AG21" i="2"/>
  <c r="O21" i="2"/>
  <c r="G13" i="2"/>
  <c r="G15" i="2" s="1"/>
  <c r="G17" i="2" s="1"/>
  <c r="G18" i="2" s="1"/>
  <c r="AJ6" i="2"/>
  <c r="AH7" i="2"/>
  <c r="AH9" i="2" s="1"/>
  <c r="O13" i="2"/>
  <c r="AG7" i="2"/>
  <c r="AH21" i="2"/>
  <c r="AK19" i="2"/>
  <c r="O23" i="2"/>
  <c r="C23" i="2"/>
  <c r="C13" i="2"/>
  <c r="C15" i="2" s="1"/>
  <c r="C17" i="2" s="1"/>
  <c r="C18" i="2" s="1"/>
  <c r="M23" i="2"/>
  <c r="M13" i="2"/>
  <c r="M15" i="2" s="1"/>
  <c r="M17" i="2" s="1"/>
  <c r="M18" i="2" s="1"/>
  <c r="I13" i="2"/>
  <c r="I15" i="2" s="1"/>
  <c r="I17" i="2" s="1"/>
  <c r="I18" i="2" s="1"/>
  <c r="J23" i="2"/>
  <c r="G23" i="2"/>
  <c r="D23" i="2"/>
  <c r="D13" i="2"/>
  <c r="D15" i="2" s="1"/>
  <c r="D17" i="2" s="1"/>
  <c r="D18" i="2" s="1"/>
  <c r="E23" i="2"/>
  <c r="E13" i="2"/>
  <c r="E15" i="2" s="1"/>
  <c r="E17" i="2" s="1"/>
  <c r="E18" i="2" s="1"/>
  <c r="F13" i="2"/>
  <c r="F15" i="2" s="1"/>
  <c r="F17" i="2" s="1"/>
  <c r="F18" i="2" s="1"/>
  <c r="H13" i="2"/>
  <c r="H15" i="2" s="1"/>
  <c r="H17" i="2" s="1"/>
  <c r="H18" i="2" s="1"/>
  <c r="L13" i="2"/>
  <c r="L15" i="2" s="1"/>
  <c r="L17" i="2" s="1"/>
  <c r="L18" i="2" s="1"/>
  <c r="AG9" i="2" l="1"/>
  <c r="AG23" i="2" s="1"/>
  <c r="AG12" i="2"/>
  <c r="N23" i="2"/>
  <c r="AH23" i="2"/>
  <c r="AI7" i="2"/>
  <c r="AJ5" i="2"/>
  <c r="AI21" i="2"/>
  <c r="AL19" i="2"/>
  <c r="AG13" i="2" l="1"/>
  <c r="AG15" i="2" s="1"/>
  <c r="AG17" i="2" s="1"/>
  <c r="AG18" i="2" s="1"/>
  <c r="AH12" i="2"/>
  <c r="AH13" i="2" s="1"/>
  <c r="AK5" i="2"/>
  <c r="AJ21" i="2"/>
  <c r="AJ7" i="2"/>
  <c r="AI9" i="2"/>
  <c r="AM19" i="2"/>
  <c r="AI12" i="2" l="1"/>
  <c r="AI13" i="2" s="1"/>
  <c r="AJ11" i="2"/>
  <c r="AI23" i="2"/>
  <c r="AJ8" i="2"/>
  <c r="AJ9" i="2" s="1"/>
  <c r="AL5" i="2"/>
  <c r="AK21" i="2"/>
  <c r="AK7" i="2"/>
  <c r="AK8" i="2" s="1"/>
  <c r="AK9" i="2" s="1"/>
  <c r="AN19" i="2"/>
  <c r="AJ12" i="2" l="1"/>
  <c r="AJ13" i="2" s="1"/>
  <c r="AK11" i="2"/>
  <c r="AJ23" i="2"/>
  <c r="AK23" i="2"/>
  <c r="AL7" i="2"/>
  <c r="AL8" i="2" s="1"/>
  <c r="AL9" i="2" s="1"/>
  <c r="AL21" i="2"/>
  <c r="AM5" i="2"/>
  <c r="AO19" i="2"/>
  <c r="AL11" i="2" l="1"/>
  <c r="AK12" i="2"/>
  <c r="AK13" i="2" s="1"/>
  <c r="AN5" i="2"/>
  <c r="AM21" i="2"/>
  <c r="AM7" i="2"/>
  <c r="AM8" i="2" s="1"/>
  <c r="AM9" i="2" s="1"/>
  <c r="AL23" i="2"/>
  <c r="AP19" i="2"/>
  <c r="AL12" i="2" l="1"/>
  <c r="AL13" i="2" s="1"/>
  <c r="AM11" i="2"/>
  <c r="AM23" i="2"/>
  <c r="AO5" i="2"/>
  <c r="AN7" i="2"/>
  <c r="AN8" i="2" s="1"/>
  <c r="AN9" i="2" s="1"/>
  <c r="AN21" i="2"/>
  <c r="AM12" i="2" l="1"/>
  <c r="AM13" i="2" s="1"/>
  <c r="AN11" i="2"/>
  <c r="AN23" i="2"/>
  <c r="AP5" i="2"/>
  <c r="AO21" i="2"/>
  <c r="AO7" i="2"/>
  <c r="AO8" i="2" s="1"/>
  <c r="AO9" i="2" s="1"/>
  <c r="AN12" i="2" l="1"/>
  <c r="AN13" i="2" s="1"/>
  <c r="AO11" i="2"/>
  <c r="AO23" i="2"/>
  <c r="AP21" i="2"/>
  <c r="AP7" i="2"/>
  <c r="AP8" i="2" s="1"/>
  <c r="AP9" i="2" s="1"/>
  <c r="AP11" i="2" l="1"/>
  <c r="AP12" i="2" s="1"/>
  <c r="AO12" i="2"/>
  <c r="AO13" i="2" s="1"/>
  <c r="AP13" i="2"/>
  <c r="AP23" i="2"/>
  <c r="N15" i="2" l="1"/>
  <c r="N17" i="2" s="1"/>
  <c r="O15" i="2"/>
  <c r="N18" i="2" l="1"/>
  <c r="O17" i="2"/>
  <c r="O18" i="2" s="1"/>
  <c r="AH15" i="2" l="1"/>
  <c r="AH17" i="2" s="1"/>
  <c r="AI15" i="2" l="1"/>
  <c r="AI17" i="2" s="1"/>
  <c r="AI18" i="2" s="1"/>
  <c r="AH18" i="2"/>
  <c r="AJ14" i="2" l="1"/>
  <c r="AJ15" i="2" s="1"/>
  <c r="AJ16" i="2" s="1"/>
  <c r="AJ17" i="2" s="1"/>
  <c r="AK14" i="2" l="1"/>
  <c r="AK15" i="2" s="1"/>
  <c r="AJ18" i="2"/>
  <c r="AK16" i="2" l="1"/>
  <c r="AK17" i="2" s="1"/>
  <c r="AK18" i="2" l="1"/>
  <c r="AL14" i="2" l="1"/>
  <c r="AL15" i="2" s="1"/>
  <c r="AL16" i="2" l="1"/>
  <c r="AL17" i="2" s="1"/>
  <c r="AL18" i="2" l="1"/>
  <c r="AM14" i="2" l="1"/>
  <c r="AM15" i="2" s="1"/>
  <c r="AM16" i="2" l="1"/>
  <c r="AM17" i="2" s="1"/>
  <c r="AM18" i="2" l="1"/>
  <c r="AN14" i="2" l="1"/>
  <c r="AN15" i="2" s="1"/>
  <c r="AN16" i="2" s="1"/>
  <c r="AN17" i="2" s="1"/>
  <c r="AN18" i="2" s="1"/>
  <c r="AO14" i="2" l="1"/>
  <c r="AO15" i="2" s="1"/>
  <c r="AO16" i="2" s="1"/>
  <c r="AO17" i="2" s="1"/>
  <c r="AO18" i="2" s="1"/>
  <c r="AP14" i="2" l="1"/>
  <c r="AP15" i="2" s="1"/>
  <c r="AP16" i="2" s="1"/>
  <c r="AP17" i="2" s="1"/>
  <c r="AP18" i="2" l="1"/>
  <c r="AS26" i="2"/>
  <c r="AS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tc={3069B2B6-6AE1-4411-A9B6-C363B5550C85}</author>
    <author>tc={E76A3321-30D1-474A-816C-3601963F366F}</author>
    <author>tc={98D11F55-839D-450A-B2B9-0C3B07A81771}</author>
  </authors>
  <commentList>
    <comment ref="AG4" authorId="0" shapeId="0" xr:uid="{3069B2B6-6AE1-4411-A9B6-C363B555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1400-1425</t>
      </text>
    </comment>
    <comment ref="AI4" authorId="1" shapeId="0" xr:uid="{E76A3321-30D1-474A-816C-3601963F366F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guidance to 2.25-2.30B</t>
      </text>
    </comment>
    <comment ref="AW4" authorId="2" shapeId="0" xr:uid="{98D11F55-839D-450A-B2B9-0C3B07A817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Settlement with generics</t>
      </text>
    </comment>
  </commentList>
</comments>
</file>

<file path=xl/sharedStrings.xml><?xml version="1.0" encoding="utf-8"?>
<sst xmlns="http://schemas.openxmlformats.org/spreadsheetml/2006/main" count="167" uniqueCount="130">
  <si>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</si>
  <si>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</si>
  <si>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</si>
  <si>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</si>
  <si>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</si>
  <si>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</si>
  <si>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</si>
  <si>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</si>
  <si>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</si>
  <si>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</si>
  <si>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</si>
  <si>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</si>
  <si>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</si>
  <si>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</si>
  <si>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</si>
  <si>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</si>
  <si>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</si>
  <si>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</si>
  <si>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</si>
  <si>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</si>
  <si>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</t>
  </si>
  <si>
    <t>Collab</t>
  </si>
  <si>
    <t>Brand</t>
  </si>
  <si>
    <t>Ingrezza (valbenazine)</t>
  </si>
  <si>
    <t>Indication</t>
  </si>
  <si>
    <t>TD</t>
  </si>
  <si>
    <t>Ongentys (opicapone)</t>
  </si>
  <si>
    <t>Parkinson's</t>
  </si>
  <si>
    <t>Ingrezza</t>
  </si>
  <si>
    <t>CEO</t>
  </si>
  <si>
    <t>Ingrezza Rx</t>
  </si>
  <si>
    <t>IP</t>
  </si>
  <si>
    <t>Economics</t>
  </si>
  <si>
    <t>Mitsubishi Tanabe in Japan</t>
  </si>
  <si>
    <t>NBI-1117568</t>
  </si>
  <si>
    <t>Schizophrenia</t>
  </si>
  <si>
    <t>MOA</t>
  </si>
  <si>
    <t>VMAT2</t>
  </si>
  <si>
    <t>COGS</t>
  </si>
  <si>
    <t>Gross Profit</t>
  </si>
  <si>
    <t>OpEx</t>
  </si>
  <si>
    <t>OpInc</t>
  </si>
  <si>
    <t>R&amp;D</t>
  </si>
  <si>
    <t>SG&amp;A</t>
  </si>
  <si>
    <t>Interest</t>
  </si>
  <si>
    <t>Pretax</t>
  </si>
  <si>
    <t>Taxes</t>
  </si>
  <si>
    <t>Net Income</t>
  </si>
  <si>
    <t>EPS</t>
  </si>
  <si>
    <t>NBI-827104</t>
  </si>
  <si>
    <t>IDIA</t>
  </si>
  <si>
    <t>Epilepsy</t>
  </si>
  <si>
    <t>T-type Ca channel blocker</t>
  </si>
  <si>
    <t>M4 agonist</t>
  </si>
  <si>
    <t>Sosei</t>
  </si>
  <si>
    <t>NBI-1070770</t>
  </si>
  <si>
    <t>Psychiatric</t>
  </si>
  <si>
    <t>crinecerfont</t>
  </si>
  <si>
    <t>CRF1 antagonist</t>
  </si>
  <si>
    <t>CAH</t>
  </si>
  <si>
    <t>Approved</t>
  </si>
  <si>
    <t>Phase</t>
  </si>
  <si>
    <t>I</t>
  </si>
  <si>
    <t>II</t>
  </si>
  <si>
    <t>NBI-1065846</t>
  </si>
  <si>
    <t>GPR139 agonist</t>
  </si>
  <si>
    <t>MDD</t>
  </si>
  <si>
    <t>NBI-1065845</t>
  </si>
  <si>
    <t>AMPA</t>
  </si>
  <si>
    <t>TAK</t>
  </si>
  <si>
    <t>NBI-921352</t>
  </si>
  <si>
    <t>Nav1.6</t>
  </si>
  <si>
    <t>XENE</t>
  </si>
  <si>
    <t>Ingrezza y/y</t>
  </si>
  <si>
    <t>Gross Margin</t>
  </si>
  <si>
    <t>Q419</t>
  </si>
  <si>
    <t>Generic</t>
  </si>
  <si>
    <t>valbenazine</t>
  </si>
  <si>
    <t>VMAT2 inhibitor</t>
  </si>
  <si>
    <t>8357697 - MOU for hyperkinetic disorder - expires 11/08/2027</t>
  </si>
  <si>
    <t>NPV</t>
  </si>
  <si>
    <t>Discount</t>
  </si>
  <si>
    <t>Share</t>
  </si>
  <si>
    <t>ROIC</t>
  </si>
  <si>
    <t>8038627 - COM - expires 2031 (adjusted for H-W)</t>
  </si>
  <si>
    <t>12/6/22: NBI-827104 "STEAMBOAT" study fails</t>
  </si>
  <si>
    <t>Q123</t>
  </si>
  <si>
    <t>Q223</t>
  </si>
  <si>
    <t>Q323</t>
  </si>
  <si>
    <t>Q423</t>
  </si>
  <si>
    <t>Q124</t>
  </si>
  <si>
    <t>Q224</t>
  </si>
  <si>
    <t>Q324</t>
  </si>
  <si>
    <t>Q424</t>
  </si>
  <si>
    <t>AR</t>
  </si>
  <si>
    <t>Inventory</t>
  </si>
  <si>
    <t>OCA</t>
  </si>
  <si>
    <t>DT</t>
  </si>
  <si>
    <t>ROU</t>
  </si>
  <si>
    <t>PPE</t>
  </si>
  <si>
    <t>Goodwill</t>
  </si>
  <si>
    <t>ONCA</t>
  </si>
  <si>
    <t>Assets</t>
  </si>
  <si>
    <t>L+SE</t>
  </si>
  <si>
    <t>SE</t>
  </si>
  <si>
    <t>AP</t>
  </si>
  <si>
    <t>OCL</t>
  </si>
  <si>
    <t>Lease</t>
  </si>
  <si>
    <t>ONCL</t>
  </si>
  <si>
    <t>Tardive Dyskinesia, Huntington's chorea</t>
  </si>
  <si>
    <t>Ingrezza, Dysval in Japan, Remleas in other Asian markets.</t>
  </si>
  <si>
    <t>Orilissa (elagolix)</t>
  </si>
  <si>
    <t>Endometriosis</t>
  </si>
  <si>
    <t>Kyle Gano succeeding Kevin Gorman</t>
  </si>
  <si>
    <t>Clinical Trials</t>
  </si>
  <si>
    <t>AMPA PAM</t>
  </si>
  <si>
    <t>NMDA NR2B nam</t>
  </si>
  <si>
    <t>NBI-1076968</t>
  </si>
  <si>
    <t>M4 antagonist</t>
  </si>
  <si>
    <t>luvadaxistat</t>
  </si>
  <si>
    <t>12/29/24 PDUFA</t>
  </si>
  <si>
    <t>Phase III "CAHtalyst"</t>
  </si>
  <si>
    <t>DAAO inhibitor</t>
  </si>
  <si>
    <t>NBI-1065890</t>
  </si>
  <si>
    <t>NBI-1076986</t>
  </si>
  <si>
    <t>VYGR</t>
  </si>
  <si>
    <t>day 28: -4.3 MADRS, p=0.0159 for one dose, -3.0 p=0.0873 for another dose</t>
  </si>
  <si>
    <t>day 56: -7.5 MADRS, p=0.0016 for one dose, -3.6, p=0.1082 for another dose.</t>
  </si>
  <si>
    <t>Takeda</t>
  </si>
  <si>
    <t>Phase II "SAVITRI" n=183 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</si>
</sst>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0" fontId="2" fillId="0" borderId="1" xfId="1" applyBorder="1"/>
    <xf numFmtId="14" fontId="0" fillId="0" borderId="0" xfId="0" applyNumberFormat="1"/>
    <xf numFmtId="0" fontId="4" fillId="0" borderId="1" xfId="1" applyFont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950530C-830D-4EC2-A396-8EDC8806A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35092</xdr:colOff>
      <xdr:row>0</xdr:row>
      <xdr:rowOff>0</xdr:rowOff>
    </xdr:from>
    <xdr:to>
      <xdr:col>21</xdr:col>
      <xdr:colOff>35092</xdr:colOff>
      <xdr:row>34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A3322E-D197-A03F-2D9F-49C281DED272}"/>
            </a:ext>
          </a:extLst>
        </xdr:cNvPr>
        <xdr:cNvCxnSpPr/>
      </xdr:nvCxnSpPr>
      <xdr:spPr>
        <a:xfrm>
          <a:off x="12868776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20052</xdr:colOff>
      <xdr:row>0</xdr:row>
      <xdr:rowOff>0</xdr:rowOff>
    </xdr:from>
    <xdr:to>
      <xdr:col>34</xdr:col>
      <xdr:colOff>20052</xdr:colOff>
      <xdr:row>34</xdr:row>
      <xdr:rowOff>140368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7B373B-A381-4163-A44A-2D59B1DF6CAC}"/>
            </a:ext>
          </a:extLst>
        </xdr:cNvPr>
        <xdr:cNvCxnSpPr/>
      </xdr:nvCxnSpPr>
      <xdr:spPr>
        <a:xfrm>
          <a:off x="20804605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5E69EB5-F007-4D3F-81A1-66A29F1E36E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" dT="2023-01-04T02:46:47.21" personId="{45E69EB5-F007-4D3F-81A1-66A29F1E36ED}" id="{3069B2B6-6AE1-4411-A9B6-C363B5550C85}">
    <text>Q3 guidance: 1400-1425</text>
  </threadedComment>
  <threadedComment ref="AI4" dT="2024-09-03T12:13:42.48" personId="{45E69EB5-F007-4D3F-81A1-66A29F1E36ED}" id="{E76A3321-30D1-474A-816C-3601963F366F}">
    <text>Raised guidance to 2.25-2.30B</text>
  </threadedComment>
  <threadedComment ref="AW4" dT="2024-09-03T12:31:23.19" personId="{45E69EB5-F007-4D3F-81A1-66A29F1E36ED}" id="{98D11F55-839D-450A-B2B9-0C3B07A81771}">
    <text>Settlement with generics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1F6-F911-40A6-8644-267FAD055F12}">
  <dimension ref="B2:M22"/>
  <sheetViews>
    <sheetView zoomScale="160" zoomScaleNormal="160" workbookViewId="0">
      <selection activeCell="F18" sqref="F18"/>
    </sheetView>
  </sheetViews>
  <sheetFormatPr defaultRowHeight="12.75" x14ac:dyDescent="0.2"/>
  <cols>
    <col min="1" max="1" width="4.7109375" customWidth="1"/>
    <col min="2" max="2" width="20.5703125" customWidth="1"/>
    <col min="3" max="3" width="13.28515625" customWidth="1"/>
    <col min="4" max="4" width="15.28515625" customWidth="1"/>
    <col min="5" max="5" width="9.42578125" bestFit="1" customWidth="1"/>
    <col min="6" max="6" width="12.7109375" customWidth="1"/>
  </cols>
  <sheetData>
    <row r="2" spans="2:13" x14ac:dyDescent="0.2">
      <c r="B2" s="13" t="s">
        <v>22</v>
      </c>
      <c r="C2" s="14" t="s">
        <v>24</v>
      </c>
      <c r="D2" s="14" t="s">
        <v>36</v>
      </c>
      <c r="E2" s="14" t="s">
        <v>60</v>
      </c>
      <c r="F2" s="14" t="s">
        <v>32</v>
      </c>
      <c r="G2" s="15" t="s">
        <v>31</v>
      </c>
      <c r="K2" t="s">
        <v>0</v>
      </c>
      <c r="L2" s="1">
        <v>127</v>
      </c>
    </row>
    <row r="3" spans="2:13" x14ac:dyDescent="0.2">
      <c r="B3" s="19" t="s">
        <v>23</v>
      </c>
      <c r="C3" t="s">
        <v>25</v>
      </c>
      <c r="D3" t="s">
        <v>37</v>
      </c>
      <c r="E3" s="20">
        <v>42836</v>
      </c>
      <c r="F3" t="s">
        <v>33</v>
      </c>
      <c r="G3" s="9"/>
      <c r="K3" t="s">
        <v>1</v>
      </c>
      <c r="L3" s="3">
        <v>100.976249</v>
      </c>
      <c r="M3" s="2" t="s">
        <v>91</v>
      </c>
    </row>
    <row r="4" spans="2:13" x14ac:dyDescent="0.2">
      <c r="B4" s="21" t="s">
        <v>111</v>
      </c>
      <c r="C4" t="s">
        <v>112</v>
      </c>
      <c r="E4" s="20"/>
      <c r="G4" s="9"/>
      <c r="K4" t="s">
        <v>2</v>
      </c>
      <c r="L4" s="3">
        <f>+L2*L3</f>
        <v>12823.983623</v>
      </c>
    </row>
    <row r="5" spans="2:13" x14ac:dyDescent="0.2">
      <c r="B5" s="8" t="s">
        <v>26</v>
      </c>
      <c r="C5" t="s">
        <v>27</v>
      </c>
      <c r="G5" s="9"/>
      <c r="K5" t="s">
        <v>3</v>
      </c>
      <c r="L5" s="3">
        <f>139.7+899.2+637.8+143.6</f>
        <v>1820.3</v>
      </c>
      <c r="M5" s="2" t="s">
        <v>91</v>
      </c>
    </row>
    <row r="6" spans="2:13" x14ac:dyDescent="0.2">
      <c r="B6" s="13"/>
      <c r="C6" s="14"/>
      <c r="D6" s="14"/>
      <c r="E6" s="14" t="s">
        <v>61</v>
      </c>
      <c r="F6" s="14"/>
      <c r="G6" s="15"/>
      <c r="K6" t="s">
        <v>4</v>
      </c>
      <c r="L6" s="3">
        <v>0</v>
      </c>
      <c r="M6" s="2" t="s">
        <v>91</v>
      </c>
    </row>
    <row r="7" spans="2:13" x14ac:dyDescent="0.2">
      <c r="B7" s="8" t="s">
        <v>34</v>
      </c>
      <c r="C7" t="s">
        <v>35</v>
      </c>
      <c r="D7" t="s">
        <v>53</v>
      </c>
      <c r="E7" t="s">
        <v>62</v>
      </c>
      <c r="F7" t="s">
        <v>54</v>
      </c>
      <c r="G7" s="9"/>
      <c r="K7" t="s">
        <v>5</v>
      </c>
      <c r="L7" s="3">
        <f>+L4-L5+L6</f>
        <v>11003.683623000001</v>
      </c>
    </row>
    <row r="8" spans="2:13" x14ac:dyDescent="0.2">
      <c r="B8" s="8" t="s">
        <v>49</v>
      </c>
      <c r="C8" t="s">
        <v>51</v>
      </c>
      <c r="D8" t="s">
        <v>52</v>
      </c>
      <c r="E8" t="s">
        <v>63</v>
      </c>
      <c r="F8" t="s">
        <v>50</v>
      </c>
      <c r="G8" s="9"/>
    </row>
    <row r="9" spans="2:13" x14ac:dyDescent="0.2">
      <c r="B9" s="8" t="s">
        <v>55</v>
      </c>
      <c r="C9" t="s">
        <v>56</v>
      </c>
      <c r="E9" t="s">
        <v>62</v>
      </c>
      <c r="G9" s="9"/>
      <c r="K9" t="s">
        <v>29</v>
      </c>
      <c r="L9" t="s">
        <v>113</v>
      </c>
    </row>
    <row r="10" spans="2:13" x14ac:dyDescent="0.2">
      <c r="B10" s="19" t="s">
        <v>57</v>
      </c>
      <c r="C10" t="s">
        <v>59</v>
      </c>
      <c r="D10" t="s">
        <v>58</v>
      </c>
      <c r="E10" t="s">
        <v>120</v>
      </c>
      <c r="G10" s="9"/>
    </row>
    <row r="11" spans="2:13" x14ac:dyDescent="0.2">
      <c r="B11" s="8" t="s">
        <v>64</v>
      </c>
      <c r="C11" t="s">
        <v>66</v>
      </c>
      <c r="D11" t="s">
        <v>65</v>
      </c>
      <c r="E11" t="s">
        <v>63</v>
      </c>
      <c r="F11" t="s">
        <v>69</v>
      </c>
      <c r="G11" s="9"/>
    </row>
    <row r="12" spans="2:13" x14ac:dyDescent="0.2">
      <c r="B12" s="8" t="s">
        <v>117</v>
      </c>
      <c r="D12" t="s">
        <v>118</v>
      </c>
      <c r="G12" s="9"/>
    </row>
    <row r="13" spans="2:13" x14ac:dyDescent="0.2">
      <c r="B13" s="8" t="s">
        <v>119</v>
      </c>
      <c r="D13" t="s">
        <v>122</v>
      </c>
      <c r="G13" s="9"/>
    </row>
    <row r="14" spans="2:13" x14ac:dyDescent="0.2">
      <c r="B14" s="8" t="s">
        <v>123</v>
      </c>
      <c r="D14" t="s">
        <v>78</v>
      </c>
      <c r="G14" s="9"/>
    </row>
    <row r="15" spans="2:13" x14ac:dyDescent="0.2">
      <c r="B15" s="8" t="s">
        <v>124</v>
      </c>
      <c r="D15" t="s">
        <v>118</v>
      </c>
      <c r="G15" s="9"/>
    </row>
    <row r="16" spans="2:13" x14ac:dyDescent="0.2">
      <c r="B16" s="8"/>
      <c r="F16" t="s">
        <v>125</v>
      </c>
      <c r="G16" s="9"/>
    </row>
    <row r="17" spans="2:7" x14ac:dyDescent="0.2">
      <c r="B17" s="8" t="s">
        <v>55</v>
      </c>
      <c r="C17" t="s">
        <v>66</v>
      </c>
      <c r="D17" t="s">
        <v>116</v>
      </c>
      <c r="F17" t="s">
        <v>69</v>
      </c>
      <c r="G17" s="9"/>
    </row>
    <row r="18" spans="2:7" x14ac:dyDescent="0.2">
      <c r="B18" s="19" t="s">
        <v>67</v>
      </c>
      <c r="C18" t="s">
        <v>66</v>
      </c>
      <c r="D18" t="s">
        <v>68</v>
      </c>
      <c r="E18" t="s">
        <v>63</v>
      </c>
      <c r="F18" t="s">
        <v>69</v>
      </c>
      <c r="G18" s="9"/>
    </row>
    <row r="19" spans="2:7" x14ac:dyDescent="0.2">
      <c r="B19" s="10" t="s">
        <v>70</v>
      </c>
      <c r="C19" s="11" t="s">
        <v>51</v>
      </c>
      <c r="D19" s="11" t="s">
        <v>71</v>
      </c>
      <c r="E19" s="11" t="s">
        <v>63</v>
      </c>
      <c r="F19" s="11" t="s">
        <v>72</v>
      </c>
      <c r="G19" s="12"/>
    </row>
    <row r="22" spans="2:7" x14ac:dyDescent="0.2">
      <c r="F22" t="s">
        <v>85</v>
      </c>
    </row>
  </sheetData>
  <hyperlinks>
    <hyperlink ref="B3" location="Ingrezza!A1" display="Ingrezza (valbenazine)" xr:uid="{A3DCB05F-467A-49D9-BDFF-0F9C96F16A9F}"/>
    <hyperlink ref="B10" location="crinecerfont!A1" display="crinecerfont" xr:uid="{7A8087B6-C265-401A-978F-A93E99DCCDEE}"/>
    <hyperlink ref="B18" location="'1065845'!A1" display="NBI-1065845" xr:uid="{6C6A8A42-AED5-4204-B4CB-F292C8E12385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0C7-1B6F-4C96-9B91-E9D8930F8C52}">
  <dimension ref="A1:AY41"/>
  <sheetViews>
    <sheetView tabSelected="1" zoomScale="190" zoomScaleNormal="190" workbookViewId="0">
      <pane xSplit="2" ySplit="2" topLeftCell="AN3" activePane="bottomRight" state="frozen"/>
      <selection pane="topRight" activeCell="C1" sqref="C1"/>
      <selection pane="bottomLeft" activeCell="A3" sqref="A3"/>
      <selection pane="bottomRight" activeCell="AR25" sqref="AR25:AS28"/>
    </sheetView>
  </sheetViews>
  <sheetFormatPr defaultRowHeight="12.75" x14ac:dyDescent="0.2"/>
  <cols>
    <col min="1" max="1" width="5" bestFit="1" customWidth="1"/>
    <col min="2" max="2" width="13.140625" customWidth="1"/>
    <col min="3" max="23" width="9.140625" style="2"/>
    <col min="49" max="49" width="11" bestFit="1" customWidth="1"/>
  </cols>
  <sheetData>
    <row r="1" spans="1:51" x14ac:dyDescent="0.2">
      <c r="A1" t="s">
        <v>7</v>
      </c>
    </row>
    <row r="2" spans="1:51" x14ac:dyDescent="0.2">
      <c r="C2" s="2" t="s">
        <v>75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19</v>
      </c>
      <c r="P2" s="2" t="s">
        <v>86</v>
      </c>
      <c r="Q2" s="2" t="s">
        <v>87</v>
      </c>
      <c r="R2" s="2" t="s">
        <v>88</v>
      </c>
      <c r="S2" s="2" t="s">
        <v>89</v>
      </c>
      <c r="T2" s="2" t="s">
        <v>90</v>
      </c>
      <c r="U2" s="2" t="s">
        <v>91</v>
      </c>
      <c r="V2" s="2" t="s">
        <v>92</v>
      </c>
      <c r="W2" s="2" t="s">
        <v>93</v>
      </c>
      <c r="Z2">
        <v>2015</v>
      </c>
      <c r="AA2">
        <f>+Z2+1</f>
        <v>2016</v>
      </c>
      <c r="AB2">
        <f t="shared" ref="AB2:AY2" si="0">+AA2+1</f>
        <v>2017</v>
      </c>
      <c r="AC2">
        <f t="shared" si="0"/>
        <v>2018</v>
      </c>
      <c r="AD2">
        <f t="shared" si="0"/>
        <v>2019</v>
      </c>
      <c r="AE2">
        <f t="shared" si="0"/>
        <v>2020</v>
      </c>
      <c r="AF2">
        <f t="shared" si="0"/>
        <v>2021</v>
      </c>
      <c r="AG2">
        <f t="shared" si="0"/>
        <v>2022</v>
      </c>
      <c r="AH2">
        <f t="shared" si="0"/>
        <v>2023</v>
      </c>
      <c r="AI2">
        <f t="shared" si="0"/>
        <v>2024</v>
      </c>
      <c r="AJ2">
        <f t="shared" si="0"/>
        <v>2025</v>
      </c>
      <c r="AK2">
        <f t="shared" si="0"/>
        <v>2026</v>
      </c>
      <c r="AL2">
        <f t="shared" si="0"/>
        <v>2027</v>
      </c>
      <c r="AM2">
        <f t="shared" si="0"/>
        <v>2028</v>
      </c>
      <c r="AN2">
        <f t="shared" si="0"/>
        <v>2029</v>
      </c>
      <c r="AO2">
        <f t="shared" si="0"/>
        <v>2030</v>
      </c>
      <c r="AP2">
        <f t="shared" si="0"/>
        <v>2031</v>
      </c>
      <c r="AQ2">
        <f t="shared" si="0"/>
        <v>2032</v>
      </c>
      <c r="AR2">
        <f t="shared" si="0"/>
        <v>2033</v>
      </c>
      <c r="AS2">
        <f t="shared" si="0"/>
        <v>2034</v>
      </c>
      <c r="AT2">
        <f t="shared" si="0"/>
        <v>2035</v>
      </c>
      <c r="AU2">
        <f t="shared" si="0"/>
        <v>2036</v>
      </c>
      <c r="AV2">
        <f t="shared" si="0"/>
        <v>2037</v>
      </c>
      <c r="AW2">
        <f t="shared" si="0"/>
        <v>2038</v>
      </c>
      <c r="AX2">
        <f t="shared" si="0"/>
        <v>2039</v>
      </c>
      <c r="AY2">
        <f t="shared" si="0"/>
        <v>2040</v>
      </c>
    </row>
    <row r="3" spans="1:51" x14ac:dyDescent="0.2">
      <c r="B3" t="s">
        <v>30</v>
      </c>
      <c r="N3" s="2">
        <v>68600</v>
      </c>
    </row>
    <row r="4" spans="1:51" x14ac:dyDescent="0.2">
      <c r="B4" t="s">
        <v>28</v>
      </c>
      <c r="J4" s="5"/>
      <c r="K4" s="5"/>
      <c r="L4" s="2">
        <v>303</v>
      </c>
      <c r="M4" s="2">
        <v>350</v>
      </c>
      <c r="N4" s="2">
        <v>376</v>
      </c>
      <c r="Q4" s="5">
        <v>439.7</v>
      </c>
      <c r="R4" s="5">
        <v>486</v>
      </c>
      <c r="S4" s="5">
        <v>500</v>
      </c>
      <c r="T4" s="5">
        <v>506</v>
      </c>
      <c r="U4" s="5">
        <v>579.5</v>
      </c>
    </row>
    <row r="5" spans="1:51" s="3" customFormat="1" x14ac:dyDescent="0.2">
      <c r="B5" s="3" t="s">
        <v>20</v>
      </c>
      <c r="C5" s="5">
        <v>237.9</v>
      </c>
      <c r="D5" s="5">
        <v>231.1</v>
      </c>
      <c r="E5" s="5">
        <v>267.60000000000002</v>
      </c>
      <c r="F5" s="5">
        <v>254.1</v>
      </c>
      <c r="G5" s="5">
        <v>241.3</v>
      </c>
      <c r="H5" s="5">
        <v>231</v>
      </c>
      <c r="I5" s="5">
        <v>266.8</v>
      </c>
      <c r="J5" s="5">
        <v>288.8</v>
      </c>
      <c r="K5" s="5">
        <v>303.5</v>
      </c>
      <c r="L5" s="5">
        <v>305</v>
      </c>
      <c r="M5" s="5">
        <v>352</v>
      </c>
      <c r="N5" s="5">
        <v>379.3</v>
      </c>
      <c r="O5" s="5">
        <v>404.6</v>
      </c>
      <c r="P5" s="5">
        <v>415.3</v>
      </c>
      <c r="Q5" s="5">
        <v>446.3</v>
      </c>
      <c r="R5" s="5">
        <v>491.8</v>
      </c>
      <c r="S5" s="5">
        <v>507.2</v>
      </c>
      <c r="T5" s="5">
        <v>509</v>
      </c>
      <c r="U5" s="5">
        <v>583.79999999999995</v>
      </c>
      <c r="V5" s="5">
        <f>+Q5*1.3</f>
        <v>580.19000000000005</v>
      </c>
      <c r="W5" s="5">
        <f>+R5*1.3</f>
        <v>639.34</v>
      </c>
      <c r="AE5" s="3">
        <f>SUM(D5:G5)</f>
        <v>994.10000000000014</v>
      </c>
      <c r="AF5" s="3">
        <f>SUM(H5:K5)</f>
        <v>1090.0999999999999</v>
      </c>
      <c r="AG5" s="3">
        <f>SUM(L5:O5)</f>
        <v>1440.9</v>
      </c>
      <c r="AH5" s="3">
        <f>SUM(P5:S5)</f>
        <v>1860.6000000000001</v>
      </c>
      <c r="AI5" s="3">
        <f>SUM(T5:W5)</f>
        <v>2312.33</v>
      </c>
      <c r="AJ5" s="3">
        <f>+AI5*1.05</f>
        <v>2427.9465</v>
      </c>
      <c r="AK5" s="3">
        <f>+AJ5*1.05</f>
        <v>2549.3438249999999</v>
      </c>
      <c r="AL5" s="3">
        <f t="shared" ref="AL5:AM5" si="1">+AK5*1.05</f>
        <v>2676.8110162500002</v>
      </c>
      <c r="AM5" s="3">
        <f t="shared" si="1"/>
        <v>2810.6515670625004</v>
      </c>
      <c r="AN5" s="3">
        <f>+AM5*1.01</f>
        <v>2838.7580827331253</v>
      </c>
      <c r="AO5" s="3">
        <f t="shared" ref="AO5:AP5" si="2">+AN5*1.01</f>
        <v>2867.1456635604568</v>
      </c>
      <c r="AP5" s="3">
        <f t="shared" si="2"/>
        <v>2895.8171201960613</v>
      </c>
    </row>
    <row r="6" spans="1:51" s="3" customFormat="1" x14ac:dyDescent="0.2">
      <c r="B6" s="3" t="s">
        <v>21</v>
      </c>
      <c r="C6" s="5">
        <v>6.2</v>
      </c>
      <c r="D6" s="5">
        <v>6</v>
      </c>
      <c r="E6" s="5">
        <v>34.799999999999997</v>
      </c>
      <c r="F6" s="5">
        <v>4.4000000000000004</v>
      </c>
      <c r="G6" s="5">
        <v>6.6</v>
      </c>
      <c r="H6" s="5">
        <v>5.6</v>
      </c>
      <c r="I6" s="5">
        <v>22.1</v>
      </c>
      <c r="J6" s="5">
        <v>7.2</v>
      </c>
      <c r="K6" s="5">
        <v>8.5</v>
      </c>
      <c r="L6" s="5">
        <v>5.6</v>
      </c>
      <c r="M6" s="5">
        <v>26.2</v>
      </c>
      <c r="N6" s="5">
        <v>8.6</v>
      </c>
      <c r="O6" s="5">
        <v>7.4</v>
      </c>
      <c r="P6" s="5">
        <v>5.0999999999999996</v>
      </c>
      <c r="Q6" s="5">
        <v>6.4</v>
      </c>
      <c r="R6" s="5">
        <v>7</v>
      </c>
      <c r="S6" s="5">
        <v>7.4</v>
      </c>
      <c r="T6" s="5">
        <v>6.3</v>
      </c>
      <c r="U6" s="5">
        <v>6.4</v>
      </c>
      <c r="V6" s="5"/>
      <c r="W6" s="5"/>
      <c r="AG6" s="3">
        <f t="shared" ref="AG6" si="3">SUM(L6:O6)</f>
        <v>47.8</v>
      </c>
      <c r="AH6" s="3">
        <f t="shared" ref="AH6" si="4">SUM(P6:S6)</f>
        <v>25.9</v>
      </c>
      <c r="AI6" s="3">
        <f t="shared" ref="AI6" si="5">SUM(T6:W6)</f>
        <v>12.7</v>
      </c>
      <c r="AJ6" s="3">
        <f>SUM(O6:Z6)</f>
        <v>45.999999999999993</v>
      </c>
      <c r="AK6" s="3">
        <f t="shared" ref="AK6" si="6">SUM(X6:AA6)</f>
        <v>0</v>
      </c>
      <c r="AL6" s="3">
        <f t="shared" ref="AL6" si="7">SUM(Y6:AB6)</f>
        <v>0</v>
      </c>
      <c r="AM6" s="3">
        <f t="shared" ref="AM6" si="8">SUM(Z6:AC6)</f>
        <v>0</v>
      </c>
      <c r="AN6" s="3">
        <f t="shared" ref="AN6" si="9">SUM(AA6:AD6)</f>
        <v>0</v>
      </c>
      <c r="AO6" s="3">
        <f t="shared" ref="AO6" si="10">SUM(AB6:AE6)</f>
        <v>0</v>
      </c>
      <c r="AP6" s="3">
        <f t="shared" ref="AP6" si="11">SUM(AC6:AF6)</f>
        <v>0</v>
      </c>
    </row>
    <row r="7" spans="1:51" s="6" customFormat="1" x14ac:dyDescent="0.2">
      <c r="B7" s="6" t="s">
        <v>8</v>
      </c>
      <c r="C7" s="7">
        <f t="shared" ref="C7" si="12">+C5+C6</f>
        <v>244.1</v>
      </c>
      <c r="D7" s="7">
        <f t="shared" ref="D7" si="13">+D5+D6</f>
        <v>237.1</v>
      </c>
      <c r="E7" s="7">
        <f t="shared" ref="E7" si="14">+E5+E6</f>
        <v>302.40000000000003</v>
      </c>
      <c r="F7" s="7">
        <f>+F5+F6</f>
        <v>258.5</v>
      </c>
      <c r="G7" s="7">
        <f>+G5+G6</f>
        <v>247.9</v>
      </c>
      <c r="H7" s="7">
        <f>+H5+H6</f>
        <v>236.6</v>
      </c>
      <c r="I7" s="7">
        <f>+I5+I6</f>
        <v>288.90000000000003</v>
      </c>
      <c r="J7" s="7">
        <f t="shared" ref="J7" si="15">+J5+J6</f>
        <v>296</v>
      </c>
      <c r="K7" s="7">
        <f>+K5+K6</f>
        <v>312</v>
      </c>
      <c r="L7" s="7">
        <f>+L5+L6</f>
        <v>310.60000000000002</v>
      </c>
      <c r="M7" s="7">
        <f>+M5+M6</f>
        <v>378.2</v>
      </c>
      <c r="N7" s="7">
        <f t="shared" ref="N7:W7" si="16">+N5+N6</f>
        <v>387.90000000000003</v>
      </c>
      <c r="O7" s="7">
        <f t="shared" si="16"/>
        <v>412</v>
      </c>
      <c r="P7" s="7">
        <f t="shared" si="16"/>
        <v>420.40000000000003</v>
      </c>
      <c r="Q7" s="7">
        <f t="shared" si="16"/>
        <v>452.7</v>
      </c>
      <c r="R7" s="7">
        <f t="shared" si="16"/>
        <v>498.8</v>
      </c>
      <c r="S7" s="7">
        <f t="shared" si="16"/>
        <v>514.6</v>
      </c>
      <c r="T7" s="7">
        <f t="shared" si="16"/>
        <v>515.29999999999995</v>
      </c>
      <c r="U7" s="7">
        <f t="shared" si="16"/>
        <v>590.19999999999993</v>
      </c>
      <c r="V7" s="7">
        <f t="shared" si="16"/>
        <v>580.19000000000005</v>
      </c>
      <c r="W7" s="7">
        <f t="shared" si="16"/>
        <v>639.34</v>
      </c>
      <c r="AE7" s="6">
        <f>+AE5+AE6</f>
        <v>994.10000000000014</v>
      </c>
      <c r="AF7" s="6">
        <f>+AF5+AF6</f>
        <v>1090.0999999999999</v>
      </c>
      <c r="AG7" s="6">
        <f>+AG5+AG6</f>
        <v>1488.7</v>
      </c>
      <c r="AH7" s="6">
        <f t="shared" ref="AH7:AK7" si="17">+AH5+AH6</f>
        <v>1886.5000000000002</v>
      </c>
      <c r="AI7" s="6">
        <f t="shared" si="17"/>
        <v>2325.0299999999997</v>
      </c>
      <c r="AJ7" s="6">
        <f t="shared" si="17"/>
        <v>2473.9465</v>
      </c>
      <c r="AK7" s="6">
        <f t="shared" si="17"/>
        <v>2549.3438249999999</v>
      </c>
      <c r="AL7" s="6">
        <f t="shared" ref="AL7" si="18">+AL5+AL6</f>
        <v>2676.8110162500002</v>
      </c>
      <c r="AM7" s="6">
        <f t="shared" ref="AM7" si="19">+AM5+AM6</f>
        <v>2810.6515670625004</v>
      </c>
      <c r="AN7" s="6">
        <f t="shared" ref="AN7" si="20">+AN5+AN6</f>
        <v>2838.7580827331253</v>
      </c>
      <c r="AO7" s="6">
        <f t="shared" ref="AO7" si="21">+AO5+AO6</f>
        <v>2867.1456635604568</v>
      </c>
      <c r="AP7" s="6">
        <f t="shared" ref="AP7" si="22">+AP5+AP6</f>
        <v>2895.8171201960613</v>
      </c>
    </row>
    <row r="8" spans="1:51" s="3" customFormat="1" x14ac:dyDescent="0.2">
      <c r="B8" s="3" t="s">
        <v>38</v>
      </c>
      <c r="C8" s="5">
        <v>2.5</v>
      </c>
      <c r="D8" s="5">
        <v>2.1</v>
      </c>
      <c r="E8" s="5">
        <v>2.4</v>
      </c>
      <c r="F8" s="5">
        <v>2.9</v>
      </c>
      <c r="G8" s="5">
        <v>2.9</v>
      </c>
      <c r="H8" s="5">
        <v>2.9</v>
      </c>
      <c r="I8" s="5">
        <v>3.1</v>
      </c>
      <c r="J8" s="5">
        <v>4.2</v>
      </c>
      <c r="K8" s="5">
        <v>4.0999999999999996</v>
      </c>
      <c r="L8" s="5">
        <v>4.5999999999999996</v>
      </c>
      <c r="M8" s="5">
        <v>4.8</v>
      </c>
      <c r="N8" s="5">
        <v>6.1</v>
      </c>
      <c r="O8" s="5">
        <v>7.7</v>
      </c>
      <c r="P8" s="5">
        <v>8.5</v>
      </c>
      <c r="Q8" s="5">
        <v>11.5</v>
      </c>
      <c r="R8" s="5">
        <v>11.2</v>
      </c>
      <c r="S8" s="5">
        <v>8.5</v>
      </c>
      <c r="T8" s="5">
        <v>7.5</v>
      </c>
      <c r="U8" s="5">
        <v>9.1999999999999993</v>
      </c>
      <c r="V8" s="5">
        <f>+V7*0.02</f>
        <v>11.603800000000001</v>
      </c>
      <c r="W8" s="5">
        <f>+W7*0.02</f>
        <v>12.786800000000001</v>
      </c>
      <c r="AG8" s="3">
        <f t="shared" ref="AG8" si="23">SUM(L8:O8)</f>
        <v>23.2</v>
      </c>
      <c r="AH8" s="3">
        <f t="shared" ref="AH8" si="24">SUM(P8:S8)</f>
        <v>39.700000000000003</v>
      </c>
      <c r="AI8" s="3">
        <f t="shared" ref="AI8" si="25">SUM(T8:W8)</f>
        <v>41.090600000000002</v>
      </c>
      <c r="AJ8" s="3">
        <f t="shared" ref="AI8:AK8" si="26">+AJ7*0.01</f>
        <v>24.739464999999999</v>
      </c>
      <c r="AK8" s="3">
        <f t="shared" si="26"/>
        <v>25.493438250000001</v>
      </c>
      <c r="AL8" s="3">
        <f t="shared" ref="AL8" si="27">+AL7*0.01</f>
        <v>26.768110162500001</v>
      </c>
      <c r="AM8" s="3">
        <f t="shared" ref="AM8" si="28">+AM7*0.01</f>
        <v>28.106515670625004</v>
      </c>
      <c r="AN8" s="3">
        <f t="shared" ref="AN8" si="29">+AN7*0.01</f>
        <v>28.387580827331252</v>
      </c>
      <c r="AO8" s="3">
        <f t="shared" ref="AO8" si="30">+AO7*0.01</f>
        <v>28.671456635604567</v>
      </c>
      <c r="AP8" s="3">
        <f t="shared" ref="AP8" si="31">+AP7*0.01</f>
        <v>28.958171201960614</v>
      </c>
    </row>
    <row r="9" spans="1:51" s="3" customFormat="1" x14ac:dyDescent="0.2">
      <c r="B9" s="3" t="s">
        <v>39</v>
      </c>
      <c r="C9" s="5">
        <f t="shared" ref="C9" si="32">+C7-C8</f>
        <v>241.6</v>
      </c>
      <c r="D9" s="5">
        <f t="shared" ref="D9" si="33">+D7-D8</f>
        <v>235</v>
      </c>
      <c r="E9" s="5">
        <f t="shared" ref="E9" si="34">+E7-E8</f>
        <v>300.00000000000006</v>
      </c>
      <c r="F9" s="5">
        <f>+F7-F8</f>
        <v>255.6</v>
      </c>
      <c r="G9" s="5">
        <f>+G7-G8</f>
        <v>245</v>
      </c>
      <c r="H9" s="5">
        <f>+H7-H8</f>
        <v>233.7</v>
      </c>
      <c r="I9" s="5">
        <f>+I7-I8</f>
        <v>285.8</v>
      </c>
      <c r="J9" s="5">
        <f t="shared" ref="J9" si="35">+J7-J8</f>
        <v>291.8</v>
      </c>
      <c r="K9" s="5">
        <f>+K7-K8</f>
        <v>307.89999999999998</v>
      </c>
      <c r="L9" s="5">
        <f>+L7-L8</f>
        <v>306</v>
      </c>
      <c r="M9" s="5">
        <f>+M7-M8</f>
        <v>373.4</v>
      </c>
      <c r="N9" s="5">
        <f>+N7-N8</f>
        <v>381.8</v>
      </c>
      <c r="O9" s="5">
        <f>+O7-O8</f>
        <v>404.3</v>
      </c>
      <c r="P9" s="5">
        <f>+P7-P8</f>
        <v>411.90000000000003</v>
      </c>
      <c r="Q9" s="5">
        <f>+Q7-Q8</f>
        <v>441.2</v>
      </c>
      <c r="R9" s="5">
        <f>+R7-R8</f>
        <v>487.6</v>
      </c>
      <c r="S9" s="5">
        <f>+S7-S8</f>
        <v>506.1</v>
      </c>
      <c r="T9" s="5">
        <f>+T7-T8</f>
        <v>507.79999999999995</v>
      </c>
      <c r="U9" s="5">
        <f>+U7-U8</f>
        <v>580.99999999999989</v>
      </c>
      <c r="V9" s="5">
        <f>+V7-V8</f>
        <v>568.58620000000008</v>
      </c>
      <c r="W9" s="5">
        <f>+W7-W8</f>
        <v>626.55320000000006</v>
      </c>
      <c r="AG9" s="3">
        <f>+AG7-AG8</f>
        <v>1465.5</v>
      </c>
      <c r="AH9" s="3">
        <f t="shared" ref="AH9:AK9" si="36">+AH7-AH8</f>
        <v>1846.8000000000002</v>
      </c>
      <c r="AI9" s="3">
        <f t="shared" si="36"/>
        <v>2283.9393999999998</v>
      </c>
      <c r="AJ9" s="3">
        <f t="shared" si="36"/>
        <v>2449.2070349999999</v>
      </c>
      <c r="AK9" s="3">
        <f t="shared" si="36"/>
        <v>2523.8503867499999</v>
      </c>
      <c r="AL9" s="3">
        <f t="shared" ref="AL9" si="37">+AL7-AL8</f>
        <v>2650.0429060875003</v>
      </c>
      <c r="AM9" s="3">
        <f t="shared" ref="AM9" si="38">+AM7-AM8</f>
        <v>2782.5450513918754</v>
      </c>
      <c r="AN9" s="3">
        <f t="shared" ref="AN9" si="39">+AN7-AN8</f>
        <v>2810.3705019057938</v>
      </c>
      <c r="AO9" s="3">
        <f t="shared" ref="AO9" si="40">+AO7-AO8</f>
        <v>2838.4742069248523</v>
      </c>
      <c r="AP9" s="3">
        <f t="shared" ref="AP9" si="41">+AP7-AP8</f>
        <v>2866.8589489941005</v>
      </c>
    </row>
    <row r="10" spans="1:51" s="3" customFormat="1" x14ac:dyDescent="0.2">
      <c r="B10" s="3" t="s">
        <v>42</v>
      </c>
      <c r="C10" s="5">
        <v>55.3</v>
      </c>
      <c r="D10" s="5">
        <v>58.3</v>
      </c>
      <c r="E10" s="5">
        <v>80.900000000000006</v>
      </c>
      <c r="F10" s="5">
        <v>69.099999999999994</v>
      </c>
      <c r="G10" s="5">
        <v>66.7</v>
      </c>
      <c r="H10" s="5">
        <v>73.2</v>
      </c>
      <c r="I10" s="5">
        <v>74.8</v>
      </c>
      <c r="J10" s="5">
        <v>92.7</v>
      </c>
      <c r="K10" s="5">
        <v>87.4</v>
      </c>
      <c r="L10" s="5">
        <v>102.2</v>
      </c>
      <c r="M10" s="5">
        <v>135.9</v>
      </c>
      <c r="N10" s="5">
        <v>107.7</v>
      </c>
      <c r="O10" s="5">
        <v>118</v>
      </c>
      <c r="P10" s="5">
        <v>139.5</v>
      </c>
      <c r="Q10" s="5">
        <v>145.80000000000001</v>
      </c>
      <c r="R10" s="5">
        <v>142.19999999999999</v>
      </c>
      <c r="S10" s="5">
        <v>137.5</v>
      </c>
      <c r="T10" s="5">
        <v>159.4</v>
      </c>
      <c r="U10" s="5">
        <v>191.1</v>
      </c>
      <c r="V10" s="5"/>
      <c r="W10" s="5"/>
      <c r="AG10" s="3">
        <f t="shared" ref="AG10:AG11" si="42">SUM(L10:O10)</f>
        <v>463.8</v>
      </c>
      <c r="AH10" s="3">
        <f t="shared" ref="AH10:AH11" si="43">SUM(P10:S10)</f>
        <v>565</v>
      </c>
      <c r="AI10" s="3">
        <f t="shared" ref="AI10:AI11" si="44">SUM(T10:W10)</f>
        <v>350.5</v>
      </c>
    </row>
    <row r="11" spans="1:51" s="3" customFormat="1" x14ac:dyDescent="0.2">
      <c r="B11" s="3" t="s">
        <v>43</v>
      </c>
      <c r="C11" s="5">
        <v>101.3</v>
      </c>
      <c r="D11" s="5">
        <v>117.8</v>
      </c>
      <c r="E11" s="5">
        <v>96.5</v>
      </c>
      <c r="F11" s="5">
        <v>112.5</v>
      </c>
      <c r="G11" s="5">
        <v>106.5</v>
      </c>
      <c r="H11" s="5">
        <v>129</v>
      </c>
      <c r="I11" s="5">
        <v>143.19999999999999</v>
      </c>
      <c r="J11" s="5">
        <v>154.6</v>
      </c>
      <c r="K11" s="5">
        <v>156.5</v>
      </c>
      <c r="L11" s="5">
        <v>200.7</v>
      </c>
      <c r="M11" s="5">
        <v>182.8</v>
      </c>
      <c r="N11" s="5">
        <v>186.3</v>
      </c>
      <c r="O11" s="5">
        <v>182.9</v>
      </c>
      <c r="P11" s="5">
        <v>143.9</v>
      </c>
      <c r="Q11" s="5">
        <v>221.8</v>
      </c>
      <c r="R11" s="5">
        <v>204.2</v>
      </c>
      <c r="S11" s="5">
        <v>218.9</v>
      </c>
      <c r="T11" s="5">
        <v>243.1</v>
      </c>
      <c r="U11" s="5">
        <v>242</v>
      </c>
      <c r="V11" s="5"/>
      <c r="W11" s="5"/>
      <c r="AG11" s="3">
        <f t="shared" si="42"/>
        <v>752.69999999999993</v>
      </c>
      <c r="AH11" s="3">
        <f t="shared" si="43"/>
        <v>788.80000000000007</v>
      </c>
      <c r="AI11" s="3">
        <f t="shared" si="44"/>
        <v>485.1</v>
      </c>
      <c r="AJ11" s="3">
        <f>+AI11*0.9</f>
        <v>436.59000000000003</v>
      </c>
      <c r="AK11" s="3">
        <f>+AJ11</f>
        <v>436.59000000000003</v>
      </c>
      <c r="AL11" s="3">
        <f t="shared" ref="AL11:AM11" si="45">+AK11</f>
        <v>436.59000000000003</v>
      </c>
      <c r="AM11" s="3">
        <f t="shared" si="45"/>
        <v>436.59000000000003</v>
      </c>
      <c r="AN11" s="3">
        <f t="shared" ref="AN11:AP11" si="46">+AM11</f>
        <v>436.59000000000003</v>
      </c>
      <c r="AO11" s="3">
        <f t="shared" si="46"/>
        <v>436.59000000000003</v>
      </c>
      <c r="AP11" s="3">
        <f t="shared" si="46"/>
        <v>436.59000000000003</v>
      </c>
    </row>
    <row r="12" spans="1:51" s="3" customFormat="1" x14ac:dyDescent="0.2">
      <c r="B12" s="3" t="s">
        <v>40</v>
      </c>
      <c r="C12" s="5">
        <f t="shared" ref="C12" si="47">+C10+C11</f>
        <v>156.6</v>
      </c>
      <c r="D12" s="5">
        <f t="shared" ref="D12" si="48">+D10+D11</f>
        <v>176.1</v>
      </c>
      <c r="E12" s="5">
        <f t="shared" ref="E12" si="49">+E10+E11</f>
        <v>177.4</v>
      </c>
      <c r="F12" s="5">
        <f>+F10+F11</f>
        <v>181.6</v>
      </c>
      <c r="G12" s="5">
        <f>+G10+G11</f>
        <v>173.2</v>
      </c>
      <c r="H12" s="5">
        <f>+H10+H11</f>
        <v>202.2</v>
      </c>
      <c r="I12" s="5">
        <f>+I10+I11</f>
        <v>218</v>
      </c>
      <c r="J12" s="5">
        <f t="shared" ref="J12" si="50">+J10+J11</f>
        <v>247.3</v>
      </c>
      <c r="K12" s="5">
        <f>+K10+K11</f>
        <v>243.9</v>
      </c>
      <c r="L12" s="5">
        <f>+L10+L11</f>
        <v>302.89999999999998</v>
      </c>
      <c r="M12" s="5">
        <f>+M10+M11</f>
        <v>318.70000000000005</v>
      </c>
      <c r="N12" s="5">
        <f>+N10+N11</f>
        <v>294</v>
      </c>
      <c r="O12" s="5">
        <f t="shared" ref="O12:P12" si="51">+O10+O11</f>
        <v>300.89999999999998</v>
      </c>
      <c r="P12" s="5">
        <f t="shared" si="51"/>
        <v>283.39999999999998</v>
      </c>
      <c r="Q12" s="5">
        <f>+Q10+Q11</f>
        <v>367.6</v>
      </c>
      <c r="R12" s="5">
        <f t="shared" ref="R12:W12" si="52">+R10+R11</f>
        <v>346.4</v>
      </c>
      <c r="S12" s="5">
        <f t="shared" si="52"/>
        <v>356.4</v>
      </c>
      <c r="T12" s="5">
        <f t="shared" si="52"/>
        <v>402.5</v>
      </c>
      <c r="U12" s="5">
        <f t="shared" si="52"/>
        <v>433.1</v>
      </c>
      <c r="V12" s="5">
        <f t="shared" si="52"/>
        <v>0</v>
      </c>
      <c r="W12" s="5">
        <f t="shared" si="52"/>
        <v>0</v>
      </c>
      <c r="AG12" s="3">
        <f>+AG10+AG11</f>
        <v>1216.5</v>
      </c>
      <c r="AH12" s="3">
        <f t="shared" ref="AH12:AK12" si="53">+AH10+AH11</f>
        <v>1353.8000000000002</v>
      </c>
      <c r="AI12" s="3">
        <f t="shared" si="53"/>
        <v>835.6</v>
      </c>
      <c r="AJ12" s="3">
        <f t="shared" si="53"/>
        <v>436.59000000000003</v>
      </c>
      <c r="AK12" s="3">
        <f t="shared" si="53"/>
        <v>436.59000000000003</v>
      </c>
      <c r="AL12" s="3">
        <f t="shared" ref="AL12" si="54">+AL10+AL11</f>
        <v>436.59000000000003</v>
      </c>
      <c r="AM12" s="3">
        <f t="shared" ref="AM12" si="55">+AM10+AM11</f>
        <v>436.59000000000003</v>
      </c>
      <c r="AN12" s="3">
        <f t="shared" ref="AN12" si="56">+AN10+AN11</f>
        <v>436.59000000000003</v>
      </c>
      <c r="AO12" s="3">
        <f t="shared" ref="AO12" si="57">+AO10+AO11</f>
        <v>436.59000000000003</v>
      </c>
      <c r="AP12" s="3">
        <f t="shared" ref="AP12" si="58">+AP10+AP11</f>
        <v>436.59000000000003</v>
      </c>
    </row>
    <row r="13" spans="1:51" s="3" customFormat="1" x14ac:dyDescent="0.2">
      <c r="B13" s="3" t="s">
        <v>41</v>
      </c>
      <c r="C13" s="5">
        <f t="shared" ref="C13" si="59">+C9-C12</f>
        <v>85</v>
      </c>
      <c r="D13" s="5">
        <f t="shared" ref="D13" si="60">+D9-D12</f>
        <v>58.900000000000006</v>
      </c>
      <c r="E13" s="5">
        <f t="shared" ref="E13" si="61">+E9-E12</f>
        <v>122.60000000000005</v>
      </c>
      <c r="F13" s="5">
        <f>+F9-F12</f>
        <v>74</v>
      </c>
      <c r="G13" s="5">
        <f>+G9-G12</f>
        <v>71.800000000000011</v>
      </c>
      <c r="H13" s="5">
        <f>+H9-H12</f>
        <v>31.5</v>
      </c>
      <c r="I13" s="5">
        <f>+I9-I12</f>
        <v>67.800000000000011</v>
      </c>
      <c r="J13" s="5">
        <f t="shared" ref="J13" si="62">+J9-J12</f>
        <v>44.5</v>
      </c>
      <c r="K13" s="5">
        <f>+K9-K12</f>
        <v>63.999999999999972</v>
      </c>
      <c r="L13" s="5">
        <f>+L9-L12</f>
        <v>3.1000000000000227</v>
      </c>
      <c r="M13" s="5">
        <f>+M9-M12</f>
        <v>54.699999999999932</v>
      </c>
      <c r="N13" s="5">
        <f>+N9-N12</f>
        <v>87.800000000000011</v>
      </c>
      <c r="O13" s="5">
        <f t="shared" ref="O13:P13" si="63">+O9-O12</f>
        <v>103.40000000000003</v>
      </c>
      <c r="P13" s="5">
        <f t="shared" si="63"/>
        <v>128.50000000000006</v>
      </c>
      <c r="Q13" s="5">
        <f>+Q9-Q12</f>
        <v>73.599999999999966</v>
      </c>
      <c r="R13" s="5">
        <f t="shared" ref="R13:W13" si="64">+R9-R12</f>
        <v>141.20000000000005</v>
      </c>
      <c r="S13" s="5">
        <f t="shared" si="64"/>
        <v>149.70000000000005</v>
      </c>
      <c r="T13" s="5">
        <f t="shared" si="64"/>
        <v>105.29999999999995</v>
      </c>
      <c r="U13" s="5">
        <f t="shared" si="64"/>
        <v>147.89999999999986</v>
      </c>
      <c r="V13" s="5">
        <f t="shared" si="64"/>
        <v>568.58620000000008</v>
      </c>
      <c r="W13" s="5">
        <f t="shared" si="64"/>
        <v>626.55320000000006</v>
      </c>
      <c r="AG13" s="3">
        <f>+AG9-AG12</f>
        <v>249</v>
      </c>
      <c r="AH13" s="3">
        <f t="shared" ref="AH13:AK13" si="65">+AH9-AH12</f>
        <v>493</v>
      </c>
      <c r="AI13" s="3">
        <f t="shared" si="65"/>
        <v>1448.3393999999998</v>
      </c>
      <c r="AJ13" s="3">
        <f t="shared" si="65"/>
        <v>2012.6170349999998</v>
      </c>
      <c r="AK13" s="3">
        <f t="shared" si="65"/>
        <v>2087.2603867499997</v>
      </c>
      <c r="AL13" s="3">
        <f t="shared" ref="AL13" si="66">+AL9-AL12</f>
        <v>2213.4529060875002</v>
      </c>
      <c r="AM13" s="3">
        <f t="shared" ref="AM13" si="67">+AM9-AM12</f>
        <v>2345.9550513918753</v>
      </c>
      <c r="AN13" s="3">
        <f t="shared" ref="AN13" si="68">+AN9-AN12</f>
        <v>2373.7805019057937</v>
      </c>
      <c r="AO13" s="3">
        <f t="shared" ref="AO13" si="69">+AO9-AO12</f>
        <v>2401.8842069248522</v>
      </c>
      <c r="AP13" s="3">
        <f t="shared" ref="AP13" si="70">+AP9-AP12</f>
        <v>2430.2689489941004</v>
      </c>
    </row>
    <row r="14" spans="1:51" s="3" customFormat="1" x14ac:dyDescent="0.2">
      <c r="B14" s="3" t="s">
        <v>44</v>
      </c>
      <c r="C14" s="5">
        <v>-8.1999999999999993</v>
      </c>
      <c r="D14" s="5">
        <v>-8.1999999999999993</v>
      </c>
      <c r="E14" s="5">
        <v>-8.3000000000000007</v>
      </c>
      <c r="F14" s="5">
        <v>-8.5</v>
      </c>
      <c r="G14" s="5">
        <v>-7.8</v>
      </c>
      <c r="H14" s="5">
        <v>-6.4</v>
      </c>
      <c r="I14" s="5">
        <v>-6.2</v>
      </c>
      <c r="J14" s="5">
        <v>-6.6</v>
      </c>
      <c r="K14" s="5">
        <v>-6.6</v>
      </c>
      <c r="L14" s="5">
        <v>-2.6</v>
      </c>
      <c r="M14" s="5">
        <v>-2.2000000000000002</v>
      </c>
      <c r="N14" s="5">
        <v>-1.2</v>
      </c>
      <c r="O14" s="5">
        <f>-1.1+8.4</f>
        <v>7.3000000000000007</v>
      </c>
      <c r="P14" s="5">
        <f>-1.1+9.8</f>
        <v>8.7000000000000011</v>
      </c>
      <c r="Q14" s="5">
        <v>10.7</v>
      </c>
      <c r="R14" s="5">
        <f>-1.1+15.6</f>
        <v>14.5</v>
      </c>
      <c r="S14" s="5">
        <f>-1.1+20</f>
        <v>18.899999999999999</v>
      </c>
      <c r="T14" s="5">
        <f>23.4-1.1</f>
        <v>22.299999999999997</v>
      </c>
      <c r="U14" s="5">
        <v>22.8</v>
      </c>
      <c r="V14" s="5"/>
      <c r="W14" s="5"/>
      <c r="AG14" s="3">
        <f t="shared" ref="AG14" si="71">SUM(L14:O14)</f>
        <v>1.2999999999999998</v>
      </c>
      <c r="AH14" s="3">
        <f t="shared" ref="AH14" si="72">SUM(P14:S14)</f>
        <v>52.8</v>
      </c>
      <c r="AI14" s="3">
        <f t="shared" ref="AI14" si="73">SUM(T14:W14)</f>
        <v>45.099999999999994</v>
      </c>
      <c r="AJ14" s="3">
        <f>+AI25*$AS$28</f>
        <v>0</v>
      </c>
      <c r="AK14" s="3">
        <f>+AJ25*$AS$28</f>
        <v>0</v>
      </c>
      <c r="AL14" s="3">
        <f>+AK25*$AS$28</f>
        <v>0</v>
      </c>
      <c r="AM14" s="3">
        <f>+AL25*$AS$28</f>
        <v>0</v>
      </c>
      <c r="AN14" s="3">
        <f>+AM25*$AS$28</f>
        <v>0</v>
      </c>
      <c r="AO14" s="3">
        <f>+AN25*$AS$28</f>
        <v>0</v>
      </c>
      <c r="AP14" s="3">
        <f>+AO25*$AS$28</f>
        <v>0</v>
      </c>
    </row>
    <row r="15" spans="1:51" s="3" customFormat="1" x14ac:dyDescent="0.2">
      <c r="B15" s="3" t="s">
        <v>45</v>
      </c>
      <c r="C15" s="5">
        <f t="shared" ref="C15" si="74">+C13+C14</f>
        <v>76.8</v>
      </c>
      <c r="D15" s="5">
        <f t="shared" ref="D15" si="75">+D13+D14</f>
        <v>50.7</v>
      </c>
      <c r="E15" s="5">
        <f t="shared" ref="E15" si="76">+E13+E14</f>
        <v>114.30000000000005</v>
      </c>
      <c r="F15" s="5">
        <f>+F13+F14</f>
        <v>65.5</v>
      </c>
      <c r="G15" s="5">
        <f>+G13+G14</f>
        <v>64.000000000000014</v>
      </c>
      <c r="H15" s="5">
        <f>+H13+H14</f>
        <v>25.1</v>
      </c>
      <c r="I15" s="5">
        <f>+I13+I14</f>
        <v>61.600000000000009</v>
      </c>
      <c r="J15" s="5">
        <f t="shared" ref="J15" si="77">+J13+J14</f>
        <v>37.9</v>
      </c>
      <c r="K15" s="5">
        <f>+K13+K14</f>
        <v>57.39999999999997</v>
      </c>
      <c r="L15" s="5">
        <f>+L13+L14</f>
        <v>0.50000000000002265</v>
      </c>
      <c r="M15" s="5">
        <f>+M13+M14</f>
        <v>52.499999999999929</v>
      </c>
      <c r="N15" s="5">
        <f t="shared" ref="N15:P15" si="78">+N13+N14</f>
        <v>86.600000000000009</v>
      </c>
      <c r="O15" s="5">
        <f t="shared" si="78"/>
        <v>110.70000000000003</v>
      </c>
      <c r="P15" s="5">
        <f t="shared" si="78"/>
        <v>137.20000000000005</v>
      </c>
      <c r="Q15" s="5">
        <f>+Q13+Q14</f>
        <v>84.299999999999969</v>
      </c>
      <c r="R15" s="5">
        <f>+R13+R14</f>
        <v>155.70000000000005</v>
      </c>
      <c r="S15" s="5">
        <f>+S13+S14</f>
        <v>168.60000000000005</v>
      </c>
      <c r="T15" s="5">
        <f>+T13+T14</f>
        <v>127.59999999999995</v>
      </c>
      <c r="U15" s="5">
        <f>+U13+U14</f>
        <v>170.69999999999987</v>
      </c>
      <c r="V15" s="5">
        <f>+V13+V14</f>
        <v>568.58620000000008</v>
      </c>
      <c r="W15" s="5">
        <f>+W13+W14</f>
        <v>626.55320000000006</v>
      </c>
      <c r="AG15" s="3">
        <f>+AG13+AG14</f>
        <v>250.3</v>
      </c>
      <c r="AH15" s="3">
        <f t="shared" ref="AH15:AP15" si="79">+AH13+AH14</f>
        <v>545.79999999999995</v>
      </c>
      <c r="AI15" s="3">
        <f t="shared" si="79"/>
        <v>1493.4393999999998</v>
      </c>
      <c r="AJ15" s="3">
        <f t="shared" si="79"/>
        <v>2012.6170349999998</v>
      </c>
      <c r="AK15" s="3">
        <f t="shared" si="79"/>
        <v>2087.2603867499997</v>
      </c>
      <c r="AL15" s="3">
        <f t="shared" si="79"/>
        <v>2213.4529060875002</v>
      </c>
      <c r="AM15" s="3">
        <f t="shared" si="79"/>
        <v>2345.9550513918753</v>
      </c>
      <c r="AN15" s="3">
        <f t="shared" si="79"/>
        <v>2373.7805019057937</v>
      </c>
      <c r="AO15" s="3">
        <f t="shared" si="79"/>
        <v>2401.8842069248522</v>
      </c>
      <c r="AP15" s="3">
        <f t="shared" si="79"/>
        <v>2430.2689489941004</v>
      </c>
    </row>
    <row r="16" spans="1:51" s="3" customFormat="1" x14ac:dyDescent="0.2">
      <c r="B16" s="3" t="s">
        <v>46</v>
      </c>
      <c r="C16" s="5">
        <v>4.5999999999999996</v>
      </c>
      <c r="D16" s="5">
        <v>1.5</v>
      </c>
      <c r="E16" s="5">
        <v>3.6</v>
      </c>
      <c r="F16" s="5">
        <v>0</v>
      </c>
      <c r="G16" s="5">
        <v>0</v>
      </c>
      <c r="H16" s="5">
        <v>0</v>
      </c>
      <c r="I16" s="5">
        <v>15.2</v>
      </c>
      <c r="J16" s="5">
        <v>0</v>
      </c>
      <c r="K16" s="5">
        <v>0</v>
      </c>
      <c r="L16" s="5">
        <v>7.5</v>
      </c>
      <c r="M16" s="5">
        <v>0</v>
      </c>
      <c r="N16" s="5">
        <v>29.4</v>
      </c>
      <c r="O16" s="5">
        <v>14.5</v>
      </c>
      <c r="P16" s="5">
        <v>-26.7</v>
      </c>
      <c r="Q16" s="5">
        <v>26.1</v>
      </c>
      <c r="R16" s="5">
        <v>32.5</v>
      </c>
      <c r="S16" s="5">
        <v>50.5</v>
      </c>
      <c r="T16" s="5">
        <v>-8.9</v>
      </c>
      <c r="U16" s="5">
        <v>33.6</v>
      </c>
      <c r="V16" s="5"/>
      <c r="W16" s="5"/>
      <c r="AG16" s="3">
        <f t="shared" ref="AG16" si="80">SUM(L16:O16)</f>
        <v>51.4</v>
      </c>
      <c r="AH16" s="3">
        <f t="shared" ref="AH16" si="81">SUM(P16:S16)</f>
        <v>82.4</v>
      </c>
      <c r="AI16" s="3">
        <f t="shared" ref="AI16" si="82">SUM(T16:W16)</f>
        <v>24.700000000000003</v>
      </c>
      <c r="AJ16" s="3">
        <f t="shared" ref="AH16:AP16" si="83">+AJ15*0.2</f>
        <v>402.52340699999996</v>
      </c>
      <c r="AK16" s="3">
        <f t="shared" si="83"/>
        <v>417.45207734999997</v>
      </c>
      <c r="AL16" s="3">
        <f t="shared" si="83"/>
        <v>442.69058121750004</v>
      </c>
      <c r="AM16" s="3">
        <f t="shared" si="83"/>
        <v>469.19101027837507</v>
      </c>
      <c r="AN16" s="3">
        <f t="shared" si="83"/>
        <v>474.75610038115877</v>
      </c>
      <c r="AO16" s="3">
        <f t="shared" si="83"/>
        <v>480.37684138497048</v>
      </c>
      <c r="AP16" s="3">
        <f t="shared" si="83"/>
        <v>486.05378979882011</v>
      </c>
    </row>
    <row r="17" spans="2:46" x14ac:dyDescent="0.2">
      <c r="B17" s="3" t="s">
        <v>47</v>
      </c>
      <c r="C17" s="5">
        <f t="shared" ref="C17" si="84">+C15-C16</f>
        <v>72.2</v>
      </c>
      <c r="D17" s="5">
        <f t="shared" ref="D17" si="85">+D15-D16</f>
        <v>49.2</v>
      </c>
      <c r="E17" s="5">
        <f t="shared" ref="E17" si="86">+E15-E16</f>
        <v>110.70000000000006</v>
      </c>
      <c r="F17" s="5">
        <f>+F15-F16</f>
        <v>65.5</v>
      </c>
      <c r="G17" s="5">
        <f>+G15-G16</f>
        <v>64.000000000000014</v>
      </c>
      <c r="H17" s="5">
        <f>+H15-H16</f>
        <v>25.1</v>
      </c>
      <c r="I17" s="5">
        <f>+I15-I16</f>
        <v>46.400000000000006</v>
      </c>
      <c r="J17" s="5">
        <f t="shared" ref="J17" si="87">+J15-J16</f>
        <v>37.9</v>
      </c>
      <c r="K17" s="5">
        <f>+K15-K16</f>
        <v>57.39999999999997</v>
      </c>
      <c r="L17" s="5">
        <f>+L15-L16</f>
        <v>-6.9999999999999769</v>
      </c>
      <c r="M17" s="5">
        <f>+M15-M16</f>
        <v>52.499999999999929</v>
      </c>
      <c r="N17" s="5">
        <f t="shared" ref="N17:P17" si="88">+N15-N16</f>
        <v>57.20000000000001</v>
      </c>
      <c r="O17" s="5">
        <f t="shared" si="88"/>
        <v>96.200000000000031</v>
      </c>
      <c r="P17" s="5">
        <f t="shared" si="88"/>
        <v>163.90000000000003</v>
      </c>
      <c r="Q17" s="5">
        <f>+Q15-Q16</f>
        <v>58.199999999999967</v>
      </c>
      <c r="R17" s="5">
        <f>+R15-R16</f>
        <v>123.20000000000005</v>
      </c>
      <c r="S17" s="5">
        <f>+S15-S16</f>
        <v>118.10000000000005</v>
      </c>
      <c r="T17" s="5">
        <f>+T15-T16</f>
        <v>136.49999999999994</v>
      </c>
      <c r="U17" s="5">
        <f>+U15-U16</f>
        <v>137.09999999999988</v>
      </c>
      <c r="V17" s="5">
        <f>+V15-V16</f>
        <v>568.58620000000008</v>
      </c>
      <c r="W17" s="5">
        <f>+W15-W16</f>
        <v>626.55320000000006</v>
      </c>
      <c r="AG17" s="3">
        <f>+AG15-AG16</f>
        <v>198.9</v>
      </c>
      <c r="AH17" s="3">
        <f t="shared" ref="AH17:AP17" si="89">+AH15-AH16</f>
        <v>463.4</v>
      </c>
      <c r="AI17" s="3">
        <f t="shared" si="89"/>
        <v>1468.7393999999997</v>
      </c>
      <c r="AJ17" s="3">
        <f t="shared" si="89"/>
        <v>1610.0936279999999</v>
      </c>
      <c r="AK17" s="3">
        <f t="shared" si="89"/>
        <v>1669.8083093999999</v>
      </c>
      <c r="AL17" s="3">
        <f t="shared" si="89"/>
        <v>1770.7623248700002</v>
      </c>
      <c r="AM17" s="3">
        <f t="shared" si="89"/>
        <v>1876.7640411135003</v>
      </c>
      <c r="AN17" s="3">
        <f t="shared" si="89"/>
        <v>1899.0244015246349</v>
      </c>
      <c r="AO17" s="3">
        <f t="shared" si="89"/>
        <v>1921.5073655398817</v>
      </c>
      <c r="AP17" s="3">
        <f t="shared" si="89"/>
        <v>1944.2151591952802</v>
      </c>
      <c r="AQ17" s="3"/>
      <c r="AR17" s="3"/>
      <c r="AS17" s="3"/>
      <c r="AT17" s="3"/>
    </row>
    <row r="18" spans="2:46" x14ac:dyDescent="0.2">
      <c r="B18" s="3" t="s">
        <v>48</v>
      </c>
      <c r="C18" s="4">
        <f t="shared" ref="C18" si="90">+C17/C19</f>
        <v>0.74279835390946503</v>
      </c>
      <c r="D18" s="4">
        <f t="shared" ref="D18" si="91">+D17/D19</f>
        <v>0.5072164948453608</v>
      </c>
      <c r="E18" s="4">
        <f t="shared" ref="E18" si="92">+E17/E19</f>
        <v>1.1272912423625261</v>
      </c>
      <c r="F18" s="4">
        <f>+F17/F19</f>
        <v>0.70203644158628087</v>
      </c>
      <c r="G18" s="4">
        <f>+G17/G19</f>
        <v>0.65843621399176966</v>
      </c>
      <c r="H18" s="4">
        <f>+H17/H19</f>
        <v>0.25560081466395113</v>
      </c>
      <c r="I18" s="4">
        <f>+I17/I19</f>
        <v>0.47492323439099288</v>
      </c>
      <c r="J18" s="4">
        <f t="shared" ref="J18" si="93">+J17/J19</f>
        <v>0.38792221084953937</v>
      </c>
      <c r="K18" s="4">
        <f>+K17/K19</f>
        <v>0.60484720758693322</v>
      </c>
      <c r="L18" s="4">
        <f>+L17/L19</f>
        <v>-7.172131147540961E-2</v>
      </c>
      <c r="M18" s="4">
        <f>+M17/M19</f>
        <v>0.54916317991631725</v>
      </c>
      <c r="N18" s="4">
        <f>+N17/N19</f>
        <v>0.57777777777777783</v>
      </c>
      <c r="O18" s="4">
        <f>+O17/O19</f>
        <v>0.95247524752475277</v>
      </c>
      <c r="P18" s="4">
        <f>+P17/P19</f>
        <v>1.687950566426365</v>
      </c>
      <c r="Q18" s="4">
        <f>+Q17/Q19</f>
        <v>0.58083832335329311</v>
      </c>
      <c r="R18" s="4">
        <f>+R17/R19</f>
        <v>1.2185954500494565</v>
      </c>
      <c r="S18" s="4">
        <f>+S17/S19</f>
        <v>1.1716269841269846</v>
      </c>
      <c r="T18" s="4">
        <f>+T17/T19</f>
        <v>1.3175675675675671</v>
      </c>
      <c r="U18" s="4">
        <f>+U17/U19</f>
        <v>1.3195380173243492</v>
      </c>
      <c r="V18" s="4">
        <f>+V17/V19</f>
        <v>5.4724369586140522</v>
      </c>
      <c r="W18" s="4">
        <f>+W17/W19</f>
        <v>6.0303484119345523</v>
      </c>
      <c r="AG18" s="1">
        <f>+AG17/AG19</f>
        <v>2.0233977619532046</v>
      </c>
      <c r="AH18" s="1">
        <f>+AH17/AH19</f>
        <v>4.6432865731462929</v>
      </c>
      <c r="AI18" s="1">
        <f t="shared" ref="AI18:AP18" si="94">+AI17/AI19</f>
        <v>14.146298097760654</v>
      </c>
      <c r="AJ18" s="1">
        <f t="shared" si="94"/>
        <v>15.507764295689864</v>
      </c>
      <c r="AK18" s="1">
        <f t="shared" si="94"/>
        <v>16.082911720683843</v>
      </c>
      <c r="AL18" s="1">
        <f t="shared" si="94"/>
        <v>17.05525957014207</v>
      </c>
      <c r="AM18" s="1">
        <f t="shared" si="94"/>
        <v>18.076224812073203</v>
      </c>
      <c r="AN18" s="1">
        <f t="shared" si="94"/>
        <v>18.290627512878739</v>
      </c>
      <c r="AO18" s="1">
        <f t="shared" si="94"/>
        <v>18.507174240692336</v>
      </c>
      <c r="AP18" s="1">
        <f t="shared" si="94"/>
        <v>18.725886435784062</v>
      </c>
      <c r="AQ18" s="1"/>
      <c r="AR18" s="1"/>
      <c r="AS18" s="1"/>
      <c r="AT18" s="1"/>
    </row>
    <row r="19" spans="2:46" s="3" customFormat="1" x14ac:dyDescent="0.2">
      <c r="B19" s="3" t="s">
        <v>1</v>
      </c>
      <c r="C19" s="5">
        <v>97.2</v>
      </c>
      <c r="D19" s="5">
        <v>97</v>
      </c>
      <c r="E19" s="5">
        <v>98.2</v>
      </c>
      <c r="F19" s="5">
        <v>93.3</v>
      </c>
      <c r="G19" s="5">
        <v>97.2</v>
      </c>
      <c r="H19" s="5">
        <v>98.2</v>
      </c>
      <c r="I19" s="5">
        <v>97.7</v>
      </c>
      <c r="J19" s="5">
        <v>97.7</v>
      </c>
      <c r="K19" s="5">
        <v>94.9</v>
      </c>
      <c r="L19" s="5">
        <v>97.6</v>
      </c>
      <c r="M19" s="5">
        <v>95.6</v>
      </c>
      <c r="N19" s="5">
        <v>99</v>
      </c>
      <c r="O19" s="5">
        <v>101</v>
      </c>
      <c r="P19" s="5">
        <v>97.1</v>
      </c>
      <c r="Q19" s="5">
        <v>100.2</v>
      </c>
      <c r="R19" s="5">
        <v>101.1</v>
      </c>
      <c r="S19" s="5">
        <v>100.8</v>
      </c>
      <c r="T19" s="5">
        <v>103.6</v>
      </c>
      <c r="U19" s="5">
        <v>103.9</v>
      </c>
      <c r="V19" s="5">
        <f>+U19</f>
        <v>103.9</v>
      </c>
      <c r="W19" s="5">
        <f>+V19</f>
        <v>103.9</v>
      </c>
      <c r="AG19" s="3">
        <f>AVERAGE(L19:O19)</f>
        <v>98.3</v>
      </c>
      <c r="AH19" s="3">
        <f>AVERAGE(P19:S19)</f>
        <v>99.8</v>
      </c>
      <c r="AI19" s="3">
        <f>AVERAGE(T19:W19)</f>
        <v>103.82499999999999</v>
      </c>
      <c r="AJ19" s="3">
        <f t="shared" ref="AI19:AP19" si="95">+AI19</f>
        <v>103.82499999999999</v>
      </c>
      <c r="AK19" s="3">
        <f t="shared" si="95"/>
        <v>103.82499999999999</v>
      </c>
      <c r="AL19" s="3">
        <f t="shared" si="95"/>
        <v>103.82499999999999</v>
      </c>
      <c r="AM19" s="3">
        <f t="shared" si="95"/>
        <v>103.82499999999999</v>
      </c>
      <c r="AN19" s="3">
        <f t="shared" si="95"/>
        <v>103.82499999999999</v>
      </c>
      <c r="AO19" s="3">
        <f t="shared" si="95"/>
        <v>103.82499999999999</v>
      </c>
      <c r="AP19" s="3">
        <f t="shared" si="95"/>
        <v>103.82499999999999</v>
      </c>
    </row>
    <row r="21" spans="2:46" x14ac:dyDescent="0.2">
      <c r="B21" s="3" t="s">
        <v>73</v>
      </c>
      <c r="H21" s="16">
        <f t="shared" ref="H21:M21" si="96">+H5/D5-1</f>
        <v>-4.3271311120729461E-4</v>
      </c>
      <c r="I21" s="16">
        <f t="shared" si="96"/>
        <v>-2.989536621823663E-3</v>
      </c>
      <c r="J21" s="16">
        <f t="shared" si="96"/>
        <v>0.13656040928768198</v>
      </c>
      <c r="K21" s="16">
        <f t="shared" si="96"/>
        <v>0.25777041027766256</v>
      </c>
      <c r="L21" s="16">
        <f t="shared" si="96"/>
        <v>0.32034632034632038</v>
      </c>
      <c r="M21" s="16">
        <f t="shared" si="96"/>
        <v>0.31934032983508231</v>
      </c>
      <c r="N21" s="16">
        <f t="shared" ref="N21:W21" si="97">+N5/J5-1</f>
        <v>0.31336565096952906</v>
      </c>
      <c r="O21" s="16">
        <f t="shared" si="97"/>
        <v>0.33311367380560131</v>
      </c>
      <c r="P21" s="16">
        <f t="shared" si="97"/>
        <v>0.36163934426229516</v>
      </c>
      <c r="Q21" s="16">
        <f t="shared" si="97"/>
        <v>0.2678977272727272</v>
      </c>
      <c r="R21" s="16">
        <f t="shared" si="97"/>
        <v>0.2965989981544952</v>
      </c>
      <c r="S21" s="16">
        <f t="shared" si="97"/>
        <v>0.25358378645575863</v>
      </c>
      <c r="T21" s="16">
        <f t="shared" si="97"/>
        <v>0.22562003371057071</v>
      </c>
      <c r="U21" s="16">
        <f t="shared" si="97"/>
        <v>0.30808872955411148</v>
      </c>
      <c r="V21" s="16">
        <f t="shared" si="97"/>
        <v>0.17972753151687693</v>
      </c>
      <c r="W21" s="16">
        <f t="shared" si="97"/>
        <v>0.26052839116719251</v>
      </c>
      <c r="AF21" s="17">
        <f>+AF5/AE5-1</f>
        <v>9.6569761593400916E-2</v>
      </c>
      <c r="AG21" s="17">
        <f>+AG5/AF5-1</f>
        <v>0.32180533895972863</v>
      </c>
      <c r="AH21" s="17">
        <f>+AH5/AG5-1</f>
        <v>0.29127628565479902</v>
      </c>
      <c r="AI21" s="17">
        <f t="shared" ref="AI21:AP21" si="98">+AI5/AH5-1</f>
        <v>0.24278727292271296</v>
      </c>
      <c r="AJ21" s="17">
        <f t="shared" si="98"/>
        <v>5.0000000000000044E-2</v>
      </c>
      <c r="AK21" s="17">
        <f t="shared" si="98"/>
        <v>5.0000000000000044E-2</v>
      </c>
      <c r="AL21" s="17">
        <f t="shared" si="98"/>
        <v>5.0000000000000044E-2</v>
      </c>
      <c r="AM21" s="17">
        <f t="shared" si="98"/>
        <v>5.0000000000000044E-2</v>
      </c>
      <c r="AN21" s="17">
        <f t="shared" si="98"/>
        <v>1.0000000000000009E-2</v>
      </c>
      <c r="AO21" s="17">
        <f t="shared" si="98"/>
        <v>1.0000000000000009E-2</v>
      </c>
      <c r="AP21" s="17">
        <f t="shared" si="98"/>
        <v>1.0000000000000009E-2</v>
      </c>
      <c r="AQ21" s="17"/>
      <c r="AR21" s="17"/>
      <c r="AS21" s="17"/>
      <c r="AT21" s="17"/>
    </row>
    <row r="23" spans="2:46" x14ac:dyDescent="0.2">
      <c r="B23" s="3" t="s">
        <v>74</v>
      </c>
      <c r="C23" s="16">
        <f t="shared" ref="C23" si="99">C9/C7</f>
        <v>0.98975829578041785</v>
      </c>
      <c r="D23" s="16">
        <f t="shared" ref="D23" si="100">D9/D7</f>
        <v>0.99114297764656267</v>
      </c>
      <c r="E23" s="16">
        <f t="shared" ref="E23" si="101">E9/E7</f>
        <v>0.99206349206349209</v>
      </c>
      <c r="F23" s="16">
        <f t="shared" ref="F23:M23" si="102">F9/F7</f>
        <v>0.98878143133462282</v>
      </c>
      <c r="G23" s="16">
        <f t="shared" si="102"/>
        <v>0.98830173457039128</v>
      </c>
      <c r="H23" s="16">
        <f t="shared" si="102"/>
        <v>0.98774302620456467</v>
      </c>
      <c r="I23" s="16">
        <f t="shared" si="102"/>
        <v>0.98926964347525093</v>
      </c>
      <c r="J23" s="16">
        <f t="shared" si="102"/>
        <v>0.9858108108108109</v>
      </c>
      <c r="K23" s="16">
        <f t="shared" si="102"/>
        <v>0.98685897435897429</v>
      </c>
      <c r="L23" s="16">
        <f t="shared" si="102"/>
        <v>0.98518995492594974</v>
      </c>
      <c r="M23" s="16">
        <f t="shared" si="102"/>
        <v>0.98730830248545742</v>
      </c>
      <c r="N23" s="16">
        <f t="shared" ref="N23:W23" si="103">N9/N7</f>
        <v>0.98427429749935547</v>
      </c>
      <c r="O23" s="16">
        <f t="shared" si="103"/>
        <v>0.98131067961165053</v>
      </c>
      <c r="P23" s="16">
        <f t="shared" si="103"/>
        <v>0.97978116079923883</v>
      </c>
      <c r="Q23" s="16">
        <f t="shared" si="103"/>
        <v>0.97459686326485528</v>
      </c>
      <c r="R23" s="16">
        <f t="shared" si="103"/>
        <v>0.97754611066559749</v>
      </c>
      <c r="S23" s="16">
        <f t="shared" si="103"/>
        <v>0.98348231636222305</v>
      </c>
      <c r="T23" s="16">
        <f t="shared" si="103"/>
        <v>0.9854453716281778</v>
      </c>
      <c r="U23" s="16">
        <f t="shared" si="103"/>
        <v>0.98441206370721779</v>
      </c>
      <c r="V23" s="16">
        <f t="shared" si="103"/>
        <v>0.98000000000000009</v>
      </c>
      <c r="W23" s="16">
        <f t="shared" si="103"/>
        <v>0.98000000000000009</v>
      </c>
      <c r="AG23" s="16">
        <f t="shared" ref="AG23:AP23" si="104">AG9/AG7</f>
        <v>0.98441593336468058</v>
      </c>
      <c r="AH23" s="16">
        <f t="shared" si="104"/>
        <v>0.97895573813941161</v>
      </c>
      <c r="AI23" s="16">
        <f t="shared" si="104"/>
        <v>0.98232685169653722</v>
      </c>
      <c r="AJ23" s="16">
        <f t="shared" si="104"/>
        <v>0.99</v>
      </c>
      <c r="AK23" s="16">
        <f t="shared" si="104"/>
        <v>0.99</v>
      </c>
      <c r="AL23" s="16">
        <f t="shared" si="104"/>
        <v>0.9900000000000001</v>
      </c>
      <c r="AM23" s="16">
        <f t="shared" si="104"/>
        <v>0.99</v>
      </c>
      <c r="AN23" s="16">
        <f t="shared" si="104"/>
        <v>0.98999999999999988</v>
      </c>
      <c r="AO23" s="16">
        <f t="shared" si="104"/>
        <v>0.99</v>
      </c>
      <c r="AP23" s="16">
        <f t="shared" si="104"/>
        <v>0.99</v>
      </c>
      <c r="AQ23" s="16"/>
      <c r="AR23" s="16"/>
      <c r="AS23" s="16"/>
      <c r="AT23" s="16"/>
    </row>
    <row r="25" spans="2:46" x14ac:dyDescent="0.2">
      <c r="B25" t="s">
        <v>3</v>
      </c>
      <c r="M25" s="2">
        <f>1137-169</f>
        <v>968</v>
      </c>
      <c r="N25" s="5"/>
      <c r="O25" s="5"/>
      <c r="P25" s="5"/>
      <c r="Q25" s="5"/>
      <c r="R25" s="5"/>
      <c r="S25" s="5"/>
      <c r="T25" s="5"/>
      <c r="U25" s="5">
        <f>139.7+899.2+637.8+143.6</f>
        <v>1820.3</v>
      </c>
      <c r="V25" s="5"/>
      <c r="W25" s="5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t="s">
        <v>81</v>
      </c>
      <c r="AS25" s="17">
        <v>0.08</v>
      </c>
      <c r="AT25" s="3"/>
    </row>
    <row r="26" spans="2:46" x14ac:dyDescent="0.2">
      <c r="B26" t="s">
        <v>94</v>
      </c>
      <c r="U26" s="5">
        <v>468.2</v>
      </c>
      <c r="AR26" t="s">
        <v>80</v>
      </c>
      <c r="AS26" s="3">
        <f>NPV(AS25,AH17:AT17)+Main!L5-Main!L6</f>
        <v>11520.700112077373</v>
      </c>
    </row>
    <row r="27" spans="2:46" x14ac:dyDescent="0.2">
      <c r="B27" t="s">
        <v>95</v>
      </c>
      <c r="U27" s="5">
        <v>42.5</v>
      </c>
      <c r="AR27" t="s">
        <v>82</v>
      </c>
      <c r="AS27" s="1">
        <f>AS26/Main!L3</f>
        <v>114.09316771191781</v>
      </c>
    </row>
    <row r="28" spans="2:46" x14ac:dyDescent="0.2">
      <c r="B28" t="s">
        <v>96</v>
      </c>
      <c r="U28" s="5">
        <v>120.2</v>
      </c>
      <c r="AR28" t="s">
        <v>83</v>
      </c>
      <c r="AS28" s="17">
        <v>0.03</v>
      </c>
    </row>
    <row r="29" spans="2:46" x14ac:dyDescent="0.2">
      <c r="B29" t="s">
        <v>97</v>
      </c>
      <c r="U29" s="5">
        <v>419.5</v>
      </c>
    </row>
    <row r="30" spans="2:46" x14ac:dyDescent="0.2">
      <c r="B30" t="s">
        <v>98</v>
      </c>
      <c r="U30" s="5">
        <v>262.89999999999998</v>
      </c>
    </row>
    <row r="31" spans="2:46" x14ac:dyDescent="0.2">
      <c r="B31" t="s">
        <v>99</v>
      </c>
      <c r="U31" s="5">
        <v>80.099999999999994</v>
      </c>
    </row>
    <row r="32" spans="2:46" x14ac:dyDescent="0.2">
      <c r="B32" t="s">
        <v>100</v>
      </c>
      <c r="U32" s="5">
        <v>33.5</v>
      </c>
    </row>
    <row r="33" spans="2:21" x14ac:dyDescent="0.2">
      <c r="B33" t="s">
        <v>101</v>
      </c>
      <c r="U33" s="5">
        <v>57.8</v>
      </c>
    </row>
    <row r="34" spans="2:21" x14ac:dyDescent="0.2">
      <c r="B34" t="s">
        <v>102</v>
      </c>
      <c r="U34" s="5">
        <f>SUM(U25:U33)</f>
        <v>3305</v>
      </c>
    </row>
    <row r="36" spans="2:21" x14ac:dyDescent="0.2">
      <c r="B36" t="s">
        <v>105</v>
      </c>
      <c r="U36" s="5">
        <v>358.5</v>
      </c>
    </row>
    <row r="37" spans="2:21" x14ac:dyDescent="0.2">
      <c r="B37" t="s">
        <v>106</v>
      </c>
      <c r="U37" s="5">
        <v>40</v>
      </c>
    </row>
    <row r="38" spans="2:21" x14ac:dyDescent="0.2">
      <c r="B38" t="s">
        <v>107</v>
      </c>
      <c r="U38" s="5">
        <v>256.2</v>
      </c>
    </row>
    <row r="39" spans="2:21" x14ac:dyDescent="0.2">
      <c r="B39" t="s">
        <v>108</v>
      </c>
      <c r="U39" s="5">
        <v>141.1</v>
      </c>
    </row>
    <row r="40" spans="2:21" x14ac:dyDescent="0.2">
      <c r="B40" t="s">
        <v>104</v>
      </c>
      <c r="U40" s="5">
        <v>2509.1999999999998</v>
      </c>
    </row>
    <row r="41" spans="2:21" x14ac:dyDescent="0.2">
      <c r="B41" t="s">
        <v>103</v>
      </c>
      <c r="U41" s="5">
        <f>SUM(U36:U40)</f>
        <v>3305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248D-D5A5-4F71-9210-08718D86A5A2}">
  <dimension ref="A1:C7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110</v>
      </c>
    </row>
    <row r="3" spans="1:3" x14ac:dyDescent="0.2">
      <c r="B3" t="s">
        <v>76</v>
      </c>
      <c r="C3" t="s">
        <v>77</v>
      </c>
    </row>
    <row r="4" spans="1:3" x14ac:dyDescent="0.2">
      <c r="B4" t="s">
        <v>24</v>
      </c>
      <c r="C4" t="s">
        <v>109</v>
      </c>
    </row>
    <row r="5" spans="1:3" x14ac:dyDescent="0.2">
      <c r="B5" t="s">
        <v>36</v>
      </c>
      <c r="C5" t="s">
        <v>78</v>
      </c>
    </row>
    <row r="6" spans="1:3" x14ac:dyDescent="0.2">
      <c r="B6" t="s">
        <v>31</v>
      </c>
      <c r="C6" t="s">
        <v>79</v>
      </c>
    </row>
    <row r="7" spans="1:3" x14ac:dyDescent="0.2">
      <c r="C7" t="s">
        <v>84</v>
      </c>
    </row>
  </sheetData>
  <hyperlinks>
    <hyperlink ref="A1" location="Main!A1" display="Main" xr:uid="{738B9C3C-07B1-41C3-84F3-F8473D8F0C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799-2FF4-4EC6-9BEA-095D9A17383B}">
  <dimension ref="A1:C9"/>
  <sheetViews>
    <sheetView zoomScale="205" zoomScaleNormal="205" workbookViewId="0"/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67</v>
      </c>
    </row>
    <row r="3" spans="1:3" x14ac:dyDescent="0.2">
      <c r="B3" t="s">
        <v>24</v>
      </c>
      <c r="C3" t="s">
        <v>66</v>
      </c>
    </row>
    <row r="4" spans="1:3" x14ac:dyDescent="0.2">
      <c r="B4" t="s">
        <v>36</v>
      </c>
      <c r="C4" t="s">
        <v>115</v>
      </c>
    </row>
    <row r="5" spans="1:3" x14ac:dyDescent="0.2">
      <c r="B5" t="s">
        <v>32</v>
      </c>
      <c r="C5" t="s">
        <v>128</v>
      </c>
    </row>
    <row r="6" spans="1:3" x14ac:dyDescent="0.2">
      <c r="B6" t="s">
        <v>114</v>
      </c>
    </row>
    <row r="7" spans="1:3" x14ac:dyDescent="0.2">
      <c r="C7" s="22" t="s">
        <v>129</v>
      </c>
    </row>
    <row r="8" spans="1:3" x14ac:dyDescent="0.2">
      <c r="C8" t="s">
        <v>126</v>
      </c>
    </row>
    <row r="9" spans="1:3" x14ac:dyDescent="0.2">
      <c r="C9" t="s">
        <v>127</v>
      </c>
    </row>
  </sheetData>
  <hyperlinks>
    <hyperlink ref="A1" location="Main!A1" display="Main" xr:uid="{88EB219B-DDE0-46CC-B788-95B6DCB73CE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5D1-9DCE-4499-A8CA-F486173AC1B3}">
  <dimension ref="A1:C7"/>
  <sheetViews>
    <sheetView zoomScale="190" zoomScaleNormal="190" workbookViewId="0">
      <selection activeCell="D11" sqref="D11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</row>
    <row r="3" spans="1:3" x14ac:dyDescent="0.2">
      <c r="B3" t="s">
        <v>24</v>
      </c>
      <c r="C3" t="s">
        <v>57</v>
      </c>
    </row>
    <row r="4" spans="1:3" x14ac:dyDescent="0.2">
      <c r="B4" t="s">
        <v>36</v>
      </c>
    </row>
    <row r="5" spans="1:3" x14ac:dyDescent="0.2">
      <c r="B5" t="s">
        <v>24</v>
      </c>
      <c r="C5" t="s">
        <v>59</v>
      </c>
    </row>
    <row r="6" spans="1:3" x14ac:dyDescent="0.2">
      <c r="B6" t="s">
        <v>114</v>
      </c>
    </row>
    <row r="7" spans="1:3" x14ac:dyDescent="0.2">
      <c r="C7" s="22" t="s">
        <v>121</v>
      </c>
    </row>
  </sheetData>
  <hyperlinks>
    <hyperlink ref="A1" location="Main!A1" display="Main" xr:uid="{65E08BD3-BBDC-4586-867C-9363D1662C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Ingrezza</vt:lpstr>
      <vt:lpstr>1065845</vt:lpstr>
      <vt:lpstr>crinecerfont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2022-10-14T17:50:27Z</dcterms:created>
  <dcterms:modified xsi:type="dcterms:W3CDTF">2024-09-03T12:40:57Z</dcterms:modified>
</cp:coreProperties>
</file>