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ADBE07C3-0BA5-41AC-965E-04A01D56FD6F}" xr6:coauthVersionLast="47" xr6:coauthVersionMax="47" xr10:uidLastSave="{00000000-0000-0000-0000-000000000000}"/>
  <bookViews>
    <workbookView xWindow="8655" yWindow="0" windowWidth="20145" windowHeight="15465" activeTab="1" xr2:uid="{AF5D6250-CC2E-478D-A72E-6EAEA79B8F6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1" i="2" l="1"/>
  <c r="AH32" i="2" s="1"/>
  <c r="AG25" i="2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AF25" i="2"/>
  <c r="X22" i="2"/>
  <c r="Z27" i="2"/>
  <c r="AA27" i="2" s="1"/>
  <c r="AB27" i="2" s="1"/>
  <c r="AC27" i="2" s="1"/>
  <c r="AD27" i="2" s="1"/>
  <c r="AE27" i="2" s="1"/>
  <c r="Y27" i="2"/>
  <c r="W33" i="2"/>
  <c r="AA11" i="2"/>
  <c r="AB11" i="2" s="1"/>
  <c r="AC11" i="2" s="1"/>
  <c r="AD11" i="2" s="1"/>
  <c r="AE11" i="2" s="1"/>
  <c r="Z11" i="2"/>
  <c r="Y11" i="2"/>
  <c r="Z10" i="2"/>
  <c r="AA10" i="2" s="1"/>
  <c r="AB10" i="2" s="1"/>
  <c r="AC10" i="2" s="1"/>
  <c r="AD10" i="2" s="1"/>
  <c r="AE10" i="2" s="1"/>
  <c r="Y10" i="2"/>
  <c r="Y20" i="2"/>
  <c r="Y19" i="2"/>
  <c r="Z19" i="2" s="1"/>
  <c r="AA19" i="2" s="1"/>
  <c r="AB19" i="2" s="1"/>
  <c r="AC19" i="2" s="1"/>
  <c r="AD19" i="2" s="1"/>
  <c r="AE19" i="2" s="1"/>
  <c r="Y18" i="2"/>
  <c r="Z18" i="2" s="1"/>
  <c r="AA18" i="2" s="1"/>
  <c r="AB18" i="2" s="1"/>
  <c r="AC18" i="2" s="1"/>
  <c r="AD18" i="2" s="1"/>
  <c r="AE18" i="2" s="1"/>
  <c r="Y17" i="2"/>
  <c r="Z17" i="2" s="1"/>
  <c r="Y12" i="2"/>
  <c r="AE2" i="2"/>
  <c r="AD2" i="2"/>
  <c r="AC2" i="2"/>
  <c r="AB2" i="2"/>
  <c r="AA2" i="2"/>
  <c r="Z2" i="2"/>
  <c r="Y2" i="2"/>
  <c r="X27" i="2"/>
  <c r="X19" i="2"/>
  <c r="X18" i="2"/>
  <c r="X20" i="2"/>
  <c r="X17" i="2"/>
  <c r="X16" i="2"/>
  <c r="X15" i="2" s="1"/>
  <c r="X12" i="2"/>
  <c r="X29" i="2" s="1"/>
  <c r="X11" i="2"/>
  <c r="X10" i="2"/>
  <c r="W31" i="2"/>
  <c r="V31" i="2"/>
  <c r="U31" i="2"/>
  <c r="T31" i="2"/>
  <c r="N31" i="2"/>
  <c r="M31" i="2"/>
  <c r="L31" i="2"/>
  <c r="K31" i="2"/>
  <c r="J31" i="2"/>
  <c r="I31" i="2"/>
  <c r="H31" i="2"/>
  <c r="G31" i="2"/>
  <c r="W30" i="2"/>
  <c r="V30" i="2"/>
  <c r="U30" i="2"/>
  <c r="T30" i="2"/>
  <c r="W24" i="2"/>
  <c r="W22" i="2"/>
  <c r="W27" i="2"/>
  <c r="V27" i="2"/>
  <c r="V24" i="2"/>
  <c r="V22" i="2"/>
  <c r="U20" i="2"/>
  <c r="T20" i="2"/>
  <c r="U15" i="2"/>
  <c r="U16" i="2" s="1"/>
  <c r="T15" i="2"/>
  <c r="U29" i="2"/>
  <c r="T12" i="2"/>
  <c r="U12" i="2"/>
  <c r="V2" i="2"/>
  <c r="W2" i="2"/>
  <c r="R2" i="2"/>
  <c r="Q2" i="2"/>
  <c r="P2" i="2"/>
  <c r="O2" i="2"/>
  <c r="V19" i="2"/>
  <c r="V18" i="2"/>
  <c r="V17" i="2"/>
  <c r="V20" i="2" s="1"/>
  <c r="W19" i="2"/>
  <c r="W18" i="2"/>
  <c r="W17" i="2"/>
  <c r="W20" i="2" s="1"/>
  <c r="W14" i="2"/>
  <c r="W13" i="2"/>
  <c r="V14" i="2"/>
  <c r="V13" i="2"/>
  <c r="V15" i="2" s="1"/>
  <c r="V6" i="2"/>
  <c r="V7" i="2"/>
  <c r="V8" i="2"/>
  <c r="V11" i="2"/>
  <c r="V10" i="2"/>
  <c r="W11" i="2"/>
  <c r="W12" i="2" s="1"/>
  <c r="W10" i="2"/>
  <c r="W8" i="2"/>
  <c r="W7" i="2"/>
  <c r="W6" i="2"/>
  <c r="N4" i="2"/>
  <c r="N72" i="2"/>
  <c r="N75" i="2" s="1"/>
  <c r="N66" i="2"/>
  <c r="N68" i="2" s="1"/>
  <c r="N61" i="2"/>
  <c r="N62" i="2" s="1"/>
  <c r="N79" i="2" s="1"/>
  <c r="N47" i="2"/>
  <c r="N48" i="2"/>
  <c r="N45" i="2"/>
  <c r="N34" i="2"/>
  <c r="N33" i="2" s="1"/>
  <c r="N40" i="2"/>
  <c r="N20" i="2"/>
  <c r="K72" i="2"/>
  <c r="K75" i="2" s="1"/>
  <c r="K66" i="2"/>
  <c r="K68" i="2" s="1"/>
  <c r="K61" i="2"/>
  <c r="K62" i="2" s="1"/>
  <c r="K79" i="2" s="1"/>
  <c r="K48" i="2"/>
  <c r="K47" i="2"/>
  <c r="K45" i="2"/>
  <c r="K40" i="2"/>
  <c r="K34" i="2"/>
  <c r="L72" i="2"/>
  <c r="L75" i="2" s="1"/>
  <c r="L66" i="2"/>
  <c r="L68" i="2" s="1"/>
  <c r="L61" i="2"/>
  <c r="L62" i="2" s="1"/>
  <c r="L79" i="2" s="1"/>
  <c r="L48" i="2"/>
  <c r="L47" i="2"/>
  <c r="L45" i="2"/>
  <c r="L40" i="2"/>
  <c r="L34" i="2"/>
  <c r="M72" i="2"/>
  <c r="M75" i="2" s="1"/>
  <c r="M66" i="2"/>
  <c r="M68" i="2" s="1"/>
  <c r="M61" i="2"/>
  <c r="M62" i="2" s="1"/>
  <c r="M79" i="2" s="1"/>
  <c r="M47" i="2"/>
  <c r="M48" i="2"/>
  <c r="M45" i="2"/>
  <c r="L7" i="1"/>
  <c r="M40" i="2"/>
  <c r="M34" i="2"/>
  <c r="L4" i="1"/>
  <c r="L20" i="2"/>
  <c r="K20" i="2"/>
  <c r="J20" i="2"/>
  <c r="I20" i="2"/>
  <c r="H20" i="2"/>
  <c r="G20" i="2"/>
  <c r="M20" i="2"/>
  <c r="N15" i="2"/>
  <c r="N12" i="2"/>
  <c r="G12" i="2"/>
  <c r="H15" i="2"/>
  <c r="G15" i="2"/>
  <c r="M15" i="2"/>
  <c r="L15" i="2"/>
  <c r="K15" i="2"/>
  <c r="J15" i="2"/>
  <c r="I15" i="2"/>
  <c r="L12" i="2"/>
  <c r="K12" i="2"/>
  <c r="J12" i="2"/>
  <c r="I12" i="2"/>
  <c r="H12" i="2"/>
  <c r="M12" i="2"/>
  <c r="Y16" i="2" l="1"/>
  <c r="Y15" i="2"/>
  <c r="Y29" i="2"/>
  <c r="Z20" i="2"/>
  <c r="AA17" i="2"/>
  <c r="X21" i="2"/>
  <c r="X23" i="2" s="1"/>
  <c r="X30" i="2"/>
  <c r="T16" i="2"/>
  <c r="W15" i="2"/>
  <c r="V12" i="2"/>
  <c r="N53" i="2"/>
  <c r="T21" i="2"/>
  <c r="T23" i="2" s="1"/>
  <c r="T25" i="2" s="1"/>
  <c r="T26" i="2" s="1"/>
  <c r="U21" i="2"/>
  <c r="U23" i="2" s="1"/>
  <c r="U25" i="2" s="1"/>
  <c r="U26" i="2" s="1"/>
  <c r="W16" i="2"/>
  <c r="V16" i="2"/>
  <c r="W21" i="2"/>
  <c r="W23" i="2" s="1"/>
  <c r="W25" i="2" s="1"/>
  <c r="W26" i="2" s="1"/>
  <c r="V21" i="2"/>
  <c r="V23" i="2" s="1"/>
  <c r="V25" i="2" s="1"/>
  <c r="V26" i="2" s="1"/>
  <c r="K53" i="2"/>
  <c r="N77" i="2"/>
  <c r="K42" i="2"/>
  <c r="N42" i="2"/>
  <c r="L29" i="2"/>
  <c r="K29" i="2"/>
  <c r="M53" i="2"/>
  <c r="K77" i="2"/>
  <c r="N29" i="2"/>
  <c r="L42" i="2"/>
  <c r="L77" i="2"/>
  <c r="G16" i="2"/>
  <c r="G30" i="2" s="1"/>
  <c r="L53" i="2"/>
  <c r="M16" i="2"/>
  <c r="I16" i="2"/>
  <c r="I30" i="2" s="1"/>
  <c r="M42" i="2"/>
  <c r="M21" i="2"/>
  <c r="M23" i="2" s="1"/>
  <c r="M25" i="2" s="1"/>
  <c r="M30" i="2"/>
  <c r="M77" i="2"/>
  <c r="M29" i="2"/>
  <c r="J16" i="2"/>
  <c r="J30" i="2" s="1"/>
  <c r="K16" i="2"/>
  <c r="K30" i="2" s="1"/>
  <c r="L16" i="2"/>
  <c r="L30" i="2" s="1"/>
  <c r="H16" i="2"/>
  <c r="N16" i="2"/>
  <c r="N30" i="2" s="1"/>
  <c r="X24" i="2" l="1"/>
  <c r="X31" i="2" s="1"/>
  <c r="Z12" i="2"/>
  <c r="AA20" i="2"/>
  <c r="AB17" i="2"/>
  <c r="Y21" i="2"/>
  <c r="Y30" i="2"/>
  <c r="V29" i="2"/>
  <c r="W29" i="2"/>
  <c r="N21" i="2"/>
  <c r="N23" i="2" s="1"/>
  <c r="N25" i="2" s="1"/>
  <c r="I21" i="2"/>
  <c r="I23" i="2" s="1"/>
  <c r="I25" i="2" s="1"/>
  <c r="I26" i="2" s="1"/>
  <c r="G21" i="2"/>
  <c r="G23" i="2" s="1"/>
  <c r="G25" i="2" s="1"/>
  <c r="G26" i="2" s="1"/>
  <c r="H21" i="2"/>
  <c r="H23" i="2" s="1"/>
  <c r="H25" i="2" s="1"/>
  <c r="H26" i="2" s="1"/>
  <c r="H30" i="2"/>
  <c r="L21" i="2"/>
  <c r="L23" i="2" s="1"/>
  <c r="L25" i="2" s="1"/>
  <c r="K21" i="2"/>
  <c r="K23" i="2" s="1"/>
  <c r="K25" i="2" s="1"/>
  <c r="J21" i="2"/>
  <c r="J23" i="2" s="1"/>
  <c r="J25" i="2" s="1"/>
  <c r="J26" i="2" s="1"/>
  <c r="M26" i="2"/>
  <c r="M55" i="2"/>
  <c r="Z16" i="2" l="1"/>
  <c r="Z15" i="2" s="1"/>
  <c r="Z29" i="2"/>
  <c r="AC17" i="2"/>
  <c r="AB20" i="2"/>
  <c r="AA12" i="2"/>
  <c r="X25" i="2"/>
  <c r="N26" i="2"/>
  <c r="N55" i="2"/>
  <c r="K26" i="2"/>
  <c r="K55" i="2"/>
  <c r="L26" i="2"/>
  <c r="L55" i="2"/>
  <c r="X26" i="2" l="1"/>
  <c r="X33" i="2"/>
  <c r="AA16" i="2"/>
  <c r="AA15" i="2" s="1"/>
  <c r="AA29" i="2"/>
  <c r="AB12" i="2"/>
  <c r="AC20" i="2"/>
  <c r="AD17" i="2"/>
  <c r="Z30" i="2"/>
  <c r="Z21" i="2"/>
  <c r="Y22" i="2" l="1"/>
  <c r="Y23" i="2" s="1"/>
  <c r="AE17" i="2"/>
  <c r="AE20" i="2" s="1"/>
  <c r="AD20" i="2"/>
  <c r="AC12" i="2"/>
  <c r="AB16" i="2"/>
  <c r="AB29" i="2"/>
  <c r="AA30" i="2"/>
  <c r="AA21" i="2"/>
  <c r="Y24" i="2" l="1"/>
  <c r="Y31" i="2" s="1"/>
  <c r="Y25" i="2"/>
  <c r="AB30" i="2"/>
  <c r="AB21" i="2"/>
  <c r="AD12" i="2"/>
  <c r="AE12" i="2"/>
  <c r="AB15" i="2"/>
  <c r="AC29" i="2"/>
  <c r="AC16" i="2"/>
  <c r="Y26" i="2" l="1"/>
  <c r="Y33" i="2"/>
  <c r="AC21" i="2"/>
  <c r="AC30" i="2"/>
  <c r="AD16" i="2"/>
  <c r="AD29" i="2"/>
  <c r="AC15" i="2"/>
  <c r="AE29" i="2"/>
  <c r="AE16" i="2"/>
  <c r="Z22" i="2" l="1"/>
  <c r="Z23" i="2" s="1"/>
  <c r="AE21" i="2"/>
  <c r="AE30" i="2"/>
  <c r="AE15" i="2"/>
  <c r="AD30" i="2"/>
  <c r="AD21" i="2"/>
  <c r="AD15" i="2"/>
  <c r="Z24" i="2" l="1"/>
  <c r="Z31" i="2" s="1"/>
  <c r="Z25" i="2"/>
  <c r="Z26" i="2" l="1"/>
  <c r="Z33" i="2"/>
  <c r="AA22" i="2" l="1"/>
  <c r="AA23" i="2" s="1"/>
  <c r="AA24" i="2" l="1"/>
  <c r="AA31" i="2" s="1"/>
  <c r="AA25" i="2"/>
  <c r="AA26" i="2" l="1"/>
  <c r="AA33" i="2"/>
  <c r="AB22" i="2" l="1"/>
  <c r="AB23" i="2" s="1"/>
  <c r="AB24" i="2" l="1"/>
  <c r="AB31" i="2" s="1"/>
  <c r="AB25" i="2"/>
  <c r="AB26" i="2" l="1"/>
  <c r="AB33" i="2"/>
  <c r="AC22" i="2" l="1"/>
  <c r="AC23" i="2" s="1"/>
  <c r="AC24" i="2" l="1"/>
  <c r="AC31" i="2" s="1"/>
  <c r="AC25" i="2"/>
  <c r="AC26" i="2" l="1"/>
  <c r="AC33" i="2"/>
  <c r="AD22" i="2" l="1"/>
  <c r="AD23" i="2" s="1"/>
  <c r="AD24" i="2" l="1"/>
  <c r="AD31" i="2" s="1"/>
  <c r="AD25" i="2"/>
  <c r="AD26" i="2" l="1"/>
  <c r="AD33" i="2"/>
  <c r="AE22" i="2" l="1"/>
  <c r="AE23" i="2" s="1"/>
  <c r="AE24" i="2" l="1"/>
  <c r="AE31" i="2" s="1"/>
  <c r="AE25" i="2"/>
  <c r="AE26" i="2" l="1"/>
  <c r="AE33" i="2"/>
</calcChain>
</file>

<file path=xl/sharedStrings.xml><?xml version="1.0" encoding="utf-8"?>
<sst xmlns="http://schemas.openxmlformats.org/spreadsheetml/2006/main" count="111" uniqueCount="102">
  <si>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</si>
  <si>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</si>
  <si>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</si>
  <si>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</si>
  <si>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</si>
  <si>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</si>
  <si>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</si>
  <si>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</si>
  <si>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</si>
  <si>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</si>
  <si>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</si>
  <si>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</si>
  <si>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</si>
  <si>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</si>
  <si>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</si>
  <si>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</si>
  <si>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</si>
  <si>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</si>
  <si>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</si>
  <si>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</si>
  <si>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</si>
  <si>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</si>
  <si>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</si>
  <si>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</si>
  <si>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</si>
  <si>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</si>
  <si>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</si>
  <si>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</si>
  <si>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</si>
  <si>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</si>
  <si>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</si>
  <si>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</si>
  <si>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</si>
  <si>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</si>
  <si>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</si>
  <si>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Q122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</si>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</sst>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14" fontId="0" fillId="0" borderId="0" xfId="0" applyNumberFormat="1"/>
    <xf numFmtId="4" fontId="1" fillId="0" borderId="0" xfId="0" applyNumberFormat="1" applyFont="1"/>
    <xf numFmtId="9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0</xdr:row>
      <xdr:rowOff>0</xdr:rowOff>
    </xdr:from>
    <xdr:to>
      <xdr:col>14</xdr:col>
      <xdr:colOff>38100</xdr:colOff>
      <xdr:row>88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9610725" y="0"/>
          <a:ext cx="0" cy="14116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28575</xdr:colOff>
      <xdr:row>0</xdr:row>
      <xdr:rowOff>0</xdr:rowOff>
    </xdr:from>
    <xdr:to>
      <xdr:col>23</xdr:col>
      <xdr:colOff>28575</xdr:colOff>
      <xdr:row>88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15278100" y="0"/>
          <a:ext cx="0" cy="14116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21"/>
  <sheetViews>
    <sheetView workbookViewId="0">
      <selection activeCell="L1" sqref="L1"/>
    </sheetView>
  </sheetViews>
  <sheetFormatPr defaultRowHeight="12.75" x14ac:dyDescent="0.2"/>
  <cols>
    <col min="12" max="12" width="9.5703125" customWidth="1"/>
  </cols>
  <sheetData>
    <row r="2" spans="11:13" x14ac:dyDescent="0.2">
      <c r="K2" t="s">
        <v>0</v>
      </c>
      <c r="L2" s="1">
        <v>252</v>
      </c>
    </row>
    <row r="3" spans="11:13" x14ac:dyDescent="0.2">
      <c r="K3" t="s">
        <v>1</v>
      </c>
      <c r="L3" s="5">
        <v>7534</v>
      </c>
      <c r="M3" s="2" t="s">
        <v>35</v>
      </c>
    </row>
    <row r="4" spans="11:13" x14ac:dyDescent="0.2">
      <c r="K4" t="s">
        <v>2</v>
      </c>
      <c r="L4" s="5">
        <f>L2*L3</f>
        <v>1898568</v>
      </c>
    </row>
    <row r="5" spans="11:13" x14ac:dyDescent="0.2">
      <c r="K5" t="s">
        <v>3</v>
      </c>
      <c r="L5" s="5">
        <v>111600</v>
      </c>
      <c r="M5" s="2" t="s">
        <v>35</v>
      </c>
    </row>
    <row r="6" spans="11:13" x14ac:dyDescent="0.2">
      <c r="K6" t="s">
        <v>4</v>
      </c>
      <c r="L6" s="5">
        <v>49926</v>
      </c>
      <c r="M6" s="2" t="s">
        <v>35</v>
      </c>
    </row>
    <row r="7" spans="11:13" x14ac:dyDescent="0.2">
      <c r="K7" t="s">
        <v>5</v>
      </c>
      <c r="L7" s="5">
        <f>L4-L5+L6</f>
        <v>1836894</v>
      </c>
    </row>
    <row r="9" spans="11:13" x14ac:dyDescent="0.2">
      <c r="K9" t="s">
        <v>74</v>
      </c>
      <c r="L9">
        <v>1975</v>
      </c>
    </row>
    <row r="21" spans="2:2" x14ac:dyDescent="0.2">
      <c r="B2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CK80"/>
  <sheetViews>
    <sheetView tabSelected="1" zoomScaleNormal="100" workbookViewId="0">
      <pane xSplit="2" ySplit="3" topLeftCell="AF4" activePane="bottomRight" state="frozen"/>
      <selection pane="topRight" activeCell="C1" sqref="C1"/>
      <selection pane="bottomLeft" activeCell="A4" sqref="A4"/>
      <selection pane="bottomRight" activeCell="AH30" sqref="AH30"/>
    </sheetView>
  </sheetViews>
  <sheetFormatPr defaultRowHeight="12.75" x14ac:dyDescent="0.2"/>
  <cols>
    <col min="1" max="1" width="5" bestFit="1" customWidth="1"/>
    <col min="2" max="2" width="19.7109375" customWidth="1"/>
    <col min="3" max="6" width="10" style="2" customWidth="1"/>
    <col min="7" max="14" width="9.85546875" style="2" customWidth="1"/>
    <col min="15" max="18" width="9.85546875" customWidth="1"/>
    <col min="21" max="24" width="9.140625" style="2"/>
    <col min="34" max="34" width="9" customWidth="1"/>
  </cols>
  <sheetData>
    <row r="1" spans="1:31" x14ac:dyDescent="0.2">
      <c r="A1" t="s">
        <v>6</v>
      </c>
    </row>
    <row r="2" spans="1:31" x14ac:dyDescent="0.2">
      <c r="C2" s="3"/>
      <c r="D2" s="3"/>
      <c r="E2" s="3"/>
      <c r="F2" s="3"/>
      <c r="G2" s="3">
        <v>44104</v>
      </c>
      <c r="H2" s="3">
        <v>44196</v>
      </c>
      <c r="I2" s="3">
        <v>44286</v>
      </c>
      <c r="J2" s="3">
        <v>44377</v>
      </c>
      <c r="K2" s="3">
        <v>44469</v>
      </c>
      <c r="L2" s="3">
        <v>44561</v>
      </c>
      <c r="M2" s="3">
        <v>44651</v>
      </c>
      <c r="N2" s="3">
        <v>44742</v>
      </c>
      <c r="O2" s="12">
        <f>+K2+365</f>
        <v>44834</v>
      </c>
      <c r="P2" s="12">
        <f>+L2+365</f>
        <v>44926</v>
      </c>
      <c r="Q2" s="12">
        <f>+M2+365</f>
        <v>45016</v>
      </c>
      <c r="R2" s="12">
        <f>+N2+365</f>
        <v>45107</v>
      </c>
      <c r="T2" s="12">
        <v>43646</v>
      </c>
      <c r="U2" s="3">
        <v>44012</v>
      </c>
      <c r="V2" s="3">
        <f>+J2</f>
        <v>44377</v>
      </c>
      <c r="W2" s="3">
        <f>+N2</f>
        <v>44742</v>
      </c>
      <c r="X2" s="3">
        <v>45107</v>
      </c>
      <c r="Y2" s="12">
        <f>+X2+366</f>
        <v>45473</v>
      </c>
      <c r="Z2" s="12">
        <f>+Y2+365</f>
        <v>45838</v>
      </c>
      <c r="AA2" s="12">
        <f>+Z2+365</f>
        <v>46203</v>
      </c>
      <c r="AB2" s="12">
        <f>+AA2+365</f>
        <v>46568</v>
      </c>
      <c r="AC2" s="12">
        <f>+AB2+366</f>
        <v>46934</v>
      </c>
      <c r="AD2" s="12">
        <f>+AC2+365</f>
        <v>47299</v>
      </c>
      <c r="AE2" s="12">
        <f>+AD2+365</f>
        <v>47664</v>
      </c>
    </row>
    <row r="3" spans="1:31" x14ac:dyDescent="0.2">
      <c r="C3" s="2" t="s">
        <v>82</v>
      </c>
      <c r="D3" s="2" t="s">
        <v>81</v>
      </c>
      <c r="E3" s="2" t="s">
        <v>80</v>
      </c>
      <c r="F3" s="2" t="s">
        <v>79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84</v>
      </c>
      <c r="P3" s="2" t="s">
        <v>85</v>
      </c>
      <c r="Q3" s="2" t="s">
        <v>86</v>
      </c>
      <c r="R3" s="2" t="s">
        <v>87</v>
      </c>
      <c r="T3" s="2" t="s">
        <v>89</v>
      </c>
      <c r="U3" s="2" t="s">
        <v>78</v>
      </c>
      <c r="V3" s="2" t="s">
        <v>75</v>
      </c>
      <c r="W3" s="2" t="s">
        <v>76</v>
      </c>
      <c r="X3" s="2" t="s">
        <v>77</v>
      </c>
      <c r="Y3" s="2" t="s">
        <v>91</v>
      </c>
      <c r="Z3" s="2" t="s">
        <v>92</v>
      </c>
      <c r="AA3" s="2" t="s">
        <v>93</v>
      </c>
      <c r="AB3" s="2" t="s">
        <v>94</v>
      </c>
      <c r="AC3" s="2" t="s">
        <v>95</v>
      </c>
      <c r="AD3" s="2" t="s">
        <v>96</v>
      </c>
      <c r="AE3" s="2" t="s">
        <v>97</v>
      </c>
    </row>
    <row r="4" spans="1:31" x14ac:dyDescent="0.2">
      <c r="B4" t="s">
        <v>88</v>
      </c>
      <c r="N4" s="2">
        <f>+J4+768</f>
        <v>768</v>
      </c>
      <c r="O4" s="2"/>
      <c r="P4" s="2"/>
      <c r="Q4" s="2"/>
      <c r="R4" s="2"/>
    </row>
    <row r="5" spans="1:31" x14ac:dyDescent="0.2">
      <c r="O5" s="2"/>
      <c r="P5" s="2"/>
      <c r="Q5" s="2"/>
      <c r="R5" s="2"/>
    </row>
    <row r="6" spans="1:31" s="5" customFormat="1" x14ac:dyDescent="0.2">
      <c r="B6" s="5" t="s">
        <v>70</v>
      </c>
      <c r="C6" s="6"/>
      <c r="D6" s="6"/>
      <c r="E6" s="6"/>
      <c r="F6" s="6"/>
      <c r="G6" s="6">
        <v>12319</v>
      </c>
      <c r="H6" s="6">
        <v>13353</v>
      </c>
      <c r="I6" s="6">
        <v>13552</v>
      </c>
      <c r="J6" s="6">
        <v>14691</v>
      </c>
      <c r="K6" s="6">
        <v>15039</v>
      </c>
      <c r="L6" s="6">
        <v>15936</v>
      </c>
      <c r="M6" s="6">
        <v>15789</v>
      </c>
      <c r="N6" s="6">
        <v>16600</v>
      </c>
      <c r="U6" s="6"/>
      <c r="V6" s="6">
        <f>SUM(G6:J6)</f>
        <v>53915</v>
      </c>
      <c r="W6" s="6">
        <f>SUM(K6:N6)</f>
        <v>63364</v>
      </c>
      <c r="X6" s="6"/>
    </row>
    <row r="7" spans="1:31" s="5" customFormat="1" x14ac:dyDescent="0.2">
      <c r="B7" s="5" t="s">
        <v>69</v>
      </c>
      <c r="C7" s="6"/>
      <c r="D7" s="6"/>
      <c r="E7" s="6"/>
      <c r="F7" s="6"/>
      <c r="G7" s="6">
        <v>12986</v>
      </c>
      <c r="H7" s="6">
        <v>14601</v>
      </c>
      <c r="I7" s="6">
        <v>15118</v>
      </c>
      <c r="J7" s="6">
        <v>17375</v>
      </c>
      <c r="K7" s="6">
        <v>16964</v>
      </c>
      <c r="L7" s="6">
        <v>18327</v>
      </c>
      <c r="M7" s="6">
        <v>19051</v>
      </c>
      <c r="N7" s="6">
        <v>20909</v>
      </c>
      <c r="U7" s="6"/>
      <c r="V7" s="6">
        <f>SUM(G7:J7)</f>
        <v>60080</v>
      </c>
      <c r="W7" s="6">
        <f t="shared" ref="W7:W14" si="0">SUM(K7:N7)</f>
        <v>75251</v>
      </c>
      <c r="X7" s="6"/>
    </row>
    <row r="8" spans="1:31" s="5" customFormat="1" x14ac:dyDescent="0.2">
      <c r="B8" s="5" t="s">
        <v>71</v>
      </c>
      <c r="C8" s="6"/>
      <c r="D8" s="6"/>
      <c r="E8" s="6"/>
      <c r="F8" s="6"/>
      <c r="G8" s="6">
        <v>11849</v>
      </c>
      <c r="H8" s="6">
        <v>15122</v>
      </c>
      <c r="I8" s="6">
        <v>13036</v>
      </c>
      <c r="J8" s="6">
        <v>14086</v>
      </c>
      <c r="K8" s="6">
        <v>13314</v>
      </c>
      <c r="L8" s="6">
        <v>17465</v>
      </c>
      <c r="M8" s="6">
        <v>14520</v>
      </c>
      <c r="N8" s="6">
        <v>14356</v>
      </c>
      <c r="U8" s="6"/>
      <c r="V8" s="6">
        <f>SUM(G8:J8)</f>
        <v>54093</v>
      </c>
      <c r="W8" s="6">
        <f t="shared" si="0"/>
        <v>59655</v>
      </c>
      <c r="X8" s="6"/>
    </row>
    <row r="10" spans="1:31" s="5" customFormat="1" x14ac:dyDescent="0.2">
      <c r="B10" s="5" t="s">
        <v>17</v>
      </c>
      <c r="C10" s="6"/>
      <c r="D10" s="6"/>
      <c r="E10" s="6"/>
      <c r="F10" s="6"/>
      <c r="G10" s="6">
        <v>15803</v>
      </c>
      <c r="H10" s="6">
        <v>19460</v>
      </c>
      <c r="I10" s="6">
        <v>16873</v>
      </c>
      <c r="J10" s="6">
        <v>18938</v>
      </c>
      <c r="K10" s="6">
        <v>16631</v>
      </c>
      <c r="L10" s="6">
        <v>20779</v>
      </c>
      <c r="M10" s="6">
        <v>17366</v>
      </c>
      <c r="N10" s="6">
        <v>17956</v>
      </c>
      <c r="T10" s="5">
        <v>66069</v>
      </c>
      <c r="U10" s="6">
        <v>68041</v>
      </c>
      <c r="V10" s="6">
        <f>SUM(G10:J10)</f>
        <v>71074</v>
      </c>
      <c r="W10" s="6">
        <f t="shared" si="0"/>
        <v>72732</v>
      </c>
      <c r="X10" s="6">
        <f>+W10*1.01</f>
        <v>73459.320000000007</v>
      </c>
      <c r="Y10" s="6">
        <f>+X10*1.03</f>
        <v>75663.099600000016</v>
      </c>
      <c r="Z10" s="6">
        <f t="shared" ref="Z10:AE10" si="1">+Y10*1.03</f>
        <v>77932.992588000023</v>
      </c>
      <c r="AA10" s="6">
        <f t="shared" si="1"/>
        <v>80270.982365640026</v>
      </c>
      <c r="AB10" s="6">
        <f t="shared" si="1"/>
        <v>82679.111836609227</v>
      </c>
      <c r="AC10" s="6">
        <f t="shared" si="1"/>
        <v>85159.485191707499</v>
      </c>
      <c r="AD10" s="6">
        <f t="shared" si="1"/>
        <v>87714.269747458733</v>
      </c>
      <c r="AE10" s="6">
        <f t="shared" si="1"/>
        <v>90345.697839882501</v>
      </c>
    </row>
    <row r="11" spans="1:31" s="5" customFormat="1" x14ac:dyDescent="0.2">
      <c r="B11" s="5" t="s">
        <v>18</v>
      </c>
      <c r="C11" s="6"/>
      <c r="D11" s="6"/>
      <c r="E11" s="6"/>
      <c r="F11" s="6"/>
      <c r="G11" s="6">
        <v>21351</v>
      </c>
      <c r="H11" s="6">
        <v>23616</v>
      </c>
      <c r="I11" s="6">
        <v>24833</v>
      </c>
      <c r="J11" s="6">
        <v>27214</v>
      </c>
      <c r="K11" s="6">
        <v>28686</v>
      </c>
      <c r="L11" s="6">
        <v>30949</v>
      </c>
      <c r="M11" s="6">
        <v>31994</v>
      </c>
      <c r="N11" s="6">
        <v>33909</v>
      </c>
      <c r="T11" s="5">
        <v>59774</v>
      </c>
      <c r="U11" s="6">
        <v>74974</v>
      </c>
      <c r="V11" s="6">
        <f>SUM(G11:J11)</f>
        <v>97014</v>
      </c>
      <c r="W11" s="6">
        <f t="shared" si="0"/>
        <v>125538</v>
      </c>
      <c r="X11" s="6">
        <f>+W11*1.2</f>
        <v>150645.6</v>
      </c>
      <c r="Y11" s="6">
        <f>+X11*1.15</f>
        <v>173242.44</v>
      </c>
      <c r="Z11" s="6">
        <f>+Y11*1.1</f>
        <v>190566.68400000001</v>
      </c>
      <c r="AA11" s="6">
        <f t="shared" ref="AA11:AE11" si="2">+Z11*1.1</f>
        <v>209623.35240000003</v>
      </c>
      <c r="AB11" s="6">
        <f t="shared" si="2"/>
        <v>230585.68764000005</v>
      </c>
      <c r="AC11" s="6">
        <f t="shared" si="2"/>
        <v>253644.25640400007</v>
      </c>
      <c r="AD11" s="6">
        <f t="shared" si="2"/>
        <v>279008.68204440008</v>
      </c>
      <c r="AE11" s="6">
        <f t="shared" si="2"/>
        <v>306909.55024884013</v>
      </c>
    </row>
    <row r="12" spans="1:31" s="7" customFormat="1" x14ac:dyDescent="0.2">
      <c r="B12" s="7" t="s">
        <v>8</v>
      </c>
      <c r="C12" s="8"/>
      <c r="D12" s="8"/>
      <c r="E12" s="8"/>
      <c r="F12" s="8"/>
      <c r="G12" s="8">
        <f t="shared" ref="G12" si="3">G10+G11</f>
        <v>37154</v>
      </c>
      <c r="H12" s="8">
        <f t="shared" ref="H12:L12" si="4">H10+H11</f>
        <v>43076</v>
      </c>
      <c r="I12" s="8">
        <f t="shared" si="4"/>
        <v>41706</v>
      </c>
      <c r="J12" s="8">
        <f t="shared" si="4"/>
        <v>46152</v>
      </c>
      <c r="K12" s="8">
        <f t="shared" si="4"/>
        <v>45317</v>
      </c>
      <c r="L12" s="8">
        <f t="shared" si="4"/>
        <v>51728</v>
      </c>
      <c r="M12" s="8">
        <f>M10+M11</f>
        <v>49360</v>
      </c>
      <c r="N12" s="8">
        <f t="shared" ref="N12" si="5">N10+N11</f>
        <v>51865</v>
      </c>
      <c r="T12" s="8">
        <f>+T11+T10</f>
        <v>125843</v>
      </c>
      <c r="U12" s="8">
        <f>+U11+U10</f>
        <v>143015</v>
      </c>
      <c r="V12" s="8">
        <f>+V11+V10</f>
        <v>168088</v>
      </c>
      <c r="W12" s="8">
        <f>+W11+W10</f>
        <v>198270</v>
      </c>
      <c r="X12" s="8">
        <f>+X11+X10</f>
        <v>224104.92</v>
      </c>
      <c r="Y12" s="8">
        <f t="shared" ref="Y12:AE12" si="6">+Y11+Y10</f>
        <v>248905.53960000002</v>
      </c>
      <c r="Z12" s="8">
        <f t="shared" si="6"/>
        <v>268499.67658800003</v>
      </c>
      <c r="AA12" s="8">
        <f t="shared" si="6"/>
        <v>289894.33476564009</v>
      </c>
      <c r="AB12" s="8">
        <f t="shared" si="6"/>
        <v>313264.79947660927</v>
      </c>
      <c r="AC12" s="8">
        <f t="shared" si="6"/>
        <v>338803.7415957076</v>
      </c>
      <c r="AD12" s="8">
        <f t="shared" si="6"/>
        <v>366722.95179185882</v>
      </c>
      <c r="AE12" s="8">
        <f t="shared" si="6"/>
        <v>397255.24808872264</v>
      </c>
    </row>
    <row r="13" spans="1:31" s="5" customFormat="1" x14ac:dyDescent="0.2">
      <c r="B13" s="5" t="s">
        <v>19</v>
      </c>
      <c r="C13" s="6"/>
      <c r="D13" s="6"/>
      <c r="E13" s="6"/>
      <c r="F13" s="6"/>
      <c r="G13" s="6">
        <v>3597</v>
      </c>
      <c r="H13" s="6">
        <v>6058</v>
      </c>
      <c r="I13" s="6">
        <v>4277</v>
      </c>
      <c r="J13" s="6">
        <v>4287</v>
      </c>
      <c r="K13" s="6">
        <v>3792</v>
      </c>
      <c r="L13" s="6">
        <v>6331</v>
      </c>
      <c r="M13" s="6">
        <v>4584</v>
      </c>
      <c r="N13" s="6">
        <v>4357</v>
      </c>
      <c r="T13" s="5">
        <v>16273</v>
      </c>
      <c r="U13" s="6">
        <v>16017</v>
      </c>
      <c r="V13" s="6">
        <f>SUM(G13:J13)</f>
        <v>18219</v>
      </c>
      <c r="W13" s="6">
        <f t="shared" si="0"/>
        <v>19064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</row>
    <row r="14" spans="1:31" s="5" customFormat="1" x14ac:dyDescent="0.2">
      <c r="B14" s="5" t="s">
        <v>20</v>
      </c>
      <c r="C14" s="6"/>
      <c r="D14" s="6"/>
      <c r="E14" s="6"/>
      <c r="F14" s="6"/>
      <c r="G14" s="6">
        <v>7405</v>
      </c>
      <c r="H14" s="6">
        <v>8136</v>
      </c>
      <c r="I14" s="6">
        <v>8768</v>
      </c>
      <c r="J14" s="6">
        <v>9704</v>
      </c>
      <c r="K14" s="6">
        <v>9854</v>
      </c>
      <c r="L14" s="6">
        <v>10629</v>
      </c>
      <c r="M14" s="6">
        <v>11031</v>
      </c>
      <c r="N14" s="6">
        <v>12072</v>
      </c>
      <c r="T14" s="5">
        <v>26637</v>
      </c>
      <c r="U14" s="6">
        <v>30061</v>
      </c>
      <c r="V14" s="6">
        <f>SUM(G14:J14)</f>
        <v>34013</v>
      </c>
      <c r="W14" s="6">
        <f t="shared" si="0"/>
        <v>43586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</row>
    <row r="15" spans="1:31" s="5" customFormat="1" x14ac:dyDescent="0.2">
      <c r="B15" s="5" t="s">
        <v>21</v>
      </c>
      <c r="C15" s="6"/>
      <c r="D15" s="6"/>
      <c r="E15" s="6"/>
      <c r="F15" s="6"/>
      <c r="G15" s="6">
        <f t="shared" ref="G15:H15" si="7">G13+G14</f>
        <v>11002</v>
      </c>
      <c r="H15" s="6">
        <f t="shared" si="7"/>
        <v>14194</v>
      </c>
      <c r="I15" s="6">
        <f>I13+I14</f>
        <v>13045</v>
      </c>
      <c r="J15" s="6">
        <f t="shared" ref="J15:M15" si="8">J13+J14</f>
        <v>13991</v>
      </c>
      <c r="K15" s="6">
        <f t="shared" si="8"/>
        <v>13646</v>
      </c>
      <c r="L15" s="6">
        <f t="shared" si="8"/>
        <v>16960</v>
      </c>
      <c r="M15" s="6">
        <f t="shared" si="8"/>
        <v>15615</v>
      </c>
      <c r="N15" s="6">
        <f t="shared" ref="N15" si="9">N13+N14</f>
        <v>16429</v>
      </c>
      <c r="T15" s="6">
        <f t="shared" ref="T15:V15" si="10">T13+T14</f>
        <v>42910</v>
      </c>
      <c r="U15" s="6">
        <f t="shared" si="10"/>
        <v>46078</v>
      </c>
      <c r="V15" s="6">
        <f t="shared" ref="V15:X15" si="11">V13+V14</f>
        <v>52232</v>
      </c>
      <c r="W15" s="6">
        <f t="shared" si="11"/>
        <v>62650</v>
      </c>
      <c r="X15" s="6">
        <f>+X12-X16</f>
        <v>73954.623599999992</v>
      </c>
      <c r="Y15" s="6">
        <f t="shared" ref="Y15:AE15" si="12">+Y12-Y16</f>
        <v>82138.828068000003</v>
      </c>
      <c r="Z15" s="6">
        <f t="shared" si="12"/>
        <v>88604.893274039991</v>
      </c>
      <c r="AA15" s="6">
        <f t="shared" si="12"/>
        <v>95665.130472661229</v>
      </c>
      <c r="AB15" s="6">
        <f t="shared" si="12"/>
        <v>103377.38382728104</v>
      </c>
      <c r="AC15" s="6">
        <f t="shared" si="12"/>
        <v>111805.2347265835</v>
      </c>
      <c r="AD15" s="6">
        <f t="shared" si="12"/>
        <v>121018.57409131341</v>
      </c>
      <c r="AE15" s="6">
        <f t="shared" si="12"/>
        <v>131094.23186927848</v>
      </c>
    </row>
    <row r="16" spans="1:31" s="5" customFormat="1" x14ac:dyDescent="0.2">
      <c r="B16" s="5" t="s">
        <v>22</v>
      </c>
      <c r="C16" s="6"/>
      <c r="D16" s="6"/>
      <c r="E16" s="6"/>
      <c r="F16" s="6"/>
      <c r="G16" s="6">
        <f t="shared" ref="G16:H16" si="13">G12-G15</f>
        <v>26152</v>
      </c>
      <c r="H16" s="6">
        <f t="shared" si="13"/>
        <v>28882</v>
      </c>
      <c r="I16" s="6">
        <f>I12-I15</f>
        <v>28661</v>
      </c>
      <c r="J16" s="6">
        <f t="shared" ref="J16:M16" si="14">J12-J15</f>
        <v>32161</v>
      </c>
      <c r="K16" s="6">
        <f t="shared" si="14"/>
        <v>31671</v>
      </c>
      <c r="L16" s="6">
        <f t="shared" si="14"/>
        <v>34768</v>
      </c>
      <c r="M16" s="6">
        <f t="shared" si="14"/>
        <v>33745</v>
      </c>
      <c r="N16" s="6">
        <f t="shared" ref="N16" si="15">N12-N15</f>
        <v>35436</v>
      </c>
      <c r="T16" s="6">
        <f t="shared" ref="T16:V16" si="16">T12-T15</f>
        <v>82933</v>
      </c>
      <c r="U16" s="6">
        <f t="shared" si="16"/>
        <v>96937</v>
      </c>
      <c r="V16" s="6">
        <f t="shared" ref="V16:X16" si="17">V12-V15</f>
        <v>115856</v>
      </c>
      <c r="W16" s="6">
        <f t="shared" si="17"/>
        <v>135620</v>
      </c>
      <c r="X16" s="6">
        <f>+X12*0.67</f>
        <v>150150.29640000002</v>
      </c>
      <c r="Y16" s="6">
        <f t="shared" ref="Y16:AE16" si="18">+Y12*0.67</f>
        <v>166766.71153200002</v>
      </c>
      <c r="Z16" s="6">
        <f t="shared" si="18"/>
        <v>179894.78331396004</v>
      </c>
      <c r="AA16" s="6">
        <f t="shared" si="18"/>
        <v>194229.20429297886</v>
      </c>
      <c r="AB16" s="6">
        <f t="shared" si="18"/>
        <v>209887.41564932824</v>
      </c>
      <c r="AC16" s="6">
        <f t="shared" si="18"/>
        <v>226998.5068691241</v>
      </c>
      <c r="AD16" s="6">
        <f t="shared" si="18"/>
        <v>245704.37770054542</v>
      </c>
      <c r="AE16" s="6">
        <f t="shared" si="18"/>
        <v>266161.01621944417</v>
      </c>
    </row>
    <row r="17" spans="2:89" s="5" customFormat="1" x14ac:dyDescent="0.2">
      <c r="B17" s="5" t="s">
        <v>25</v>
      </c>
      <c r="C17" s="6"/>
      <c r="D17" s="6"/>
      <c r="E17" s="6"/>
      <c r="F17" s="6"/>
      <c r="G17" s="6">
        <v>4926</v>
      </c>
      <c r="H17" s="6">
        <v>4899</v>
      </c>
      <c r="I17" s="6">
        <v>5204</v>
      </c>
      <c r="J17" s="6">
        <v>5687</v>
      </c>
      <c r="K17" s="6">
        <v>5599</v>
      </c>
      <c r="L17" s="6">
        <v>5758</v>
      </c>
      <c r="M17" s="6">
        <v>6306</v>
      </c>
      <c r="N17" s="6">
        <v>6849</v>
      </c>
      <c r="T17" s="5">
        <v>16876</v>
      </c>
      <c r="U17" s="6">
        <v>19269</v>
      </c>
      <c r="V17" s="6">
        <f>SUM(G17:J17)</f>
        <v>20716</v>
      </c>
      <c r="W17" s="6">
        <f t="shared" ref="W17:X19" si="19">SUM(K17:N17)</f>
        <v>24512</v>
      </c>
      <c r="X17" s="6">
        <f>+W17*1.1</f>
        <v>26963.200000000001</v>
      </c>
      <c r="Y17" s="6">
        <f t="shared" ref="Y17:AE17" si="20">+X17*1.1</f>
        <v>29659.520000000004</v>
      </c>
      <c r="Z17" s="6">
        <f t="shared" si="20"/>
        <v>32625.472000000009</v>
      </c>
      <c r="AA17" s="6">
        <f t="shared" si="20"/>
        <v>35888.01920000001</v>
      </c>
      <c r="AB17" s="6">
        <f t="shared" si="20"/>
        <v>39476.821120000015</v>
      </c>
      <c r="AC17" s="6">
        <f t="shared" si="20"/>
        <v>43424.503232000017</v>
      </c>
      <c r="AD17" s="6">
        <f t="shared" si="20"/>
        <v>47766.953555200023</v>
      </c>
      <c r="AE17" s="6">
        <f t="shared" si="20"/>
        <v>52543.648910720032</v>
      </c>
    </row>
    <row r="18" spans="2:89" s="5" customFormat="1" x14ac:dyDescent="0.2">
      <c r="B18" s="5" t="s">
        <v>26</v>
      </c>
      <c r="C18" s="6"/>
      <c r="D18" s="6"/>
      <c r="E18" s="6"/>
      <c r="F18" s="6"/>
      <c r="G18" s="6">
        <v>4231</v>
      </c>
      <c r="H18" s="6">
        <v>4947</v>
      </c>
      <c r="I18" s="6">
        <v>5082</v>
      </c>
      <c r="J18" s="6">
        <v>5857</v>
      </c>
      <c r="K18" s="6">
        <v>4547</v>
      </c>
      <c r="L18" s="6">
        <v>5379</v>
      </c>
      <c r="M18" s="6">
        <v>5595</v>
      </c>
      <c r="N18" s="6">
        <v>6304</v>
      </c>
      <c r="T18" s="5">
        <v>18213</v>
      </c>
      <c r="U18" s="6">
        <v>19598</v>
      </c>
      <c r="V18" s="6">
        <f>SUM(G18:J18)</f>
        <v>20117</v>
      </c>
      <c r="W18" s="6">
        <f t="shared" si="19"/>
        <v>21825</v>
      </c>
      <c r="X18" s="6">
        <f>+W18*1.1</f>
        <v>24007.500000000004</v>
      </c>
      <c r="Y18" s="6">
        <f t="shared" ref="Y18:AE18" si="21">+X18*1.1</f>
        <v>26408.250000000007</v>
      </c>
      <c r="Z18" s="6">
        <f t="shared" si="21"/>
        <v>29049.075000000012</v>
      </c>
      <c r="AA18" s="6">
        <f t="shared" si="21"/>
        <v>31953.982500000016</v>
      </c>
      <c r="AB18" s="6">
        <f t="shared" si="21"/>
        <v>35149.380750000018</v>
      </c>
      <c r="AC18" s="6">
        <f t="shared" si="21"/>
        <v>38664.318825000024</v>
      </c>
      <c r="AD18" s="6">
        <f t="shared" si="21"/>
        <v>42530.750707500032</v>
      </c>
      <c r="AE18" s="6">
        <f t="shared" si="21"/>
        <v>46783.825778250037</v>
      </c>
    </row>
    <row r="19" spans="2:89" s="5" customFormat="1" x14ac:dyDescent="0.2">
      <c r="B19" s="5" t="s">
        <v>27</v>
      </c>
      <c r="C19" s="6"/>
      <c r="D19" s="6"/>
      <c r="E19" s="6"/>
      <c r="F19" s="6"/>
      <c r="G19" s="6">
        <v>1119</v>
      </c>
      <c r="H19" s="6">
        <v>1139</v>
      </c>
      <c r="I19" s="6">
        <v>1327</v>
      </c>
      <c r="J19" s="6">
        <v>1522</v>
      </c>
      <c r="K19" s="6">
        <v>1287</v>
      </c>
      <c r="L19" s="6">
        <v>1384</v>
      </c>
      <c r="M19" s="6">
        <v>1480</v>
      </c>
      <c r="N19" s="6">
        <v>1749</v>
      </c>
      <c r="T19" s="5">
        <v>4885</v>
      </c>
      <c r="U19" s="6">
        <v>5111</v>
      </c>
      <c r="V19" s="6">
        <f>SUM(G19:J19)</f>
        <v>5107</v>
      </c>
      <c r="W19" s="6">
        <f t="shared" si="19"/>
        <v>5900</v>
      </c>
      <c r="X19" s="6">
        <f>+W19*1.1</f>
        <v>6490.0000000000009</v>
      </c>
      <c r="Y19" s="6">
        <f t="shared" ref="Y19:AE19" si="22">+X19*1.1</f>
        <v>7139.0000000000018</v>
      </c>
      <c r="Z19" s="6">
        <f t="shared" si="22"/>
        <v>7852.9000000000024</v>
      </c>
      <c r="AA19" s="6">
        <f t="shared" si="22"/>
        <v>8638.1900000000041</v>
      </c>
      <c r="AB19" s="6">
        <f t="shared" si="22"/>
        <v>9502.0090000000055</v>
      </c>
      <c r="AC19" s="6">
        <f t="shared" si="22"/>
        <v>10452.209900000007</v>
      </c>
      <c r="AD19" s="6">
        <f t="shared" si="22"/>
        <v>11497.430890000009</v>
      </c>
      <c r="AE19" s="6">
        <f t="shared" si="22"/>
        <v>12647.17397900001</v>
      </c>
    </row>
    <row r="20" spans="2:89" s="5" customFormat="1" x14ac:dyDescent="0.2">
      <c r="B20" s="5" t="s">
        <v>23</v>
      </c>
      <c r="C20" s="6"/>
      <c r="D20" s="6"/>
      <c r="E20" s="6"/>
      <c r="F20" s="6"/>
      <c r="G20" s="6">
        <f t="shared" ref="G20:L20" si="23">SUM(G17:G19)</f>
        <v>10276</v>
      </c>
      <c r="H20" s="6">
        <f t="shared" si="23"/>
        <v>10985</v>
      </c>
      <c r="I20" s="6">
        <f t="shared" si="23"/>
        <v>11613</v>
      </c>
      <c r="J20" s="6">
        <f t="shared" si="23"/>
        <v>13066</v>
      </c>
      <c r="K20" s="6">
        <f t="shared" si="23"/>
        <v>11433</v>
      </c>
      <c r="L20" s="6">
        <f t="shared" si="23"/>
        <v>12521</v>
      </c>
      <c r="M20" s="6">
        <f>SUM(M17:M19)</f>
        <v>13381</v>
      </c>
      <c r="N20" s="6">
        <f t="shared" ref="N20" si="24">SUM(N17:N19)</f>
        <v>14902</v>
      </c>
      <c r="T20" s="6">
        <f t="shared" ref="T20" si="25">SUM(T17:T19)</f>
        <v>39974</v>
      </c>
      <c r="U20" s="6">
        <f t="shared" ref="U20" si="26">SUM(U17:U19)</f>
        <v>43978</v>
      </c>
      <c r="V20" s="6">
        <f t="shared" ref="V20:X20" si="27">SUM(V17:V19)</f>
        <v>45940</v>
      </c>
      <c r="W20" s="6">
        <f t="shared" si="27"/>
        <v>52237</v>
      </c>
      <c r="X20" s="6">
        <f t="shared" si="27"/>
        <v>57460.700000000004</v>
      </c>
      <c r="Y20" s="6">
        <f t="shared" ref="Y20" si="28">SUM(Y17:Y19)</f>
        <v>63206.770000000011</v>
      </c>
      <c r="Z20" s="6">
        <f t="shared" ref="Z20" si="29">SUM(Z17:Z19)</f>
        <v>69527.447000000029</v>
      </c>
      <c r="AA20" s="6">
        <f t="shared" ref="AA20" si="30">SUM(AA17:AA19)</f>
        <v>76480.191700000025</v>
      </c>
      <c r="AB20" s="6">
        <f t="shared" ref="AB20" si="31">SUM(AB17:AB19)</f>
        <v>84128.210870000039</v>
      </c>
      <c r="AC20" s="6">
        <f t="shared" ref="AC20" si="32">SUM(AC17:AC19)</f>
        <v>92541.031957000043</v>
      </c>
      <c r="AD20" s="6">
        <f t="shared" ref="AD20" si="33">SUM(AD17:AD19)</f>
        <v>101795.13515270005</v>
      </c>
      <c r="AE20" s="6">
        <f t="shared" ref="AE20" si="34">SUM(AE17:AE19)</f>
        <v>111974.64866797009</v>
      </c>
    </row>
    <row r="21" spans="2:89" s="5" customFormat="1" x14ac:dyDescent="0.2">
      <c r="B21" s="5" t="s">
        <v>24</v>
      </c>
      <c r="C21" s="6"/>
      <c r="D21" s="6"/>
      <c r="E21" s="6"/>
      <c r="F21" s="6"/>
      <c r="G21" s="6">
        <f t="shared" ref="G21:L21" si="35">G16-G20</f>
        <v>15876</v>
      </c>
      <c r="H21" s="6">
        <f t="shared" si="35"/>
        <v>17897</v>
      </c>
      <c r="I21" s="6">
        <f t="shared" si="35"/>
        <v>17048</v>
      </c>
      <c r="J21" s="6">
        <f t="shared" si="35"/>
        <v>19095</v>
      </c>
      <c r="K21" s="6">
        <f t="shared" si="35"/>
        <v>20238</v>
      </c>
      <c r="L21" s="6">
        <f t="shared" si="35"/>
        <v>22247</v>
      </c>
      <c r="M21" s="6">
        <f>M16-M20</f>
        <v>20364</v>
      </c>
      <c r="N21" s="6">
        <f t="shared" ref="N21" si="36">N16-N20</f>
        <v>20534</v>
      </c>
      <c r="T21" s="6">
        <f t="shared" ref="T21" si="37">T16-T20</f>
        <v>42959</v>
      </c>
      <c r="U21" s="6">
        <f t="shared" ref="U21" si="38">U16-U20</f>
        <v>52959</v>
      </c>
      <c r="V21" s="6">
        <f t="shared" ref="V21:X21" si="39">V16-V20</f>
        <v>69916</v>
      </c>
      <c r="W21" s="6">
        <f t="shared" si="39"/>
        <v>83383</v>
      </c>
      <c r="X21" s="6">
        <f t="shared" si="39"/>
        <v>92689.596400000009</v>
      </c>
      <c r="Y21" s="6">
        <f t="shared" ref="Y21" si="40">Y16-Y20</f>
        <v>103559.941532</v>
      </c>
      <c r="Z21" s="6">
        <f t="shared" ref="Z21" si="41">Z16-Z20</f>
        <v>110367.33631396001</v>
      </c>
      <c r="AA21" s="6">
        <f t="shared" ref="AA21" si="42">AA16-AA20</f>
        <v>117749.01259297883</v>
      </c>
      <c r="AB21" s="6">
        <f t="shared" ref="AB21" si="43">AB16-AB20</f>
        <v>125759.2047793282</v>
      </c>
      <c r="AC21" s="6">
        <f t="shared" ref="AC21" si="44">AC16-AC20</f>
        <v>134457.47491212405</v>
      </c>
      <c r="AD21" s="6">
        <f t="shared" ref="AD21" si="45">AD16-AD20</f>
        <v>143909.24254784535</v>
      </c>
      <c r="AE21" s="6">
        <f t="shared" ref="AE21" si="46">AE16-AE20</f>
        <v>154186.36755147408</v>
      </c>
    </row>
    <row r="22" spans="2:89" x14ac:dyDescent="0.2">
      <c r="B22" s="5" t="s">
        <v>28</v>
      </c>
      <c r="G22" s="2">
        <v>248</v>
      </c>
      <c r="H22" s="2">
        <v>440</v>
      </c>
      <c r="I22" s="2">
        <v>188</v>
      </c>
      <c r="J22" s="2">
        <v>310</v>
      </c>
      <c r="K22" s="2">
        <v>286</v>
      </c>
      <c r="L22" s="2">
        <v>268</v>
      </c>
      <c r="M22" s="2">
        <v>-174</v>
      </c>
      <c r="N22" s="2">
        <v>-47</v>
      </c>
      <c r="T22" s="5">
        <v>729</v>
      </c>
      <c r="U22" s="2">
        <v>77</v>
      </c>
      <c r="V22" s="6">
        <f>SUM(G22:J22)</f>
        <v>1186</v>
      </c>
      <c r="W22" s="6">
        <f t="shared" ref="W22" si="47">SUM(K22:N22)</f>
        <v>333</v>
      </c>
      <c r="X22" s="6">
        <f>+W33*$AH$30</f>
        <v>618.66999999999996</v>
      </c>
      <c r="Y22" s="6">
        <f t="shared" ref="Y22:AE22" si="48">+X33*$AH$30</f>
        <v>1411.7902643999998</v>
      </c>
      <c r="Z22" s="6">
        <f t="shared" si="48"/>
        <v>2304.0499846693997</v>
      </c>
      <c r="AA22" s="6">
        <f t="shared" si="48"/>
        <v>3261.7567682077497</v>
      </c>
      <c r="AB22" s="6">
        <f t="shared" si="48"/>
        <v>4290.3483077778355</v>
      </c>
      <c r="AC22" s="6">
        <f t="shared" si="48"/>
        <v>5395.7695090182369</v>
      </c>
      <c r="AD22" s="6">
        <f t="shared" si="48"/>
        <v>6584.5220865979463</v>
      </c>
      <c r="AE22" s="6">
        <f t="shared" si="48"/>
        <v>7863.7190859907141</v>
      </c>
    </row>
    <row r="23" spans="2:89" x14ac:dyDescent="0.2">
      <c r="B23" s="5" t="s">
        <v>29</v>
      </c>
      <c r="C23" s="6"/>
      <c r="D23" s="6"/>
      <c r="E23" s="6"/>
      <c r="F23" s="6"/>
      <c r="G23" s="6">
        <f>G21+G22</f>
        <v>16124</v>
      </c>
      <c r="H23" s="6">
        <f t="shared" ref="H23:N23" si="49">H21+H22</f>
        <v>18337</v>
      </c>
      <c r="I23" s="6">
        <f t="shared" si="49"/>
        <v>17236</v>
      </c>
      <c r="J23" s="6">
        <f t="shared" si="49"/>
        <v>19405</v>
      </c>
      <c r="K23" s="6">
        <f t="shared" si="49"/>
        <v>20524</v>
      </c>
      <c r="L23" s="6">
        <f t="shared" si="49"/>
        <v>22515</v>
      </c>
      <c r="M23" s="6">
        <f t="shared" si="49"/>
        <v>20190</v>
      </c>
      <c r="N23" s="6">
        <f t="shared" si="49"/>
        <v>20487</v>
      </c>
      <c r="T23" s="5">
        <f>+T21+T22</f>
        <v>43688</v>
      </c>
      <c r="U23" s="6">
        <f>+U21+U22</f>
        <v>53036</v>
      </c>
      <c r="V23" s="6">
        <f t="shared" ref="V23:X23" si="50">+V21+V22</f>
        <v>71102</v>
      </c>
      <c r="W23" s="6">
        <f t="shared" si="50"/>
        <v>83716</v>
      </c>
      <c r="X23" s="6">
        <f t="shared" si="50"/>
        <v>93308.266400000008</v>
      </c>
      <c r="Y23" s="6">
        <f t="shared" ref="Y23" si="51">+Y21+Y22</f>
        <v>104971.7317964</v>
      </c>
      <c r="Z23" s="6">
        <f t="shared" ref="Z23" si="52">+Z21+Z22</f>
        <v>112671.38629862941</v>
      </c>
      <c r="AA23" s="6">
        <f t="shared" ref="AA23" si="53">+AA21+AA22</f>
        <v>121010.76936118658</v>
      </c>
      <c r="AB23" s="6">
        <f t="shared" ref="AB23" si="54">+AB21+AB22</f>
        <v>130049.55308710603</v>
      </c>
      <c r="AC23" s="6">
        <f t="shared" ref="AC23" si="55">+AC21+AC22</f>
        <v>139853.24442114227</v>
      </c>
      <c r="AD23" s="6">
        <f t="shared" ref="AD23" si="56">+AD21+AD22</f>
        <v>150493.7646344433</v>
      </c>
      <c r="AE23" s="6">
        <f t="shared" ref="AE23" si="57">+AE21+AE22</f>
        <v>162050.08663746479</v>
      </c>
    </row>
    <row r="24" spans="2:89" s="5" customFormat="1" x14ac:dyDescent="0.2">
      <c r="B24" s="5" t="s">
        <v>30</v>
      </c>
      <c r="C24" s="6"/>
      <c r="D24" s="6"/>
      <c r="E24" s="6"/>
      <c r="F24" s="6"/>
      <c r="G24" s="6">
        <v>2231</v>
      </c>
      <c r="H24" s="6">
        <v>2874</v>
      </c>
      <c r="I24" s="6">
        <v>1779</v>
      </c>
      <c r="J24" s="6">
        <v>2947</v>
      </c>
      <c r="K24" s="6">
        <v>19</v>
      </c>
      <c r="L24" s="6">
        <v>3750</v>
      </c>
      <c r="M24" s="6">
        <v>3462</v>
      </c>
      <c r="N24" s="6">
        <v>3747</v>
      </c>
      <c r="T24" s="5">
        <v>4448</v>
      </c>
      <c r="U24" s="6">
        <v>8755</v>
      </c>
      <c r="V24" s="6">
        <f>SUM(G24:J24)</f>
        <v>9831</v>
      </c>
      <c r="W24" s="6">
        <f t="shared" ref="W24" si="58">SUM(K24:N24)</f>
        <v>10978</v>
      </c>
      <c r="X24" s="6">
        <f>+X23*0.15</f>
        <v>13996.239960000001</v>
      </c>
      <c r="Y24" s="6">
        <f t="shared" ref="Y24:AE24" si="59">+Y23*0.15</f>
        <v>15745.759769459999</v>
      </c>
      <c r="Z24" s="6">
        <f t="shared" si="59"/>
        <v>16900.707944794412</v>
      </c>
      <c r="AA24" s="6">
        <f t="shared" si="59"/>
        <v>18151.615404177988</v>
      </c>
      <c r="AB24" s="6">
        <f t="shared" si="59"/>
        <v>19507.432963065905</v>
      </c>
      <c r="AC24" s="6">
        <f t="shared" si="59"/>
        <v>20977.986663171341</v>
      </c>
      <c r="AD24" s="6">
        <f t="shared" si="59"/>
        <v>22574.064695166493</v>
      </c>
      <c r="AE24" s="6">
        <f t="shared" si="59"/>
        <v>24307.512995619716</v>
      </c>
    </row>
    <row r="25" spans="2:89" s="5" customFormat="1" x14ac:dyDescent="0.2">
      <c r="B25" s="5" t="s">
        <v>31</v>
      </c>
      <c r="C25" s="6"/>
      <c r="D25" s="6"/>
      <c r="E25" s="6"/>
      <c r="F25" s="6"/>
      <c r="G25" s="6">
        <f>G23-G24</f>
        <v>13893</v>
      </c>
      <c r="H25" s="6">
        <f t="shared" ref="H25:N25" si="60">H23-H24</f>
        <v>15463</v>
      </c>
      <c r="I25" s="6">
        <f t="shared" si="60"/>
        <v>15457</v>
      </c>
      <c r="J25" s="6">
        <f t="shared" si="60"/>
        <v>16458</v>
      </c>
      <c r="K25" s="6">
        <f t="shared" si="60"/>
        <v>20505</v>
      </c>
      <c r="L25" s="6">
        <f t="shared" si="60"/>
        <v>18765</v>
      </c>
      <c r="M25" s="6">
        <f t="shared" si="60"/>
        <v>16728</v>
      </c>
      <c r="N25" s="6">
        <f t="shared" si="60"/>
        <v>16740</v>
      </c>
      <c r="T25" s="5">
        <f>+T23-T24</f>
        <v>39240</v>
      </c>
      <c r="U25" s="5">
        <f>+U23-U24</f>
        <v>44281</v>
      </c>
      <c r="V25" s="5">
        <f t="shared" ref="V25:X26" si="61">+V23-V24</f>
        <v>61271</v>
      </c>
      <c r="W25" s="5">
        <f t="shared" si="61"/>
        <v>72738</v>
      </c>
      <c r="X25" s="5">
        <f t="shared" si="61"/>
        <v>79312.026440000001</v>
      </c>
      <c r="Y25" s="5">
        <f t="shared" ref="Y25" si="62">+Y23-Y24</f>
        <v>89225.972026939999</v>
      </c>
      <c r="Z25" s="5">
        <f t="shared" ref="Z25" si="63">+Z23-Z24</f>
        <v>95770.678353834999</v>
      </c>
      <c r="AA25" s="5">
        <f t="shared" ref="AA25" si="64">+AA23-AA24</f>
        <v>102859.15395700859</v>
      </c>
      <c r="AB25" s="5">
        <f t="shared" ref="AB25" si="65">+AB23-AB24</f>
        <v>110542.12012404013</v>
      </c>
      <c r="AC25" s="5">
        <f t="shared" ref="AC25" si="66">+AC23-AC24</f>
        <v>118875.25775797093</v>
      </c>
      <c r="AD25" s="5">
        <f t="shared" ref="AD25" si="67">+AD23-AD24</f>
        <v>127919.6999392768</v>
      </c>
      <c r="AE25" s="5">
        <f t="shared" ref="AE25" si="68">+AE23-AE24</f>
        <v>137742.57364184508</v>
      </c>
      <c r="AF25" s="5">
        <f>+AE25*(1+$AH$28)</f>
        <v>137742.57364184508</v>
      </c>
      <c r="AG25" s="5">
        <f t="shared" ref="AG25:CK25" si="69">+AF25*(1+$AH$28)</f>
        <v>137742.57364184508</v>
      </c>
      <c r="AH25" s="5">
        <f t="shared" si="69"/>
        <v>137742.57364184508</v>
      </c>
      <c r="AI25" s="5">
        <f t="shared" si="69"/>
        <v>137742.57364184508</v>
      </c>
      <c r="AJ25" s="5">
        <f t="shared" si="69"/>
        <v>137742.57364184508</v>
      </c>
      <c r="AK25" s="5">
        <f t="shared" si="69"/>
        <v>137742.57364184508</v>
      </c>
      <c r="AL25" s="5">
        <f t="shared" si="69"/>
        <v>137742.57364184508</v>
      </c>
      <c r="AM25" s="5">
        <f t="shared" si="69"/>
        <v>137742.57364184508</v>
      </c>
      <c r="AN25" s="5">
        <f t="shared" si="69"/>
        <v>137742.57364184508</v>
      </c>
      <c r="AO25" s="5">
        <f t="shared" si="69"/>
        <v>137742.57364184508</v>
      </c>
      <c r="AP25" s="5">
        <f t="shared" si="69"/>
        <v>137742.57364184508</v>
      </c>
      <c r="AQ25" s="5">
        <f t="shared" si="69"/>
        <v>137742.57364184508</v>
      </c>
      <c r="AR25" s="5">
        <f t="shared" si="69"/>
        <v>137742.57364184508</v>
      </c>
      <c r="AS25" s="5">
        <f t="shared" si="69"/>
        <v>137742.57364184508</v>
      </c>
      <c r="AT25" s="5">
        <f t="shared" si="69"/>
        <v>137742.57364184508</v>
      </c>
      <c r="AU25" s="5">
        <f t="shared" si="69"/>
        <v>137742.57364184508</v>
      </c>
      <c r="AV25" s="5">
        <f t="shared" si="69"/>
        <v>137742.57364184508</v>
      </c>
      <c r="AW25" s="5">
        <f t="shared" si="69"/>
        <v>137742.57364184508</v>
      </c>
      <c r="AX25" s="5">
        <f t="shared" si="69"/>
        <v>137742.57364184508</v>
      </c>
      <c r="AY25" s="5">
        <f t="shared" si="69"/>
        <v>137742.57364184508</v>
      </c>
      <c r="AZ25" s="5">
        <f t="shared" si="69"/>
        <v>137742.57364184508</v>
      </c>
      <c r="BA25" s="5">
        <f t="shared" si="69"/>
        <v>137742.57364184508</v>
      </c>
      <c r="BB25" s="5">
        <f t="shared" si="69"/>
        <v>137742.57364184508</v>
      </c>
      <c r="BC25" s="5">
        <f t="shared" si="69"/>
        <v>137742.57364184508</v>
      </c>
      <c r="BD25" s="5">
        <f t="shared" si="69"/>
        <v>137742.57364184508</v>
      </c>
      <c r="BE25" s="5">
        <f t="shared" si="69"/>
        <v>137742.57364184508</v>
      </c>
      <c r="BF25" s="5">
        <f t="shared" si="69"/>
        <v>137742.57364184508</v>
      </c>
      <c r="BG25" s="5">
        <f t="shared" si="69"/>
        <v>137742.57364184508</v>
      </c>
      <c r="BH25" s="5">
        <f t="shared" si="69"/>
        <v>137742.57364184508</v>
      </c>
      <c r="BI25" s="5">
        <f t="shared" si="69"/>
        <v>137742.57364184508</v>
      </c>
      <c r="BJ25" s="5">
        <f t="shared" si="69"/>
        <v>137742.57364184508</v>
      </c>
      <c r="BK25" s="5">
        <f t="shared" si="69"/>
        <v>137742.57364184508</v>
      </c>
      <c r="BL25" s="5">
        <f t="shared" si="69"/>
        <v>137742.57364184508</v>
      </c>
      <c r="BM25" s="5">
        <f t="shared" si="69"/>
        <v>137742.57364184508</v>
      </c>
      <c r="BN25" s="5">
        <f t="shared" si="69"/>
        <v>137742.57364184508</v>
      </c>
      <c r="BO25" s="5">
        <f t="shared" si="69"/>
        <v>137742.57364184508</v>
      </c>
      <c r="BP25" s="5">
        <f t="shared" si="69"/>
        <v>137742.57364184508</v>
      </c>
      <c r="BQ25" s="5">
        <f t="shared" si="69"/>
        <v>137742.57364184508</v>
      </c>
      <c r="BR25" s="5">
        <f t="shared" si="69"/>
        <v>137742.57364184508</v>
      </c>
      <c r="BS25" s="5">
        <f t="shared" si="69"/>
        <v>137742.57364184508</v>
      </c>
      <c r="BT25" s="5">
        <f t="shared" si="69"/>
        <v>137742.57364184508</v>
      </c>
      <c r="BU25" s="5">
        <f t="shared" si="69"/>
        <v>137742.57364184508</v>
      </c>
      <c r="BV25" s="5">
        <f t="shared" si="69"/>
        <v>137742.57364184508</v>
      </c>
      <c r="BW25" s="5">
        <f t="shared" si="69"/>
        <v>137742.57364184508</v>
      </c>
      <c r="BX25" s="5">
        <f t="shared" si="69"/>
        <v>137742.57364184508</v>
      </c>
      <c r="BY25" s="5">
        <f t="shared" si="69"/>
        <v>137742.57364184508</v>
      </c>
      <c r="BZ25" s="5">
        <f t="shared" si="69"/>
        <v>137742.57364184508</v>
      </c>
      <c r="CA25" s="5">
        <f t="shared" si="69"/>
        <v>137742.57364184508</v>
      </c>
      <c r="CB25" s="5">
        <f t="shared" si="69"/>
        <v>137742.57364184508</v>
      </c>
      <c r="CC25" s="5">
        <f t="shared" si="69"/>
        <v>137742.57364184508</v>
      </c>
      <c r="CD25" s="5">
        <f t="shared" si="69"/>
        <v>137742.57364184508</v>
      </c>
      <c r="CE25" s="5">
        <f t="shared" si="69"/>
        <v>137742.57364184508</v>
      </c>
      <c r="CF25" s="5">
        <f t="shared" si="69"/>
        <v>137742.57364184508</v>
      </c>
      <c r="CG25" s="5">
        <f t="shared" si="69"/>
        <v>137742.57364184508</v>
      </c>
      <c r="CH25" s="5">
        <f t="shared" si="69"/>
        <v>137742.57364184508</v>
      </c>
      <c r="CI25" s="5">
        <f t="shared" si="69"/>
        <v>137742.57364184508</v>
      </c>
      <c r="CJ25" s="5">
        <f t="shared" si="69"/>
        <v>137742.57364184508</v>
      </c>
      <c r="CK25" s="5">
        <f t="shared" si="69"/>
        <v>137742.57364184508</v>
      </c>
    </row>
    <row r="26" spans="2:89" s="4" customFormat="1" x14ac:dyDescent="0.2">
      <c r="B26" s="7" t="s">
        <v>33</v>
      </c>
      <c r="C26" s="9"/>
      <c r="D26" s="9"/>
      <c r="E26" s="9"/>
      <c r="F26" s="9"/>
      <c r="G26" s="9">
        <f t="shared" ref="G26:L26" si="70">G25/G27</f>
        <v>1.8191698310855047</v>
      </c>
      <c r="H26" s="9">
        <f t="shared" si="70"/>
        <v>2.0303308823529411</v>
      </c>
      <c r="I26" s="9">
        <f t="shared" si="70"/>
        <v>2.0346189285244174</v>
      </c>
      <c r="J26" s="9">
        <f t="shared" si="70"/>
        <v>2.1709537000395724</v>
      </c>
      <c r="K26" s="9">
        <f t="shared" si="70"/>
        <v>2.7097925201532971</v>
      </c>
      <c r="L26" s="9">
        <f t="shared" si="70"/>
        <v>2.4837855724685638</v>
      </c>
      <c r="M26" s="9">
        <f>M25/M27</f>
        <v>2.2203344836740113</v>
      </c>
      <c r="N26" s="9">
        <f>N25/N27</f>
        <v>2.2302158273381294</v>
      </c>
      <c r="T26" s="13">
        <f>+T25/T27</f>
        <v>5.0612666064749128</v>
      </c>
      <c r="U26" s="13">
        <f>+U25/U27</f>
        <v>5.7635038396459715</v>
      </c>
      <c r="V26" s="13">
        <f t="shared" ref="V26:X26" si="71">+V25/V27</f>
        <v>8.0537609674345241</v>
      </c>
      <c r="W26" s="13">
        <f t="shared" si="71"/>
        <v>9.6463099263974534</v>
      </c>
      <c r="X26" s="13">
        <f t="shared" si="71"/>
        <v>10.566483671729284</v>
      </c>
      <c r="Y26" s="13">
        <f t="shared" ref="Y26" si="72">+Y25/Y27</f>
        <v>11.887286441105783</v>
      </c>
      <c r="Z26" s="13">
        <f t="shared" ref="Z26" si="73">+Z25/Z27</f>
        <v>12.759216407385425</v>
      </c>
      <c r="AA26" s="13">
        <f t="shared" ref="AA26" si="74">+AA25/AA27</f>
        <v>13.703590988143963</v>
      </c>
      <c r="AB26" s="13">
        <f t="shared" ref="AB26" si="75">+AB25/AB27</f>
        <v>14.727167615779393</v>
      </c>
      <c r="AC26" s="13">
        <f t="shared" ref="AC26" si="76">+AC25/AC27</f>
        <v>15.837364476148538</v>
      </c>
      <c r="AD26" s="13">
        <f t="shared" ref="AD26" si="77">+AD25/AD27</f>
        <v>17.042326130998774</v>
      </c>
      <c r="AE26" s="13">
        <f t="shared" ref="AE26" si="78">+AE25/AE27</f>
        <v>18.350995689028121</v>
      </c>
    </row>
    <row r="27" spans="2:89" s="5" customFormat="1" x14ac:dyDescent="0.2">
      <c r="B27" s="5" t="s">
        <v>32</v>
      </c>
      <c r="C27" s="6"/>
      <c r="D27" s="6"/>
      <c r="E27" s="6"/>
      <c r="F27" s="6"/>
      <c r="G27" s="6">
        <v>7637</v>
      </c>
      <c r="H27" s="6">
        <v>7616</v>
      </c>
      <c r="I27" s="6">
        <v>7597</v>
      </c>
      <c r="J27" s="6">
        <v>7581</v>
      </c>
      <c r="K27" s="6">
        <v>7567</v>
      </c>
      <c r="L27" s="6">
        <v>7555</v>
      </c>
      <c r="M27" s="6">
        <v>7534</v>
      </c>
      <c r="N27" s="6">
        <v>7506</v>
      </c>
      <c r="T27" s="5">
        <v>7753</v>
      </c>
      <c r="U27" s="6">
        <v>7683</v>
      </c>
      <c r="V27" s="6">
        <f>AVERAGE(G27:J27)</f>
        <v>7607.75</v>
      </c>
      <c r="W27" s="6">
        <f>AVERAGE(K27:N27)</f>
        <v>7540.5</v>
      </c>
      <c r="X27" s="6">
        <f>+N27</f>
        <v>7506</v>
      </c>
      <c r="Y27" s="6">
        <f>+X27</f>
        <v>7506</v>
      </c>
      <c r="Z27" s="6">
        <f t="shared" ref="Z27:AE27" si="79">+Y27</f>
        <v>7506</v>
      </c>
      <c r="AA27" s="6">
        <f t="shared" si="79"/>
        <v>7506</v>
      </c>
      <c r="AB27" s="6">
        <f t="shared" si="79"/>
        <v>7506</v>
      </c>
      <c r="AC27" s="6">
        <f t="shared" si="79"/>
        <v>7506</v>
      </c>
      <c r="AD27" s="6">
        <f t="shared" si="79"/>
        <v>7506</v>
      </c>
      <c r="AE27" s="6">
        <f t="shared" si="79"/>
        <v>7506</v>
      </c>
    </row>
    <row r="28" spans="2:89" x14ac:dyDescent="0.2">
      <c r="O28" s="2"/>
      <c r="Y28" s="2"/>
      <c r="Z28" s="2"/>
      <c r="AA28" s="2"/>
      <c r="AB28" s="2"/>
      <c r="AC28" s="2"/>
      <c r="AD28" s="2"/>
      <c r="AE28" s="2"/>
      <c r="AG28" t="s">
        <v>99</v>
      </c>
      <c r="AH28" s="14">
        <v>0</v>
      </c>
    </row>
    <row r="29" spans="2:89" s="4" customFormat="1" x14ac:dyDescent="0.2">
      <c r="B29" s="7" t="s">
        <v>34</v>
      </c>
      <c r="C29" s="11"/>
      <c r="D29" s="11"/>
      <c r="E29" s="11"/>
      <c r="F29" s="11"/>
      <c r="G29" s="11"/>
      <c r="H29" s="11"/>
      <c r="I29" s="11"/>
      <c r="J29" s="11"/>
      <c r="K29" s="11">
        <f t="shared" ref="K29" si="80">K12/G12-1</f>
        <v>0.21970716477364483</v>
      </c>
      <c r="L29" s="11">
        <f t="shared" ref="L29" si="81">L12/H12-1</f>
        <v>0.2008543040208004</v>
      </c>
      <c r="M29" s="11">
        <f>M12/I12-1</f>
        <v>0.18352275451973332</v>
      </c>
      <c r="N29" s="11">
        <f t="shared" ref="N29" si="82">N12/J12-1</f>
        <v>0.12378661813139202</v>
      </c>
      <c r="U29" s="11">
        <f>+U12/T12-1</f>
        <v>0.13645574247276371</v>
      </c>
      <c r="V29" s="11">
        <f>+V12/U12-1</f>
        <v>0.17531727441177503</v>
      </c>
      <c r="W29" s="11">
        <f>+W12/V12-1</f>
        <v>0.17956070629670173</v>
      </c>
      <c r="X29" s="11">
        <f>+X12/W12-1</f>
        <v>0.13030170978968081</v>
      </c>
      <c r="Y29" s="11">
        <f t="shared" ref="Y29:AE29" si="83">+Y12/X12-1</f>
        <v>0.1106652169885427</v>
      </c>
      <c r="Z29" s="11">
        <f t="shared" si="83"/>
        <v>7.8721176794572356E-2</v>
      </c>
      <c r="AA29" s="11">
        <f t="shared" si="83"/>
        <v>7.9682249340170097E-2</v>
      </c>
      <c r="AB29" s="11">
        <f t="shared" si="83"/>
        <v>8.0617183257005065E-2</v>
      </c>
      <c r="AC29" s="11">
        <f t="shared" si="83"/>
        <v>8.1525093664426507E-2</v>
      </c>
      <c r="AD29" s="11">
        <f t="shared" si="83"/>
        <v>8.2405259353561133E-2</v>
      </c>
      <c r="AE29" s="11">
        <f t="shared" si="83"/>
        <v>8.3257118616870907E-2</v>
      </c>
      <c r="AG29" s="4" t="s">
        <v>98</v>
      </c>
      <c r="AH29" s="15">
        <v>7.0000000000000007E-2</v>
      </c>
    </row>
    <row r="30" spans="2:89" x14ac:dyDescent="0.2">
      <c r="B30" s="5" t="s">
        <v>22</v>
      </c>
      <c r="C30" s="10"/>
      <c r="D30" s="10"/>
      <c r="E30" s="10"/>
      <c r="F30" s="10"/>
      <c r="G30" s="10">
        <f t="shared" ref="G30:H30" si="84">G16/G12</f>
        <v>0.70388114334930285</v>
      </c>
      <c r="H30" s="10">
        <f t="shared" si="84"/>
        <v>0.67048936762930633</v>
      </c>
      <c r="I30" s="10">
        <f>I16/I12</f>
        <v>0.68721526878626582</v>
      </c>
      <c r="J30" s="10">
        <f t="shared" ref="J30:M30" si="85">J16/J12</f>
        <v>0.69684954064829263</v>
      </c>
      <c r="K30" s="10">
        <f t="shared" si="85"/>
        <v>0.6988768012004325</v>
      </c>
      <c r="L30" s="10">
        <f t="shared" si="85"/>
        <v>0.67213114754098358</v>
      </c>
      <c r="M30" s="10">
        <f t="shared" si="85"/>
        <v>0.68365072933549431</v>
      </c>
      <c r="N30" s="10">
        <f t="shared" ref="N30" si="86">N16/N12</f>
        <v>0.68323532247180174</v>
      </c>
      <c r="T30" s="10">
        <f t="shared" ref="T30:X30" si="87">T16/T12</f>
        <v>0.65901957200638894</v>
      </c>
      <c r="U30" s="10">
        <f t="shared" si="87"/>
        <v>0.67781001992797962</v>
      </c>
      <c r="V30" s="10">
        <f t="shared" si="87"/>
        <v>0.68925800771024703</v>
      </c>
      <c r="W30" s="10">
        <f t="shared" si="87"/>
        <v>0.68401674484289099</v>
      </c>
      <c r="X30" s="10">
        <f t="shared" si="87"/>
        <v>0.67</v>
      </c>
      <c r="Y30" s="10">
        <f t="shared" ref="Y30:AE30" si="88">Y16/Y12</f>
        <v>0.67</v>
      </c>
      <c r="Z30" s="10">
        <f t="shared" si="88"/>
        <v>0.67</v>
      </c>
      <c r="AA30" s="10">
        <f t="shared" si="88"/>
        <v>0.67</v>
      </c>
      <c r="AB30" s="10">
        <f t="shared" si="88"/>
        <v>0.67</v>
      </c>
      <c r="AC30" s="10">
        <f t="shared" si="88"/>
        <v>0.67</v>
      </c>
      <c r="AD30" s="10">
        <f t="shared" si="88"/>
        <v>0.67</v>
      </c>
      <c r="AE30" s="10">
        <f t="shared" si="88"/>
        <v>0.67</v>
      </c>
      <c r="AG30" t="s">
        <v>100</v>
      </c>
      <c r="AH30" s="14">
        <v>0.01</v>
      </c>
    </row>
    <row r="31" spans="2:89" x14ac:dyDescent="0.2">
      <c r="B31" s="5" t="s">
        <v>90</v>
      </c>
      <c r="C31" s="10"/>
      <c r="D31" s="10"/>
      <c r="E31" s="10"/>
      <c r="F31" s="10"/>
      <c r="G31" s="10">
        <f>+G24/G23</f>
        <v>0.13836516993301909</v>
      </c>
      <c r="H31" s="10">
        <f t="shared" ref="H31:N31" si="89">+H24/H23</f>
        <v>0.15673228990565524</v>
      </c>
      <c r="I31" s="10">
        <f t="shared" si="89"/>
        <v>0.10321420283128337</v>
      </c>
      <c r="J31" s="10">
        <f t="shared" si="89"/>
        <v>0.15186807523834064</v>
      </c>
      <c r="K31" s="10">
        <f t="shared" si="89"/>
        <v>9.2574546871954783E-4</v>
      </c>
      <c r="L31" s="10">
        <f t="shared" si="89"/>
        <v>0.16655562958027981</v>
      </c>
      <c r="M31" s="10">
        <f t="shared" si="89"/>
        <v>0.17147102526002972</v>
      </c>
      <c r="N31" s="10">
        <f t="shared" si="89"/>
        <v>0.18289647093278666</v>
      </c>
      <c r="T31" s="10">
        <f t="shared" ref="T31:X31" si="90">+T24/T23</f>
        <v>0.10181285478850027</v>
      </c>
      <c r="U31" s="10">
        <f t="shared" si="90"/>
        <v>0.16507655177615205</v>
      </c>
      <c r="V31" s="10">
        <f t="shared" si="90"/>
        <v>0.13826615285083402</v>
      </c>
      <c r="W31" s="10">
        <f t="shared" si="90"/>
        <v>0.13113383343685794</v>
      </c>
      <c r="X31" s="10">
        <f t="shared" si="90"/>
        <v>0.15</v>
      </c>
      <c r="Y31" s="10">
        <f t="shared" ref="Y31:AE31" si="91">+Y24/Y23</f>
        <v>0.15</v>
      </c>
      <c r="Z31" s="10">
        <f t="shared" si="91"/>
        <v>0.15</v>
      </c>
      <c r="AA31" s="10">
        <f t="shared" si="91"/>
        <v>0.15</v>
      </c>
      <c r="AB31" s="10">
        <f t="shared" si="91"/>
        <v>0.15</v>
      </c>
      <c r="AC31" s="10">
        <f t="shared" si="91"/>
        <v>0.15</v>
      </c>
      <c r="AD31" s="10">
        <f t="shared" si="91"/>
        <v>0.15</v>
      </c>
      <c r="AE31" s="10">
        <f t="shared" si="91"/>
        <v>0.15</v>
      </c>
      <c r="AG31" t="s">
        <v>101</v>
      </c>
      <c r="AH31" s="5">
        <f>NPV(AH29,X25:CK25)+Main!L5-Main!L6</f>
        <v>1810856.2720202641</v>
      </c>
    </row>
    <row r="32" spans="2:89" x14ac:dyDescent="0.2">
      <c r="AH32" s="1">
        <f>+AH31/Main!L3</f>
        <v>240.35788054423469</v>
      </c>
    </row>
    <row r="33" spans="2:31" x14ac:dyDescent="0.2">
      <c r="B33" t="s">
        <v>83</v>
      </c>
      <c r="N33" s="6">
        <f>+N34-N45</f>
        <v>61867</v>
      </c>
      <c r="W33" s="6">
        <f>+N33</f>
        <v>61867</v>
      </c>
      <c r="X33" s="6">
        <f>+W33+X25</f>
        <v>141179.02643999999</v>
      </c>
      <c r="Y33" s="6">
        <f t="shared" ref="Y33:AE33" si="92">+X33+Y25</f>
        <v>230404.99846693999</v>
      </c>
      <c r="Z33" s="6">
        <f t="shared" si="92"/>
        <v>326175.67682077497</v>
      </c>
      <c r="AA33" s="6">
        <f t="shared" si="92"/>
        <v>429034.83077778353</v>
      </c>
      <c r="AB33" s="6">
        <f t="shared" si="92"/>
        <v>539576.9509018237</v>
      </c>
      <c r="AC33" s="6">
        <f t="shared" si="92"/>
        <v>658452.20865979465</v>
      </c>
      <c r="AD33" s="6">
        <f t="shared" si="92"/>
        <v>786371.90859907144</v>
      </c>
      <c r="AE33" s="6">
        <f t="shared" si="92"/>
        <v>924114.48224091646</v>
      </c>
    </row>
    <row r="34" spans="2:31" s="5" customFormat="1" x14ac:dyDescent="0.2">
      <c r="B34" s="5" t="s">
        <v>3</v>
      </c>
      <c r="C34" s="6"/>
      <c r="D34" s="6"/>
      <c r="E34" s="6"/>
      <c r="F34" s="6"/>
      <c r="G34" s="6"/>
      <c r="H34" s="6"/>
      <c r="I34" s="6"/>
      <c r="J34" s="6"/>
      <c r="K34" s="6">
        <f>130615+6393</f>
        <v>137008</v>
      </c>
      <c r="L34" s="6">
        <f>125369+6994</f>
        <v>132363</v>
      </c>
      <c r="M34" s="6">
        <f>104693+6907</f>
        <v>111600</v>
      </c>
      <c r="N34" s="6">
        <f>104757+6891</f>
        <v>111648</v>
      </c>
      <c r="U34" s="6"/>
      <c r="V34" s="6"/>
      <c r="W34" s="6"/>
      <c r="X34" s="6"/>
    </row>
    <row r="35" spans="2:31" s="5" customFormat="1" x14ac:dyDescent="0.2">
      <c r="B35" s="5" t="s">
        <v>36</v>
      </c>
      <c r="C35" s="6"/>
      <c r="D35" s="6"/>
      <c r="E35" s="6"/>
      <c r="F35" s="6"/>
      <c r="G35" s="6"/>
      <c r="H35" s="6"/>
      <c r="I35" s="6"/>
      <c r="J35" s="6"/>
      <c r="K35" s="6">
        <v>27349</v>
      </c>
      <c r="L35" s="6">
        <v>33520</v>
      </c>
      <c r="M35" s="6">
        <v>32613</v>
      </c>
      <c r="N35" s="6">
        <v>44261</v>
      </c>
      <c r="U35" s="6"/>
      <c r="V35" s="6"/>
      <c r="W35" s="6"/>
      <c r="X35" s="6"/>
    </row>
    <row r="36" spans="2:31" s="5" customFormat="1" x14ac:dyDescent="0.2">
      <c r="B36" s="5" t="s">
        <v>37</v>
      </c>
      <c r="C36" s="6"/>
      <c r="D36" s="6"/>
      <c r="E36" s="6"/>
      <c r="F36" s="6"/>
      <c r="G36" s="6"/>
      <c r="H36" s="6"/>
      <c r="I36" s="6"/>
      <c r="J36" s="6"/>
      <c r="K36" s="6">
        <v>3411</v>
      </c>
      <c r="L36" s="6">
        <v>3019</v>
      </c>
      <c r="M36" s="6">
        <v>3296</v>
      </c>
      <c r="N36" s="6">
        <v>3742</v>
      </c>
      <c r="U36" s="6"/>
      <c r="V36" s="6"/>
      <c r="W36" s="6"/>
      <c r="X36" s="6"/>
    </row>
    <row r="37" spans="2:31" s="5" customFormat="1" x14ac:dyDescent="0.2">
      <c r="B37" s="5" t="s">
        <v>38</v>
      </c>
      <c r="C37" s="6"/>
      <c r="D37" s="6"/>
      <c r="E37" s="6"/>
      <c r="F37" s="6"/>
      <c r="G37" s="6"/>
      <c r="H37" s="6"/>
      <c r="I37" s="6"/>
      <c r="J37" s="6"/>
      <c r="K37" s="6">
        <v>12951</v>
      </c>
      <c r="L37" s="6">
        <v>12280</v>
      </c>
      <c r="M37" s="6">
        <v>13320</v>
      </c>
      <c r="N37" s="6">
        <v>16924</v>
      </c>
      <c r="U37" s="6"/>
      <c r="V37" s="6"/>
      <c r="W37" s="6"/>
      <c r="X37" s="6"/>
    </row>
    <row r="38" spans="2:31" s="5" customFormat="1" x14ac:dyDescent="0.2">
      <c r="B38" s="5" t="s">
        <v>39</v>
      </c>
      <c r="C38" s="6"/>
      <c r="D38" s="6"/>
      <c r="E38" s="6"/>
      <c r="F38" s="6"/>
      <c r="G38" s="6"/>
      <c r="H38" s="6"/>
      <c r="I38" s="6"/>
      <c r="J38" s="6"/>
      <c r="K38" s="6">
        <v>63772</v>
      </c>
      <c r="L38" s="6">
        <v>67214</v>
      </c>
      <c r="M38" s="6">
        <v>70298</v>
      </c>
      <c r="N38" s="6">
        <v>74398</v>
      </c>
      <c r="U38" s="6"/>
      <c r="V38" s="6"/>
      <c r="W38" s="6"/>
      <c r="X38" s="6"/>
    </row>
    <row r="39" spans="2:31" s="5" customFormat="1" x14ac:dyDescent="0.2">
      <c r="B39" s="5" t="s">
        <v>40</v>
      </c>
      <c r="C39" s="6"/>
      <c r="D39" s="6"/>
      <c r="E39" s="6"/>
      <c r="F39" s="6"/>
      <c r="G39" s="6"/>
      <c r="H39" s="6"/>
      <c r="I39" s="6"/>
      <c r="J39" s="6"/>
      <c r="K39" s="6">
        <v>11575</v>
      </c>
      <c r="L39" s="6">
        <v>12354</v>
      </c>
      <c r="M39" s="6">
        <v>12916</v>
      </c>
      <c r="N39" s="6">
        <v>13148</v>
      </c>
      <c r="U39" s="6"/>
      <c r="V39" s="6"/>
      <c r="W39" s="6"/>
      <c r="X39" s="6"/>
    </row>
    <row r="40" spans="2:31" s="5" customFormat="1" x14ac:dyDescent="0.2">
      <c r="B40" s="5" t="s">
        <v>41</v>
      </c>
      <c r="C40" s="6"/>
      <c r="D40" s="6"/>
      <c r="E40" s="6"/>
      <c r="F40" s="6"/>
      <c r="G40" s="6"/>
      <c r="H40" s="6"/>
      <c r="I40" s="6"/>
      <c r="J40" s="6"/>
      <c r="K40" s="6">
        <f>50455+7794</f>
        <v>58249</v>
      </c>
      <c r="L40" s="6">
        <f>50921+7462</f>
        <v>58383</v>
      </c>
      <c r="M40" s="6">
        <f>67371+11348</f>
        <v>78719</v>
      </c>
      <c r="N40" s="6">
        <f>67524+11298</f>
        <v>78822</v>
      </c>
      <c r="U40" s="6"/>
      <c r="V40" s="6"/>
      <c r="W40" s="6"/>
      <c r="X40" s="6"/>
    </row>
    <row r="41" spans="2:31" s="5" customFormat="1" x14ac:dyDescent="0.2">
      <c r="B41" s="5" t="s">
        <v>43</v>
      </c>
      <c r="C41" s="6"/>
      <c r="D41" s="6"/>
      <c r="E41" s="6"/>
      <c r="F41" s="6"/>
      <c r="G41" s="6"/>
      <c r="H41" s="6"/>
      <c r="I41" s="6"/>
      <c r="J41" s="6"/>
      <c r="K41" s="6">
        <v>21103</v>
      </c>
      <c r="L41" s="6">
        <v>21256</v>
      </c>
      <c r="M41" s="6">
        <v>21845</v>
      </c>
      <c r="N41" s="6">
        <v>21897</v>
      </c>
      <c r="U41" s="6"/>
      <c r="V41" s="6"/>
      <c r="W41" s="6"/>
      <c r="X41" s="6"/>
    </row>
    <row r="42" spans="2:31" s="7" customFormat="1" x14ac:dyDescent="0.2">
      <c r="B42" s="7" t="s">
        <v>42</v>
      </c>
      <c r="C42" s="8"/>
      <c r="D42" s="8"/>
      <c r="E42" s="8"/>
      <c r="F42" s="8"/>
      <c r="G42" s="8"/>
      <c r="H42" s="8"/>
      <c r="I42" s="8"/>
      <c r="J42" s="8"/>
      <c r="K42" s="8">
        <f t="shared" ref="K42" si="93">SUM(K34:K41)</f>
        <v>335418</v>
      </c>
      <c r="L42" s="8">
        <f t="shared" ref="L42" si="94">SUM(L34:L41)</f>
        <v>340389</v>
      </c>
      <c r="M42" s="8">
        <f>SUM(M34:M41)</f>
        <v>344607</v>
      </c>
      <c r="N42" s="8">
        <f>SUM(N34:N41)</f>
        <v>364840</v>
      </c>
      <c r="U42" s="8"/>
      <c r="V42" s="8"/>
      <c r="W42" s="8"/>
      <c r="X42" s="8"/>
    </row>
    <row r="44" spans="2:31" s="5" customFormat="1" x14ac:dyDescent="0.2">
      <c r="B44" s="5" t="s">
        <v>44</v>
      </c>
      <c r="C44" s="6"/>
      <c r="D44" s="6"/>
      <c r="E44" s="6"/>
      <c r="F44" s="6"/>
      <c r="G44" s="6"/>
      <c r="H44" s="6"/>
      <c r="I44" s="6"/>
      <c r="J44" s="6"/>
      <c r="K44" s="6">
        <v>14832</v>
      </c>
      <c r="L44" s="6">
        <v>15314</v>
      </c>
      <c r="M44" s="6">
        <v>16085</v>
      </c>
      <c r="N44" s="6">
        <v>19000</v>
      </c>
      <c r="U44" s="6"/>
      <c r="V44" s="6"/>
      <c r="W44" s="6"/>
      <c r="X44" s="6"/>
    </row>
    <row r="45" spans="2:31" s="5" customFormat="1" x14ac:dyDescent="0.2">
      <c r="B45" s="5" t="s">
        <v>4</v>
      </c>
      <c r="C45" s="6"/>
      <c r="D45" s="6"/>
      <c r="E45" s="6"/>
      <c r="F45" s="6"/>
      <c r="G45" s="6"/>
      <c r="H45" s="6"/>
      <c r="I45" s="6"/>
      <c r="J45" s="6"/>
      <c r="K45" s="6">
        <f>3249+50039</f>
        <v>53288</v>
      </c>
      <c r="L45" s="6">
        <f>4998+48260</f>
        <v>53258</v>
      </c>
      <c r="M45" s="6">
        <f>1749+48177</f>
        <v>49926</v>
      </c>
      <c r="N45" s="6">
        <f>2749+47032</f>
        <v>49781</v>
      </c>
      <c r="U45" s="6"/>
      <c r="V45" s="6"/>
      <c r="W45" s="6"/>
      <c r="X45" s="6"/>
    </row>
    <row r="46" spans="2:31" s="5" customFormat="1" x14ac:dyDescent="0.2">
      <c r="B46" s="5" t="s">
        <v>46</v>
      </c>
      <c r="C46" s="6"/>
      <c r="D46" s="6"/>
      <c r="E46" s="6"/>
      <c r="F46" s="6"/>
      <c r="G46" s="6"/>
      <c r="H46" s="6"/>
      <c r="I46" s="6"/>
      <c r="J46" s="6"/>
      <c r="K46" s="6">
        <v>6894</v>
      </c>
      <c r="L46" s="6">
        <v>7782</v>
      </c>
      <c r="M46" s="6">
        <v>9067</v>
      </c>
      <c r="N46" s="6">
        <v>10661</v>
      </c>
      <c r="U46" s="6"/>
      <c r="V46" s="6"/>
      <c r="W46" s="6"/>
      <c r="X46" s="6"/>
    </row>
    <row r="47" spans="2:31" s="5" customFormat="1" x14ac:dyDescent="0.2">
      <c r="B47" s="5" t="s">
        <v>30</v>
      </c>
      <c r="C47" s="6"/>
      <c r="D47" s="6"/>
      <c r="E47" s="6"/>
      <c r="F47" s="6"/>
      <c r="G47" s="6"/>
      <c r="H47" s="6"/>
      <c r="I47" s="6"/>
      <c r="J47" s="6"/>
      <c r="K47" s="6">
        <f>6272+25715+212</f>
        <v>32199</v>
      </c>
      <c r="L47" s="6">
        <f>3731+26121+199</f>
        <v>30051</v>
      </c>
      <c r="M47" s="6">
        <f>4646+26483+304</f>
        <v>31433</v>
      </c>
      <c r="N47" s="6">
        <f>4067+26069+230</f>
        <v>30366</v>
      </c>
      <c r="U47" s="6"/>
      <c r="V47" s="6"/>
      <c r="W47" s="6"/>
      <c r="X47" s="6"/>
    </row>
    <row r="48" spans="2:31" s="5" customFormat="1" x14ac:dyDescent="0.2">
      <c r="B48" s="5" t="s">
        <v>45</v>
      </c>
      <c r="C48" s="6"/>
      <c r="D48" s="6"/>
      <c r="E48" s="6"/>
      <c r="F48" s="6"/>
      <c r="G48" s="6"/>
      <c r="H48" s="6"/>
      <c r="I48" s="6"/>
      <c r="J48" s="6"/>
      <c r="K48" s="6">
        <f>2550+38465</f>
        <v>41015</v>
      </c>
      <c r="L48" s="6">
        <f>2768+34001</f>
        <v>36769</v>
      </c>
      <c r="M48" s="6">
        <f>34027+2769</f>
        <v>36796</v>
      </c>
      <c r="N48" s="6">
        <f>45538+2870</f>
        <v>48408</v>
      </c>
      <c r="U48" s="6"/>
      <c r="V48" s="6"/>
      <c r="W48" s="6"/>
      <c r="X48" s="6"/>
    </row>
    <row r="49" spans="2:24" s="5" customFormat="1" x14ac:dyDescent="0.2">
      <c r="B49" s="5" t="s">
        <v>47</v>
      </c>
      <c r="C49" s="6"/>
      <c r="D49" s="6"/>
      <c r="E49" s="6"/>
      <c r="F49" s="6"/>
      <c r="G49" s="6"/>
      <c r="H49" s="6"/>
      <c r="I49" s="6"/>
      <c r="J49" s="6"/>
      <c r="K49" s="6">
        <v>10816</v>
      </c>
      <c r="L49" s="6">
        <v>11684</v>
      </c>
      <c r="M49" s="6">
        <v>11865</v>
      </c>
      <c r="N49" s="6">
        <v>13067</v>
      </c>
      <c r="U49" s="6"/>
      <c r="V49" s="6"/>
      <c r="W49" s="6"/>
      <c r="X49" s="6"/>
    </row>
    <row r="50" spans="2:24" s="5" customFormat="1" x14ac:dyDescent="0.2">
      <c r="B50" s="5" t="s">
        <v>40</v>
      </c>
      <c r="C50" s="6"/>
      <c r="D50" s="6"/>
      <c r="E50" s="6"/>
      <c r="F50" s="6"/>
      <c r="G50" s="6"/>
      <c r="H50" s="6"/>
      <c r="I50" s="6"/>
      <c r="J50" s="6"/>
      <c r="K50" s="6">
        <v>10050</v>
      </c>
      <c r="L50" s="6">
        <v>10774</v>
      </c>
      <c r="M50" s="6">
        <v>11357</v>
      </c>
      <c r="N50" s="6">
        <v>11489</v>
      </c>
      <c r="U50" s="6"/>
      <c r="V50" s="6"/>
      <c r="W50" s="6"/>
      <c r="X50" s="6"/>
    </row>
    <row r="51" spans="2:24" s="5" customFormat="1" x14ac:dyDescent="0.2">
      <c r="B51" s="5" t="s">
        <v>49</v>
      </c>
      <c r="C51" s="6"/>
      <c r="D51" s="6"/>
      <c r="E51" s="6"/>
      <c r="F51" s="6"/>
      <c r="G51" s="6"/>
      <c r="H51" s="6"/>
      <c r="I51" s="6"/>
      <c r="J51" s="6"/>
      <c r="K51" s="6">
        <v>14346</v>
      </c>
      <c r="L51" s="6">
        <v>14747</v>
      </c>
      <c r="M51" s="6">
        <v>15154</v>
      </c>
      <c r="N51" s="6">
        <v>15526</v>
      </c>
      <c r="U51" s="6"/>
      <c r="V51" s="6"/>
      <c r="W51" s="6"/>
      <c r="X51" s="6"/>
    </row>
    <row r="52" spans="2:24" s="5" customFormat="1" x14ac:dyDescent="0.2">
      <c r="B52" s="5" t="s">
        <v>48</v>
      </c>
      <c r="C52" s="6"/>
      <c r="D52" s="6"/>
      <c r="E52" s="6"/>
      <c r="F52" s="6"/>
      <c r="G52" s="6"/>
      <c r="H52" s="6"/>
      <c r="I52" s="6"/>
      <c r="J52" s="6"/>
      <c r="K52" s="6">
        <v>151978</v>
      </c>
      <c r="L52" s="6">
        <v>160010</v>
      </c>
      <c r="M52" s="6">
        <v>162924</v>
      </c>
      <c r="N52" s="6">
        <v>166542</v>
      </c>
      <c r="U52" s="6"/>
      <c r="V52" s="6"/>
      <c r="W52" s="6"/>
      <c r="X52" s="6"/>
    </row>
    <row r="53" spans="2:24" s="7" customFormat="1" x14ac:dyDescent="0.2">
      <c r="B53" s="7" t="s">
        <v>72</v>
      </c>
      <c r="C53" s="8"/>
      <c r="D53" s="8"/>
      <c r="E53" s="8"/>
      <c r="F53" s="8"/>
      <c r="G53" s="8"/>
      <c r="H53" s="8"/>
      <c r="I53" s="8"/>
      <c r="J53" s="8"/>
      <c r="K53" s="8">
        <f t="shared" ref="K53:L53" si="95">SUM(K44:K52)</f>
        <v>335418</v>
      </c>
      <c r="L53" s="8">
        <f t="shared" si="95"/>
        <v>340389</v>
      </c>
      <c r="M53" s="8">
        <f>SUM(M44:M52)</f>
        <v>344607</v>
      </c>
      <c r="N53" s="8">
        <f>SUM(N44:N52)</f>
        <v>364840</v>
      </c>
      <c r="U53" s="8"/>
      <c r="V53" s="8"/>
      <c r="W53" s="8"/>
      <c r="X53" s="8"/>
    </row>
    <row r="55" spans="2:24" s="5" customFormat="1" x14ac:dyDescent="0.2">
      <c r="B55" s="5" t="s">
        <v>50</v>
      </c>
      <c r="C55" s="6"/>
      <c r="D55" s="6"/>
      <c r="E55" s="6"/>
      <c r="F55" s="6"/>
      <c r="G55" s="6"/>
      <c r="H55" s="6"/>
      <c r="I55" s="6"/>
      <c r="J55" s="6"/>
      <c r="K55" s="6">
        <f t="shared" ref="K55" si="96">K25</f>
        <v>20505</v>
      </c>
      <c r="L55" s="6">
        <f>L25</f>
        <v>18765</v>
      </c>
      <c r="M55" s="6">
        <f>M25</f>
        <v>16728</v>
      </c>
      <c r="N55" s="6">
        <f>N25</f>
        <v>16740</v>
      </c>
      <c r="U55" s="6"/>
      <c r="V55" s="6"/>
      <c r="W55" s="6"/>
      <c r="X55" s="6"/>
    </row>
    <row r="56" spans="2:24" s="5" customFormat="1" x14ac:dyDescent="0.2">
      <c r="B56" s="5" t="s">
        <v>51</v>
      </c>
      <c r="C56" s="6"/>
      <c r="D56" s="6"/>
      <c r="E56" s="6"/>
      <c r="F56" s="6"/>
      <c r="G56" s="6"/>
      <c r="H56" s="6"/>
      <c r="I56" s="6"/>
      <c r="J56" s="6"/>
      <c r="K56" s="6">
        <v>20505</v>
      </c>
      <c r="L56" s="6">
        <v>18765</v>
      </c>
      <c r="M56" s="6">
        <v>16728</v>
      </c>
      <c r="N56" s="6">
        <v>16740</v>
      </c>
      <c r="U56" s="6"/>
      <c r="V56" s="6"/>
      <c r="W56" s="6"/>
      <c r="X56" s="6"/>
    </row>
    <row r="57" spans="2:24" s="5" customFormat="1" x14ac:dyDescent="0.2">
      <c r="B57" s="5" t="s">
        <v>53</v>
      </c>
      <c r="C57" s="6"/>
      <c r="D57" s="6"/>
      <c r="E57" s="6"/>
      <c r="F57" s="6"/>
      <c r="G57" s="6"/>
      <c r="H57" s="6"/>
      <c r="I57" s="6"/>
      <c r="J57" s="6"/>
      <c r="K57" s="6">
        <v>3212</v>
      </c>
      <c r="L57" s="6">
        <v>3496</v>
      </c>
      <c r="M57" s="6">
        <v>3773</v>
      </c>
      <c r="N57" s="6">
        <v>3979</v>
      </c>
      <c r="U57" s="6"/>
      <c r="V57" s="6"/>
      <c r="W57" s="6"/>
      <c r="X57" s="6"/>
    </row>
    <row r="58" spans="2:24" s="5" customFormat="1" x14ac:dyDescent="0.2">
      <c r="B58" s="5" t="s">
        <v>54</v>
      </c>
      <c r="C58" s="6"/>
      <c r="D58" s="6"/>
      <c r="E58" s="6"/>
      <c r="F58" s="6"/>
      <c r="G58" s="6"/>
      <c r="H58" s="6"/>
      <c r="I58" s="6"/>
      <c r="J58" s="6"/>
      <c r="K58" s="6">
        <v>1702</v>
      </c>
      <c r="L58" s="6">
        <v>1897</v>
      </c>
      <c r="M58" s="6">
        <v>1906</v>
      </c>
      <c r="N58" s="6">
        <v>1997</v>
      </c>
      <c r="U58" s="6"/>
      <c r="V58" s="6"/>
      <c r="W58" s="6"/>
      <c r="X58" s="6"/>
    </row>
    <row r="59" spans="2:24" s="5" customFormat="1" x14ac:dyDescent="0.2">
      <c r="B59" s="5" t="s">
        <v>55</v>
      </c>
      <c r="C59" s="6"/>
      <c r="D59" s="6"/>
      <c r="E59" s="6"/>
      <c r="F59" s="6"/>
      <c r="G59" s="6"/>
      <c r="H59" s="6"/>
      <c r="I59" s="6"/>
      <c r="J59" s="6"/>
      <c r="K59" s="6">
        <v>-364</v>
      </c>
      <c r="L59" s="6">
        <v>-307</v>
      </c>
      <c r="M59" s="6">
        <v>105</v>
      </c>
      <c r="N59" s="6">
        <v>157</v>
      </c>
      <c r="U59" s="6"/>
      <c r="V59" s="6"/>
      <c r="W59" s="6"/>
      <c r="X59" s="6"/>
    </row>
    <row r="60" spans="2:24" s="5" customFormat="1" x14ac:dyDescent="0.2">
      <c r="B60" s="5" t="s">
        <v>56</v>
      </c>
      <c r="C60" s="6"/>
      <c r="D60" s="6"/>
      <c r="E60" s="6"/>
      <c r="F60" s="6"/>
      <c r="G60" s="6"/>
      <c r="H60" s="6"/>
      <c r="I60" s="6"/>
      <c r="J60" s="6"/>
      <c r="K60" s="6">
        <v>-5970</v>
      </c>
      <c r="L60" s="6">
        <v>183</v>
      </c>
      <c r="M60" s="6">
        <v>-198</v>
      </c>
      <c r="N60" s="6">
        <v>283</v>
      </c>
      <c r="U60" s="6"/>
      <c r="V60" s="6"/>
      <c r="W60" s="6"/>
      <c r="X60" s="6"/>
    </row>
    <row r="61" spans="2:24" s="5" customFormat="1" x14ac:dyDescent="0.2">
      <c r="B61" s="5" t="s">
        <v>57</v>
      </c>
      <c r="C61" s="6"/>
      <c r="D61" s="6"/>
      <c r="E61" s="6"/>
      <c r="F61" s="6"/>
      <c r="G61" s="6"/>
      <c r="H61" s="6"/>
      <c r="I61" s="6"/>
      <c r="J61" s="6"/>
      <c r="K61" s="6">
        <f>10486-777+940-598-471-2885+2653-4143+250</f>
        <v>5455</v>
      </c>
      <c r="L61" s="6">
        <f>-5543+394+830-908+235-4343-2057+1745+93</f>
        <v>-9554</v>
      </c>
      <c r="M61" s="6">
        <f>857-279+91-724+520-209+1091+1287+438</f>
        <v>3072</v>
      </c>
      <c r="N61" s="6">
        <f>-12634-461-2570-575+2659+12546-991+3455+44</f>
        <v>1473</v>
      </c>
      <c r="U61" s="6"/>
      <c r="V61" s="6"/>
      <c r="W61" s="6"/>
      <c r="X61" s="6"/>
    </row>
    <row r="62" spans="2:24" s="5" customFormat="1" x14ac:dyDescent="0.2">
      <c r="B62" s="5" t="s">
        <v>52</v>
      </c>
      <c r="C62" s="6"/>
      <c r="D62" s="6"/>
      <c r="E62" s="6"/>
      <c r="F62" s="6"/>
      <c r="G62" s="6"/>
      <c r="H62" s="6"/>
      <c r="I62" s="6"/>
      <c r="J62" s="6"/>
      <c r="K62" s="6">
        <f t="shared" ref="K62" si="97">SUM(K56:K61)</f>
        <v>24540</v>
      </c>
      <c r="L62" s="6">
        <f t="shared" ref="L62" si="98">SUM(L56:L61)</f>
        <v>14480</v>
      </c>
      <c r="M62" s="6">
        <f>SUM(M56:M61)</f>
        <v>25386</v>
      </c>
      <c r="N62" s="6">
        <f>SUM(N56:N61)</f>
        <v>24629</v>
      </c>
      <c r="U62" s="6"/>
      <c r="V62" s="6"/>
      <c r="W62" s="6"/>
      <c r="X62" s="6"/>
    </row>
    <row r="63" spans="2:24" s="5" customFormat="1" x14ac:dyDescent="0.2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U63" s="6"/>
      <c r="V63" s="6"/>
      <c r="W63" s="6"/>
      <c r="X63" s="6"/>
    </row>
    <row r="64" spans="2:24" s="5" customFormat="1" x14ac:dyDescent="0.2">
      <c r="B64" s="5" t="s">
        <v>59</v>
      </c>
      <c r="C64" s="6"/>
      <c r="D64" s="6"/>
      <c r="E64" s="6"/>
      <c r="F64" s="6"/>
      <c r="G64" s="6"/>
      <c r="H64" s="6"/>
      <c r="I64" s="6"/>
      <c r="J64" s="6"/>
      <c r="K64" s="6">
        <v>-5810</v>
      </c>
      <c r="L64" s="6">
        <v>-5865</v>
      </c>
      <c r="M64" s="6">
        <v>-5340</v>
      </c>
      <c r="N64" s="6">
        <v>-6871</v>
      </c>
      <c r="U64" s="6"/>
      <c r="V64" s="6"/>
      <c r="W64" s="6"/>
      <c r="X64" s="6"/>
    </row>
    <row r="65" spans="2:24" s="5" customFormat="1" x14ac:dyDescent="0.2">
      <c r="B65" s="5" t="s">
        <v>60</v>
      </c>
      <c r="C65" s="6"/>
      <c r="D65" s="6"/>
      <c r="E65" s="6"/>
      <c r="F65" s="6"/>
      <c r="G65" s="6"/>
      <c r="H65" s="6"/>
      <c r="I65" s="6"/>
      <c r="J65" s="6"/>
      <c r="K65" s="6">
        <v>-1206</v>
      </c>
      <c r="L65" s="6">
        <v>-850</v>
      </c>
      <c r="M65" s="6">
        <v>-18719</v>
      </c>
      <c r="N65" s="6">
        <v>-1263</v>
      </c>
      <c r="U65" s="6"/>
      <c r="V65" s="6"/>
      <c r="W65" s="6"/>
      <c r="X65" s="6"/>
    </row>
    <row r="66" spans="2:24" s="5" customFormat="1" x14ac:dyDescent="0.2">
      <c r="B66" s="5" t="s">
        <v>61</v>
      </c>
      <c r="C66" s="6"/>
      <c r="D66" s="6"/>
      <c r="E66" s="6"/>
      <c r="F66" s="6"/>
      <c r="G66" s="6"/>
      <c r="H66" s="6"/>
      <c r="I66" s="6"/>
      <c r="J66" s="6"/>
      <c r="K66" s="6">
        <f>-10309+8862+5630</f>
        <v>4183</v>
      </c>
      <c r="L66" s="6">
        <f>-2505+5253+2895</f>
        <v>5643</v>
      </c>
      <c r="M66" s="6">
        <f>-8723+1099+16693</f>
        <v>9069</v>
      </c>
      <c r="N66" s="6">
        <f>-4919+1237+3225</f>
        <v>-457</v>
      </c>
      <c r="U66" s="6"/>
      <c r="V66" s="6"/>
      <c r="W66" s="6"/>
      <c r="X66" s="6"/>
    </row>
    <row r="67" spans="2:24" s="5" customFormat="1" x14ac:dyDescent="0.2">
      <c r="B67" s="5" t="s">
        <v>28</v>
      </c>
      <c r="C67" s="6"/>
      <c r="D67" s="6"/>
      <c r="E67" s="6"/>
      <c r="F67" s="6"/>
      <c r="G67" s="6"/>
      <c r="H67" s="6"/>
      <c r="I67" s="6"/>
      <c r="J67" s="6"/>
      <c r="K67" s="6">
        <v>-417</v>
      </c>
      <c r="L67" s="6">
        <v>-89</v>
      </c>
      <c r="M67" s="6">
        <v>-1181</v>
      </c>
      <c r="N67" s="6">
        <v>-1138</v>
      </c>
      <c r="U67" s="6"/>
      <c r="V67" s="6"/>
      <c r="W67" s="6"/>
      <c r="X67" s="6"/>
    </row>
    <row r="68" spans="2:24" s="5" customFormat="1" x14ac:dyDescent="0.2">
      <c r="B68" s="5" t="s">
        <v>58</v>
      </c>
      <c r="C68" s="6"/>
      <c r="D68" s="6"/>
      <c r="E68" s="6"/>
      <c r="F68" s="6"/>
      <c r="G68" s="6"/>
      <c r="H68" s="6"/>
      <c r="I68" s="6"/>
      <c r="J68" s="6"/>
      <c r="K68" s="6">
        <f t="shared" ref="K68:L68" si="99">SUM(K64:K67)</f>
        <v>-3250</v>
      </c>
      <c r="L68" s="6">
        <f t="shared" si="99"/>
        <v>-1161</v>
      </c>
      <c r="M68" s="6">
        <f>SUM(M64:M67)</f>
        <v>-16171</v>
      </c>
      <c r="N68" s="6">
        <f>SUM(N64:N67)</f>
        <v>-9729</v>
      </c>
      <c r="U68" s="6"/>
      <c r="V68" s="6"/>
      <c r="W68" s="6"/>
      <c r="X68" s="6"/>
    </row>
    <row r="70" spans="2:24" s="5" customFormat="1" x14ac:dyDescent="0.2">
      <c r="B70" s="5" t="s">
        <v>62</v>
      </c>
      <c r="C70" s="6"/>
      <c r="D70" s="6"/>
      <c r="E70" s="6"/>
      <c r="F70" s="6"/>
      <c r="G70" s="6"/>
      <c r="H70" s="6"/>
      <c r="I70" s="6"/>
      <c r="J70" s="6"/>
      <c r="K70" s="6">
        <v>0</v>
      </c>
      <c r="L70" s="6">
        <v>0</v>
      </c>
      <c r="M70" s="6">
        <v>0</v>
      </c>
      <c r="N70" s="6">
        <v>0</v>
      </c>
      <c r="U70" s="6"/>
      <c r="V70" s="6"/>
      <c r="W70" s="6"/>
      <c r="X70" s="6"/>
    </row>
    <row r="71" spans="2:24" s="5" customFormat="1" x14ac:dyDescent="0.2">
      <c r="B71" s="5" t="s">
        <v>63</v>
      </c>
      <c r="C71" s="6"/>
      <c r="D71" s="6"/>
      <c r="E71" s="6"/>
      <c r="F71" s="6"/>
      <c r="G71" s="6"/>
      <c r="H71" s="6"/>
      <c r="I71" s="6"/>
      <c r="J71" s="6"/>
      <c r="K71" s="6">
        <v>-4826</v>
      </c>
      <c r="L71" s="6">
        <v>0</v>
      </c>
      <c r="M71" s="6">
        <v>-4197</v>
      </c>
      <c r="N71" s="6">
        <v>0</v>
      </c>
      <c r="U71" s="6"/>
      <c r="V71" s="6"/>
      <c r="W71" s="6"/>
      <c r="X71" s="6"/>
    </row>
    <row r="72" spans="2:24" s="5" customFormat="1" x14ac:dyDescent="0.2">
      <c r="B72" s="5" t="s">
        <v>64</v>
      </c>
      <c r="C72" s="6"/>
      <c r="D72" s="6"/>
      <c r="E72" s="6"/>
      <c r="F72" s="6"/>
      <c r="G72" s="6"/>
      <c r="H72" s="6"/>
      <c r="I72" s="6"/>
      <c r="J72" s="6"/>
      <c r="K72" s="6">
        <f>612-7684</f>
        <v>-7072</v>
      </c>
      <c r="L72" s="6">
        <f>291-7433</f>
        <v>-7142</v>
      </c>
      <c r="M72" s="6">
        <f>477-8822</f>
        <v>-8345</v>
      </c>
      <c r="N72" s="6">
        <f>-8757+461</f>
        <v>-8296</v>
      </c>
      <c r="U72" s="6"/>
      <c r="V72" s="6"/>
      <c r="W72" s="6"/>
      <c r="X72" s="6"/>
    </row>
    <row r="73" spans="2:24" s="5" customFormat="1" x14ac:dyDescent="0.2">
      <c r="B73" s="5" t="s">
        <v>65</v>
      </c>
      <c r="C73" s="6"/>
      <c r="D73" s="6"/>
      <c r="E73" s="6"/>
      <c r="F73" s="6"/>
      <c r="G73" s="6"/>
      <c r="H73" s="6"/>
      <c r="I73" s="6"/>
      <c r="J73" s="6"/>
      <c r="K73" s="6">
        <v>-4206</v>
      </c>
      <c r="L73" s="6">
        <v>-4652</v>
      </c>
      <c r="M73" s="6">
        <v>-4645</v>
      </c>
      <c r="N73" s="6">
        <v>-4632</v>
      </c>
      <c r="U73" s="6"/>
      <c r="V73" s="6"/>
      <c r="W73" s="6"/>
      <c r="X73" s="6"/>
    </row>
    <row r="74" spans="2:24" s="5" customFormat="1" x14ac:dyDescent="0.2">
      <c r="B74" s="5" t="s">
        <v>28</v>
      </c>
      <c r="C74" s="6"/>
      <c r="D74" s="6"/>
      <c r="E74" s="6"/>
      <c r="F74" s="6"/>
      <c r="G74" s="6"/>
      <c r="H74" s="6"/>
      <c r="I74" s="6"/>
      <c r="J74" s="6"/>
      <c r="K74" s="6">
        <v>-172</v>
      </c>
      <c r="L74" s="6">
        <v>-192</v>
      </c>
      <c r="M74" s="6">
        <v>-158</v>
      </c>
      <c r="N74" s="6">
        <v>-341</v>
      </c>
      <c r="U74" s="6"/>
      <c r="V74" s="6"/>
      <c r="W74" s="6"/>
      <c r="X74" s="6"/>
    </row>
    <row r="75" spans="2:24" s="5" customFormat="1" x14ac:dyDescent="0.2">
      <c r="B75" s="5" t="s">
        <v>66</v>
      </c>
      <c r="C75" s="6"/>
      <c r="D75" s="6"/>
      <c r="E75" s="6"/>
      <c r="F75" s="6"/>
      <c r="G75" s="6"/>
      <c r="H75" s="6"/>
      <c r="I75" s="6"/>
      <c r="J75" s="6"/>
      <c r="K75" s="6">
        <f t="shared" ref="K75" si="100">SUM(K70:K74)</f>
        <v>-16276</v>
      </c>
      <c r="L75" s="6">
        <f>SUM(L70:L74)</f>
        <v>-11986</v>
      </c>
      <c r="M75" s="6">
        <f>SUM(M70:M74)</f>
        <v>-17345</v>
      </c>
      <c r="N75" s="6">
        <f>SUM(N70:N74)</f>
        <v>-13269</v>
      </c>
      <c r="U75" s="6"/>
      <c r="V75" s="6"/>
      <c r="W75" s="6"/>
      <c r="X75" s="6"/>
    </row>
    <row r="76" spans="2:24" x14ac:dyDescent="0.2">
      <c r="B76" s="5" t="s">
        <v>67</v>
      </c>
      <c r="K76" s="2">
        <v>-73</v>
      </c>
      <c r="L76" s="2">
        <v>106</v>
      </c>
      <c r="M76" s="2">
        <v>24</v>
      </c>
      <c r="N76" s="2">
        <v>-198</v>
      </c>
    </row>
    <row r="77" spans="2:24" x14ac:dyDescent="0.2">
      <c r="B77" s="5" t="s">
        <v>68</v>
      </c>
      <c r="K77" s="6">
        <f t="shared" ref="K77" si="101">K75+K76+K68+K62</f>
        <v>4941</v>
      </c>
      <c r="L77" s="6">
        <f>L75+L76+L68+L62</f>
        <v>1439</v>
      </c>
      <c r="M77" s="6">
        <f>M75+M76+M68+M62</f>
        <v>-8106</v>
      </c>
      <c r="N77" s="6">
        <f>N75+N76+N68+N62</f>
        <v>1433</v>
      </c>
    </row>
    <row r="79" spans="2:24" x14ac:dyDescent="0.2">
      <c r="B79" s="5" t="s">
        <v>73</v>
      </c>
      <c r="K79" s="6">
        <f t="shared" ref="K79" si="102">K62+K64</f>
        <v>18730</v>
      </c>
      <c r="L79" s="6">
        <f>L62+L64</f>
        <v>8615</v>
      </c>
      <c r="M79" s="6">
        <f t="shared" ref="M79:N79" si="103">M62+M64</f>
        <v>20046</v>
      </c>
      <c r="N79" s="6">
        <f t="shared" si="103"/>
        <v>17758</v>
      </c>
    </row>
    <row r="80" spans="2:24" x14ac:dyDescent="0.2">
      <c r="L8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2022-07-14T12:26:44Z</dcterms:created>
  <dcterms:modified xsi:type="dcterms:W3CDTF">2022-07-27T13:17:08Z</dcterms:modified>
</cp:coreProperties>
</file>