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filterPrivacy="1" showInkAnnotation="0" defaultThemeVersion="166925"/>
  <xr:revisionPtr revIDLastSave="0" documentId="13_ncr:1_{16A34D13-7DB3-5349-9525-B00576612C7E}" xr6:coauthVersionLast="47" xr6:coauthVersionMax="47" xr10:uidLastSave="{00000000-0000-0000-0000-000000000000}"/>
  <bookViews>
    <workbookView xWindow="-21600" yWindow="-17020" windowWidth="21600" windowHeight="17020" firstSheet="4" activeTab="7" xr2:uid="{00000000-000D-0000-FFFF-FFFF00000000}"/>
  </bookViews>
  <sheets>
    <sheet name="People" sheetId="14" r:id="rId1"/>
    <sheet name="Glossary" sheetId="13" r:id="rId2"/>
    <sheet name="Historical" sheetId="12" r:id="rId3"/>
    <sheet name="Main" sheetId="1" r:id="rId4"/>
    <sheet name="Enterprise-Cloud" sheetId="10" r:id="rId5"/>
    <sheet name="Social-Dating" sheetId="9" r:id="rId6"/>
    <sheet name="Simulation-Technical Design" sheetId="11" r:id="rId7"/>
    <sheet name="AI Investors" sheetId="17" r:id="rId8"/>
    <sheet name="AI" sheetId="15" r:id="rId9"/>
    <sheet name="Revenue" sheetId="16" r:id="rId10"/>
    <sheet name="Media-Games-Design" sheetId="8" r:id="rId11"/>
    <sheet name="Fintech" sheetId="7" r:id="rId12"/>
    <sheet name="Ecommerce" sheetId="5" r:id="rId13"/>
    <sheet name="Security" sheetId="4" r:id="rId14"/>
    <sheet name="FX" sheetId="3" r:id="rId15"/>
    <sheet name="Private" sheetId="2"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_xlnm._FilterDatabase" localSheetId="8" hidden="1">AI!$A$2:$L$333</definedName>
    <definedName name="CAD">FX!$C$7</definedName>
    <definedName name="EUR">FX!$C$4</definedName>
    <definedName name="HKD">FX!$C$2</definedName>
    <definedName name="JPY">FX!$C$6</definedName>
    <definedName name="RMB">FX!$C$3</definedName>
    <definedName name="SEK">FX!$C$5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320" i="17" l="1"/>
  <c r="F2325" i="17"/>
  <c r="F2324" i="17"/>
  <c r="F2323" i="17"/>
  <c r="F2322" i="17"/>
  <c r="F899" i="17"/>
  <c r="F1263" i="17"/>
  <c r="F2315" i="17"/>
  <c r="F1262" i="17"/>
  <c r="F2311" i="17"/>
  <c r="F2307" i="17"/>
  <c r="F2314" i="17"/>
  <c r="F2211" i="17"/>
  <c r="F2061" i="17"/>
  <c r="F2303" i="17"/>
  <c r="F2301" i="17"/>
  <c r="F2299" i="17"/>
  <c r="F2302" i="17"/>
  <c r="F2297" i="17"/>
  <c r="F2300" i="17"/>
  <c r="F2298" i="17"/>
  <c r="F2296" i="17"/>
  <c r="F2295" i="17"/>
  <c r="F2294" i="17"/>
  <c r="F2293" i="17"/>
  <c r="F1817" i="17"/>
  <c r="F2292" i="17"/>
  <c r="F2291" i="17"/>
  <c r="F2290" i="17"/>
  <c r="F2289" i="17"/>
  <c r="F2288" i="17"/>
  <c r="F2287" i="17"/>
  <c r="F2286" i="17"/>
  <c r="F2285" i="17"/>
  <c r="F2284" i="17"/>
  <c r="F1905" i="17"/>
  <c r="F2283" i="17"/>
  <c r="F1188" i="17"/>
  <c r="F2282" i="17"/>
  <c r="F2281" i="17"/>
  <c r="F1664" i="17"/>
  <c r="F2280" i="17"/>
  <c r="F2229" i="17"/>
  <c r="F1268" i="17"/>
  <c r="F2279" i="17"/>
  <c r="F1954" i="17"/>
  <c r="F2144" i="17"/>
  <c r="F2266" i="17"/>
  <c r="F2264" i="17"/>
  <c r="F210" i="17"/>
  <c r="F1953" i="17"/>
  <c r="F2263" i="17"/>
  <c r="F2261" i="17"/>
  <c r="F1232" i="17"/>
  <c r="F2255" i="17"/>
  <c r="F37" i="17"/>
  <c r="F343" i="17"/>
  <c r="F2259" i="17"/>
  <c r="F1231" i="17"/>
  <c r="F237" i="17"/>
  <c r="F2254" i="17"/>
  <c r="F2253" i="17"/>
  <c r="F36" i="17"/>
  <c r="F290" i="17"/>
  <c r="J290" i="17" s="1"/>
  <c r="F342" i="17"/>
  <c r="F209" i="17"/>
  <c r="F2252" i="17"/>
  <c r="F2251" i="17"/>
  <c r="F2250" i="17"/>
  <c r="F2249" i="17"/>
  <c r="F2224" i="17"/>
  <c r="F2248" i="17"/>
  <c r="F1261" i="17"/>
  <c r="F2247" i="17"/>
  <c r="F2246" i="17"/>
  <c r="F2245" i="17"/>
  <c r="F2210" i="17"/>
  <c r="F2010" i="17"/>
  <c r="F2244" i="17"/>
  <c r="F2243" i="17"/>
  <c r="F2242" i="17"/>
  <c r="F2241" i="17"/>
  <c r="F2223" i="17"/>
  <c r="F2240" i="17"/>
  <c r="F2239" i="17"/>
  <c r="F1917" i="17"/>
  <c r="F2238" i="17"/>
  <c r="F2237" i="17"/>
  <c r="F2236" i="17"/>
  <c r="F69" i="17"/>
  <c r="F1260" i="17"/>
  <c r="F2222" i="17"/>
  <c r="F2221" i="17"/>
  <c r="F2220" i="17"/>
  <c r="F2217" i="17"/>
  <c r="F2215" i="17"/>
  <c r="F2213" i="17"/>
  <c r="F1749" i="17"/>
  <c r="F2202" i="17"/>
  <c r="F2201" i="17"/>
  <c r="F2197" i="17"/>
  <c r="F2196" i="17"/>
  <c r="F2195" i="17"/>
  <c r="F2194" i="17"/>
  <c r="F1317" i="17"/>
  <c r="F180" i="17"/>
  <c r="F121" i="17"/>
  <c r="F2191" i="17"/>
  <c r="F120" i="17"/>
  <c r="F1316" i="17"/>
  <c r="G15" i="17"/>
  <c r="F35" i="17"/>
  <c r="F2190" i="17"/>
  <c r="F9" i="17"/>
  <c r="F3" i="17" s="1"/>
  <c r="G107" i="17"/>
  <c r="F111" i="17"/>
  <c r="F2188" i="17"/>
  <c r="G84" i="17"/>
  <c r="F2187" i="17"/>
  <c r="F2097" i="17"/>
  <c r="F1686" i="17"/>
  <c r="F2186" i="17"/>
  <c r="F506" i="17"/>
  <c r="F2183" i="17"/>
  <c r="F2185" i="17"/>
  <c r="F445" i="17"/>
  <c r="F2184" i="17"/>
  <c r="F716" i="17"/>
  <c r="F527" i="17"/>
  <c r="G527" i="17"/>
  <c r="F2175" i="17"/>
  <c r="F2174" i="17"/>
  <c r="F2172" i="17"/>
  <c r="F2171" i="17"/>
  <c r="F2167" i="17"/>
  <c r="F711" i="17"/>
  <c r="F2163" i="17"/>
  <c r="F2161" i="17"/>
  <c r="F2160" i="17"/>
  <c r="F2158" i="17"/>
  <c r="G716" i="17"/>
  <c r="F924" i="17"/>
  <c r="F736" i="17"/>
  <c r="G721" i="17"/>
  <c r="G1080" i="17"/>
  <c r="G1057" i="17"/>
  <c r="G924" i="17"/>
  <c r="F178" i="17"/>
  <c r="F549" i="17"/>
  <c r="F150" i="17"/>
  <c r="F631" i="17"/>
  <c r="G1075" i="17"/>
  <c r="G631" i="17"/>
  <c r="G615" i="17"/>
  <c r="F623" i="17"/>
  <c r="G696" i="17"/>
  <c r="F696" i="17"/>
  <c r="F34" i="17"/>
  <c r="F2152" i="17"/>
  <c r="F2151" i="17"/>
  <c r="F2150" i="17"/>
  <c r="F62" i="17"/>
  <c r="F149" i="17"/>
  <c r="F1033" i="17"/>
  <c r="G802" i="17"/>
  <c r="F2149" i="17"/>
  <c r="F808" i="17"/>
  <c r="G1028" i="17"/>
  <c r="F1032" i="17"/>
  <c r="F2148" i="17"/>
  <c r="G128" i="17"/>
  <c r="F2142" i="17"/>
  <c r="F2146" i="17"/>
  <c r="F2125" i="17"/>
  <c r="F1810" i="17"/>
  <c r="F2147" i="17"/>
  <c r="F2141" i="17"/>
  <c r="F2124" i="17"/>
  <c r="F1809" i="17"/>
  <c r="F2137" i="17"/>
  <c r="F2140" i="17"/>
  <c r="F2136" i="17"/>
  <c r="F728" i="17"/>
  <c r="G854" i="17"/>
  <c r="F854" i="17"/>
  <c r="F2130" i="17"/>
  <c r="F2129" i="17"/>
  <c r="F2128" i="17"/>
  <c r="F495" i="17"/>
  <c r="F2127" i="17"/>
  <c r="G1116" i="17"/>
  <c r="G1041" i="17"/>
  <c r="G508" i="17"/>
  <c r="F508" i="17"/>
  <c r="S33" i="15"/>
  <c r="G954" i="17"/>
  <c r="F622" i="17"/>
  <c r="F515" i="17"/>
  <c r="F466" i="17"/>
  <c r="F393" i="17"/>
  <c r="F375" i="17" s="1"/>
  <c r="G1084" i="17"/>
  <c r="G730" i="17"/>
  <c r="G739" i="17"/>
  <c r="F739" i="17"/>
  <c r="G825" i="17"/>
  <c r="G425" i="17"/>
  <c r="F438" i="17"/>
  <c r="G1094" i="17"/>
  <c r="F1094" i="17"/>
  <c r="G689" i="17"/>
  <c r="G218" i="17"/>
  <c r="F218" i="17"/>
  <c r="G1112" i="17"/>
  <c r="F1112" i="17"/>
  <c r="F660" i="17"/>
  <c r="G683" i="17"/>
  <c r="F683" i="17"/>
  <c r="G788" i="17"/>
  <c r="F788" i="17"/>
  <c r="G533" i="17"/>
  <c r="G577" i="17"/>
  <c r="F2112" i="17"/>
  <c r="F2111" i="17"/>
  <c r="F2101" i="17"/>
  <c r="F2110" i="17"/>
  <c r="F2109" i="17"/>
  <c r="F1662" i="17"/>
  <c r="L2108" i="17"/>
  <c r="L326" i="17"/>
  <c r="L2096" i="17"/>
  <c r="L2105" i="17"/>
  <c r="L2103" i="17"/>
  <c r="L2102" i="17"/>
  <c r="L2099" i="17"/>
  <c r="L2107" i="17"/>
  <c r="F2092" i="17"/>
  <c r="F2091" i="17"/>
  <c r="F2087" i="17"/>
  <c r="G895" i="17"/>
  <c r="F895" i="17"/>
  <c r="F2085" i="17"/>
  <c r="G1003" i="17"/>
  <c r="F1003" i="17"/>
  <c r="G1135" i="17"/>
  <c r="F1139" i="17"/>
  <c r="F1470" i="17"/>
  <c r="F2084" i="17"/>
  <c r="F870" i="17"/>
  <c r="F883" i="17"/>
  <c r="G889" i="17"/>
  <c r="G1151" i="17"/>
  <c r="G1131" i="17"/>
  <c r="F2081" i="17"/>
  <c r="F1658" i="17"/>
  <c r="F2080" i="17"/>
  <c r="F2076" i="17"/>
  <c r="F1870" i="17"/>
  <c r="F2075" i="17"/>
  <c r="F261" i="17"/>
  <c r="F1492" i="17"/>
  <c r="F1614" i="17"/>
  <c r="F1544" i="17"/>
  <c r="F2074" i="17"/>
  <c r="G1035" i="17"/>
  <c r="F1035" i="17"/>
  <c r="F637" i="17"/>
  <c r="G660" i="17"/>
  <c r="G1103" i="17"/>
  <c r="F1103" i="17"/>
  <c r="R107" i="17"/>
  <c r="O107" i="17"/>
  <c r="O114" i="17"/>
  <c r="R84" i="17"/>
  <c r="Q77" i="17"/>
  <c r="O77" i="17"/>
  <c r="R64" i="17"/>
  <c r="O64" i="17"/>
  <c r="R71" i="17"/>
  <c r="O71" i="17"/>
  <c r="Q40" i="17"/>
  <c r="N40" i="17"/>
  <c r="M15" i="17"/>
  <c r="R15" i="17"/>
  <c r="N15" i="17"/>
  <c r="F2058" i="17"/>
  <c r="F212" i="17"/>
  <c r="F287" i="17"/>
  <c r="F281" i="17" s="1"/>
  <c r="J281" i="17" s="1"/>
  <c r="F545" i="17"/>
  <c r="F2055" i="17"/>
  <c r="F2051" i="17"/>
  <c r="F2050" i="17"/>
  <c r="F2054" i="17"/>
  <c r="F2053" i="17"/>
  <c r="F2052" i="17"/>
  <c r="F726" i="17"/>
  <c r="F2048" i="17"/>
  <c r="F2047" i="17"/>
  <c r="F2046" i="17"/>
  <c r="F2045" i="17"/>
  <c r="F2038" i="17"/>
  <c r="F2041" i="17"/>
  <c r="F2040" i="17"/>
  <c r="F2032" i="17"/>
  <c r="G413" i="17"/>
  <c r="F422" i="17"/>
  <c r="F2037" i="17"/>
  <c r="F1978" i="17"/>
  <c r="F2035" i="17"/>
  <c r="F101" i="17"/>
  <c r="Q84" i="17" s="1"/>
  <c r="F2031" i="17"/>
  <c r="F2025" i="17"/>
  <c r="F70" i="15"/>
  <c r="F2021" i="17"/>
  <c r="F2020" i="17"/>
  <c r="F2018" i="17"/>
  <c r="F2017" i="17"/>
  <c r="F700" i="17"/>
  <c r="G700" i="17"/>
  <c r="G941" i="17"/>
  <c r="F941" i="17"/>
  <c r="G114" i="17"/>
  <c r="G240" i="17"/>
  <c r="G754" i="17"/>
  <c r="F975" i="17"/>
  <c r="F961" i="17"/>
  <c r="G975" i="17"/>
  <c r="G1049" i="17"/>
  <c r="G705" i="17"/>
  <c r="G934" i="17"/>
  <c r="G1107" i="17"/>
  <c r="F436" i="17"/>
  <c r="F1977" i="17"/>
  <c r="F1984" i="17"/>
  <c r="F1976" i="17"/>
  <c r="F1986" i="17"/>
  <c r="F1983" i="17"/>
  <c r="F1982" i="17"/>
  <c r="F1971" i="17"/>
  <c r="F1759" i="17"/>
  <c r="F1970" i="17"/>
  <c r="F1969" i="17"/>
  <c r="J375" i="17"/>
  <c r="I515" i="17"/>
  <c r="F1965" i="17"/>
  <c r="F1964" i="17"/>
  <c r="F1963" i="17"/>
  <c r="F1962" i="17"/>
  <c r="F1961" i="17"/>
  <c r="G1099" i="17"/>
  <c r="G876" i="17"/>
  <c r="G1053" i="17"/>
  <c r="G1142" i="17"/>
  <c r="G966" i="17"/>
  <c r="F966" i="17"/>
  <c r="G375" i="17"/>
  <c r="G919" i="17"/>
  <c r="F919" i="17"/>
  <c r="G77" i="17"/>
  <c r="F1958" i="17"/>
  <c r="F1957" i="17"/>
  <c r="G263" i="17"/>
  <c r="G404" i="17"/>
  <c r="G3" i="17"/>
  <c r="G552" i="17"/>
  <c r="F356" i="17"/>
  <c r="F1928" i="17"/>
  <c r="F354" i="17"/>
  <c r="F1926" i="17"/>
  <c r="F1594" i="17"/>
  <c r="F1923" i="17"/>
  <c r="F1920" i="17"/>
  <c r="F1843" i="17"/>
  <c r="F476" i="17"/>
  <c r="F629" i="17"/>
  <c r="F626" i="17" s="1"/>
  <c r="G1122" i="17"/>
  <c r="G711" i="17"/>
  <c r="F425" i="17" l="1"/>
  <c r="F1028" i="17"/>
  <c r="J376" i="17"/>
  <c r="J515" i="17"/>
  <c r="G71" i="17"/>
  <c r="G1007" i="17"/>
  <c r="F1007" i="17"/>
  <c r="G930" i="17"/>
  <c r="F930" i="17"/>
  <c r="G908" i="17"/>
  <c r="G861" i="17"/>
  <c r="G818" i="17"/>
  <c r="G796" i="17"/>
  <c r="F1830" i="17"/>
  <c r="F1829" i="17"/>
  <c r="F1828" i="17"/>
  <c r="F1827" i="17"/>
  <c r="F827" i="17"/>
  <c r="F1118" i="17"/>
  <c r="F1116" i="17" s="1"/>
  <c r="F1805" i="17"/>
  <c r="F798" i="17"/>
  <c r="F796" i="17" s="1"/>
  <c r="F455" i="17"/>
  <c r="F451" i="17" s="1"/>
  <c r="F254" i="17"/>
  <c r="F1787" i="17"/>
  <c r="F1776" i="17"/>
  <c r="F1773" i="17"/>
  <c r="F692" i="17"/>
  <c r="G870" i="17"/>
  <c r="G812" i="17"/>
  <c r="F938" i="17"/>
  <c r="F1775" i="17"/>
  <c r="F1772" i="17"/>
  <c r="F1536" i="17"/>
  <c r="F691" i="17"/>
  <c r="G1066" i="17"/>
  <c r="F937" i="17"/>
  <c r="F1535" i="17"/>
  <c r="F535" i="17"/>
  <c r="F1766" i="17"/>
  <c r="F1136" i="17"/>
  <c r="F1135" i="17" s="1"/>
  <c r="F1762" i="17"/>
  <c r="F1755" i="17"/>
  <c r="F1765" i="17"/>
  <c r="F1764" i="17"/>
  <c r="F1761" i="17"/>
  <c r="F1758" i="17"/>
  <c r="F1756" i="17"/>
  <c r="F1754" i="17"/>
  <c r="F1752" i="17"/>
  <c r="F1745" i="17"/>
  <c r="F826" i="17"/>
  <c r="F1743" i="17"/>
  <c r="F1742" i="17"/>
  <c r="F1741" i="17"/>
  <c r="F1740" i="17"/>
  <c r="F1739" i="17"/>
  <c r="F1738" i="17"/>
  <c r="F1737" i="17"/>
  <c r="F1724" i="17"/>
  <c r="F1723" i="17"/>
  <c r="F837" i="17"/>
  <c r="F1722" i="17"/>
  <c r="F1721" i="17"/>
  <c r="F1720" i="17"/>
  <c r="G745" i="17"/>
  <c r="F1499" i="17"/>
  <c r="F1703" i="17"/>
  <c r="F759" i="17"/>
  <c r="F748" i="17"/>
  <c r="F745" i="17" s="1"/>
  <c r="F1708" i="17"/>
  <c r="F1706" i="17"/>
  <c r="F1504" i="17"/>
  <c r="F1707" i="17"/>
  <c r="F1498" i="17"/>
  <c r="F1705" i="17"/>
  <c r="F1503" i="17"/>
  <c r="F1702" i="17"/>
  <c r="G991" i="17"/>
  <c r="G473" i="17"/>
  <c r="F475" i="17"/>
  <c r="F806" i="17"/>
  <c r="F1580" i="17"/>
  <c r="F1044" i="17"/>
  <c r="F1041" i="17" s="1"/>
  <c r="F1671" i="17"/>
  <c r="G832" i="17"/>
  <c r="G971" i="17"/>
  <c r="G782" i="17"/>
  <c r="F1676" i="17"/>
  <c r="F1670" i="17"/>
  <c r="F1675" i="17"/>
  <c r="F1669" i="17"/>
  <c r="F1694" i="17"/>
  <c r="F1692" i="17"/>
  <c r="F1678" i="17"/>
  <c r="F1674" i="17"/>
  <c r="F1667" i="17"/>
  <c r="F1693" i="17"/>
  <c r="F1691" i="17"/>
  <c r="F1690" i="17"/>
  <c r="F1683" i="17"/>
  <c r="F1681" i="17"/>
  <c r="F1680" i="17"/>
  <c r="F1679" i="17"/>
  <c r="F1677" i="17"/>
  <c r="F1673" i="17"/>
  <c r="F1668" i="17"/>
  <c r="F321" i="17"/>
  <c r="F1442" i="17"/>
  <c r="F98" i="17"/>
  <c r="O84" i="17" s="1"/>
  <c r="F1628" i="17"/>
  <c r="F1326" i="17"/>
  <c r="G883" i="17"/>
  <c r="G1061" i="17"/>
  <c r="F1061" i="17"/>
  <c r="G1146" i="17"/>
  <c r="F1250" i="17"/>
  <c r="F1624" i="17"/>
  <c r="F1251" i="17"/>
  <c r="F1328" i="17"/>
  <c r="F1327" i="17"/>
  <c r="F1620" i="17"/>
  <c r="G844" i="17"/>
  <c r="F1365" i="17"/>
  <c r="F1364" i="17"/>
  <c r="F1363" i="17"/>
  <c r="F1148" i="17"/>
  <c r="F1146" i="17" s="1"/>
  <c r="F1332" i="17"/>
  <c r="G947" i="17"/>
  <c r="F951" i="17"/>
  <c r="F947" i="17" s="1"/>
  <c r="J212" i="17"/>
  <c r="J218" i="17"/>
  <c r="F1596" i="17"/>
  <c r="F1593" i="17"/>
  <c r="G912" i="17"/>
  <c r="G778" i="17"/>
  <c r="F778" i="17"/>
  <c r="G451" i="17"/>
  <c r="G1024" i="17"/>
  <c r="G647" i="17"/>
  <c r="F1577" i="17"/>
  <c r="F1254" i="17"/>
  <c r="G466" i="17"/>
  <c r="F125" i="15"/>
  <c r="F44" i="17"/>
  <c r="F90" i="17"/>
  <c r="F1223" i="17"/>
  <c r="F1222" i="17"/>
  <c r="F1076" i="17"/>
  <c r="F1075" i="17" s="1"/>
  <c r="F1221" i="17"/>
  <c r="F1220" i="17"/>
  <c r="F1219" i="17"/>
  <c r="F803" i="17"/>
  <c r="F1489" i="17"/>
  <c r="F1565" i="17"/>
  <c r="F1334" i="17"/>
  <c r="F1559" i="17"/>
  <c r="G1019" i="17"/>
  <c r="F1019" i="17"/>
  <c r="G1070" i="17"/>
  <c r="G901" i="17"/>
  <c r="G560" i="17"/>
  <c r="G1015" i="17"/>
  <c r="G996" i="17"/>
  <c r="F1081" i="17"/>
  <c r="F1080" i="17" s="1"/>
  <c r="F1307" i="17"/>
  <c r="F1306" i="17"/>
  <c r="F1305" i="17"/>
  <c r="F1304" i="17"/>
  <c r="F1534" i="17"/>
  <c r="F1532" i="17"/>
  <c r="F1527" i="17"/>
  <c r="F1257" i="17"/>
  <c r="G1088" i="17"/>
  <c r="F982" i="17"/>
  <c r="G982" i="17"/>
  <c r="G607" i="17"/>
  <c r="G764" i="17"/>
  <c r="G156" i="17"/>
  <c r="G152" i="17"/>
  <c r="G64" i="17"/>
  <c r="G124" i="17"/>
  <c r="G204" i="17"/>
  <c r="F1126" i="17"/>
  <c r="G1126" i="17"/>
  <c r="F840" i="17"/>
  <c r="G840" i="17"/>
  <c r="G637" i="17"/>
  <c r="G600" i="17"/>
  <c r="G447" i="17"/>
  <c r="A140" i="15"/>
  <c r="A144" i="15" s="1"/>
  <c r="A148" i="15" s="1"/>
  <c r="A155" i="15" s="1"/>
  <c r="A156" i="15" s="1"/>
  <c r="A157" i="15" s="1"/>
  <c r="A158" i="15" s="1"/>
  <c r="A159" i="15" s="1"/>
  <c r="A160" i="15" s="1"/>
  <c r="A161" i="15" s="1"/>
  <c r="A164" i="15" s="1"/>
  <c r="A215" i="15" s="1"/>
  <c r="A216" i="15" s="1"/>
  <c r="A166" i="15" s="1"/>
  <c r="A168" i="15" s="1"/>
  <c r="A223" i="15" s="1"/>
  <c r="A225" i="15" s="1"/>
  <c r="A226" i="15" s="1"/>
  <c r="A178" i="15" s="1"/>
  <c r="F1288" i="17"/>
  <c r="F1287" i="17"/>
  <c r="F1286" i="17"/>
  <c r="F1285" i="17"/>
  <c r="F757" i="17"/>
  <c r="F1388" i="17"/>
  <c r="F1387" i="17"/>
  <c r="F1386" i="17"/>
  <c r="F1385" i="17"/>
  <c r="F1384" i="17"/>
  <c r="F1491" i="17"/>
  <c r="F84" i="17" l="1"/>
  <c r="J84" i="17" s="1"/>
  <c r="P84" i="17"/>
  <c r="F802" i="17"/>
  <c r="F754" i="17"/>
  <c r="F825" i="17"/>
  <c r="F689" i="17"/>
  <c r="F1436" i="17"/>
  <c r="F1299" i="17"/>
  <c r="F1432" i="17"/>
  <c r="F1301" i="17"/>
  <c r="F1300" i="17"/>
  <c r="F891" i="17"/>
  <c r="F889" i="17" s="1"/>
  <c r="F1429" i="17"/>
  <c r="F1303" i="17"/>
  <c r="F1302" i="17"/>
  <c r="F1426" i="17"/>
  <c r="F1423" i="17"/>
  <c r="F1420" i="17"/>
  <c r="F1058" i="17"/>
  <c r="F1057" i="17" s="1"/>
  <c r="F1416" i="17"/>
  <c r="F1413" i="17"/>
  <c r="F1284" i="17"/>
  <c r="F1410" i="17"/>
  <c r="F619" i="17"/>
  <c r="F1283" i="17"/>
  <c r="F1395" i="17"/>
  <c r="F1399" i="17"/>
  <c r="F723" i="17"/>
  <c r="F1391" i="17"/>
  <c r="F1282" i="17"/>
  <c r="F1401" i="17"/>
  <c r="F1398" i="17"/>
  <c r="F1271" i="17"/>
  <c r="F1394" i="17"/>
  <c r="F1390" i="17"/>
  <c r="F722" i="17"/>
  <c r="F1085" i="17"/>
  <c r="F1084" i="17" s="1"/>
  <c r="F731" i="17"/>
  <c r="F730" i="17" s="1"/>
  <c r="F905" i="17"/>
  <c r="F901" i="17" s="1"/>
  <c r="F591" i="17"/>
  <c r="F55" i="17"/>
  <c r="O40" i="17" s="1"/>
  <c r="G670" i="17"/>
  <c r="F675" i="17"/>
  <c r="F1218" i="17"/>
  <c r="F1217" i="17"/>
  <c r="F1216" i="17"/>
  <c r="F1215" i="17"/>
  <c r="F487" i="17"/>
  <c r="F557" i="17"/>
  <c r="F552" i="17" s="1"/>
  <c r="F200" i="17"/>
  <c r="F674" i="17"/>
  <c r="F534" i="17"/>
  <c r="F533" i="17" s="1"/>
  <c r="F1208" i="17"/>
  <c r="G478" i="17"/>
  <c r="G182" i="17"/>
  <c r="F1383" i="17"/>
  <c r="F1382" i="17"/>
  <c r="F1381" i="17"/>
  <c r="F1153" i="17"/>
  <c r="F1151" i="17" s="1"/>
  <c r="F1341" i="17"/>
  <c r="F1132" i="17"/>
  <c r="F1131" i="17" s="1"/>
  <c r="F1352" i="17"/>
  <c r="F1351" i="17"/>
  <c r="F1350" i="17"/>
  <c r="F1349" i="17"/>
  <c r="F1348" i="17"/>
  <c r="F602" i="17"/>
  <c r="F600" i="17" s="1"/>
  <c r="F994" i="17"/>
  <c r="F1071" i="17"/>
  <c r="F1070" i="17" s="1"/>
  <c r="F1050" i="17"/>
  <c r="F1049" i="17" s="1"/>
  <c r="F1253" i="17"/>
  <c r="F368" i="17"/>
  <c r="F198" i="17"/>
  <c r="F1515" i="17"/>
  <c r="F706" i="17"/>
  <c r="F705" i="17" s="1"/>
  <c r="F486" i="17"/>
  <c r="G306" i="17"/>
  <c r="G1011" i="17"/>
  <c r="F935" i="17"/>
  <c r="F934" i="17" s="1"/>
  <c r="F1108" i="17"/>
  <c r="F1107" i="17" s="1"/>
  <c r="F1100" i="17"/>
  <c r="F1099" i="17" s="1"/>
  <c r="F721" i="17" l="1"/>
  <c r="F670" i="17"/>
  <c r="F478" i="17"/>
  <c r="F503" i="17"/>
  <c r="F877" i="17"/>
  <c r="F876" i="17" s="1"/>
  <c r="F784" i="17"/>
  <c r="F782" i="17" s="1"/>
  <c r="F814" i="17"/>
  <c r="F1124" i="17"/>
  <c r="F366" i="17"/>
  <c r="F998" i="17"/>
  <c r="F1333" i="17"/>
  <c r="F1054" i="17"/>
  <c r="F1053" i="17" s="1"/>
  <c r="F997" i="17"/>
  <c r="F1290" i="17"/>
  <c r="F1289" i="17"/>
  <c r="F365" i="17"/>
  <c r="F581" i="17"/>
  <c r="F577" i="17" s="1"/>
  <c r="F1488" i="17"/>
  <c r="F1298" i="17"/>
  <c r="F1297" i="17"/>
  <c r="F1293" i="17"/>
  <c r="F1123" i="17"/>
  <c r="F461" i="17"/>
  <c r="F458" i="17" s="1"/>
  <c r="G331" i="17"/>
  <c r="F863" i="17"/>
  <c r="F820" i="17"/>
  <c r="F909" i="17"/>
  <c r="F908" i="17" s="1"/>
  <c r="F862" i="17"/>
  <c r="F819" i="17"/>
  <c r="G281" i="17"/>
  <c r="G40" i="17"/>
  <c r="F849" i="17"/>
  <c r="F813" i="17"/>
  <c r="F993" i="17"/>
  <c r="F991" i="17" s="1"/>
  <c r="F1068" i="17"/>
  <c r="F1066" i="17" s="1"/>
  <c r="F848" i="17"/>
  <c r="F610" i="17"/>
  <c r="F607" i="17" s="1"/>
  <c r="F834" i="17"/>
  <c r="F832" i="17" s="1"/>
  <c r="F973" i="17"/>
  <c r="F971" i="17" s="1"/>
  <c r="F169" i="17"/>
  <c r="F590" i="17"/>
  <c r="F586" i="17" s="1"/>
  <c r="F1247" i="17"/>
  <c r="F1246" i="17"/>
  <c r="F1245" i="17"/>
  <c r="F133" i="17"/>
  <c r="F913" i="17"/>
  <c r="F912" i="17" s="1"/>
  <c r="F1210" i="17"/>
  <c r="F1025" i="17"/>
  <c r="F1024" i="17" s="1"/>
  <c r="F1016" i="17"/>
  <c r="F1015" i="17" s="1"/>
  <c r="F1211" i="17"/>
  <c r="F269" i="17"/>
  <c r="F263" i="17" s="1"/>
  <c r="J263" i="17" s="1"/>
  <c r="F1089" i="17"/>
  <c r="F1088" i="17" s="1"/>
  <c r="F1143" i="17"/>
  <c r="F1142" i="17" s="1"/>
  <c r="F1308" i="17"/>
  <c r="F335" i="17"/>
  <c r="F131" i="17"/>
  <c r="F334" i="17"/>
  <c r="F501" i="17"/>
  <c r="F333" i="17"/>
  <c r="F129" i="17"/>
  <c r="G231" i="17"/>
  <c r="G497" i="17"/>
  <c r="F310" i="17"/>
  <c r="F306" i="17" s="1"/>
  <c r="F46" i="17"/>
  <c r="F40" i="17" s="1"/>
  <c r="G361" i="17"/>
  <c r="F245" i="17"/>
  <c r="F240" i="17" s="1"/>
  <c r="F766" i="17"/>
  <c r="F764" i="17" s="1"/>
  <c r="F363" i="17"/>
  <c r="F24" i="17"/>
  <c r="O15" i="17" s="1"/>
  <c r="F158" i="17"/>
  <c r="F154" i="17"/>
  <c r="F115" i="17"/>
  <c r="F114" i="17" s="1"/>
  <c r="F157" i="17"/>
  <c r="F78" i="17"/>
  <c r="F77" i="17" s="1"/>
  <c r="F153" i="17"/>
  <c r="F65" i="17"/>
  <c r="F64" i="17" s="1"/>
  <c r="F125" i="17"/>
  <c r="F124" i="17" s="1"/>
  <c r="F72" i="17"/>
  <c r="F205" i="17"/>
  <c r="F204" i="17" s="1"/>
  <c r="F108" i="17"/>
  <c r="F107" i="17" s="1"/>
  <c r="F233" i="17"/>
  <c r="F231" i="17" s="1"/>
  <c r="F20" i="17"/>
  <c r="P15" i="17" s="1"/>
  <c r="F165" i="17"/>
  <c r="F1249" i="17"/>
  <c r="F955" i="17"/>
  <c r="F954" i="17" s="1"/>
  <c r="F1013" i="17"/>
  <c r="F1011" i="17" s="1"/>
  <c r="F1229" i="17"/>
  <c r="G586" i="17"/>
  <c r="G346" i="17"/>
  <c r="G986" i="17"/>
  <c r="F986" i="17"/>
  <c r="F648" i="17"/>
  <c r="F647" i="17" s="1"/>
  <c r="G626" i="17"/>
  <c r="G160" i="17"/>
  <c r="G961" i="17"/>
  <c r="G290" i="17"/>
  <c r="G515" i="17"/>
  <c r="G768" i="17"/>
  <c r="F770" i="17"/>
  <c r="F768" i="17" s="1"/>
  <c r="F405" i="17"/>
  <c r="F404" i="17" s="1"/>
  <c r="J404" i="17" s="1"/>
  <c r="F616" i="17"/>
  <c r="F615" i="17" s="1"/>
  <c r="G397" i="17"/>
  <c r="F399" i="17"/>
  <c r="F16" i="17"/>
  <c r="F347" i="17"/>
  <c r="F346" i="17" s="1"/>
  <c r="F398" i="17"/>
  <c r="F1157" i="17"/>
  <c r="F474" i="17"/>
  <c r="F473" i="17" s="1"/>
  <c r="G212" i="17"/>
  <c r="F416" i="17"/>
  <c r="F413" i="17" s="1"/>
  <c r="F184" i="17"/>
  <c r="F182" i="17" s="1"/>
  <c r="G458" i="17"/>
  <c r="F448" i="17"/>
  <c r="F447" i="17" s="1"/>
  <c r="J447" i="17" s="1"/>
  <c r="A115" i="15"/>
  <c r="A173" i="15" s="1"/>
  <c r="A177" i="15" s="1"/>
  <c r="A234" i="15" s="1"/>
  <c r="A240" i="15" s="1"/>
  <c r="F15" i="17" l="1"/>
  <c r="F331" i="17"/>
  <c r="F160" i="17"/>
  <c r="J160" i="17" s="1"/>
  <c r="F128" i="17"/>
  <c r="J128" i="17" s="1"/>
  <c r="J346" i="17"/>
  <c r="F497" i="17"/>
  <c r="F844" i="17"/>
  <c r="F812" i="17"/>
  <c r="F397" i="17"/>
  <c r="Q15" i="17"/>
  <c r="F818" i="17"/>
  <c r="F861" i="17"/>
  <c r="J40" i="17"/>
  <c r="P40" i="17"/>
  <c r="P107" i="17"/>
  <c r="F71" i="17"/>
  <c r="J71" i="17" s="1"/>
  <c r="P71" i="17"/>
  <c r="P64" i="17"/>
  <c r="P77" i="17"/>
  <c r="P114" i="17"/>
  <c r="J182" i="17"/>
  <c r="J240" i="17"/>
  <c r="F361" i="17"/>
  <c r="J361" i="17" s="1"/>
  <c r="F1122" i="17"/>
  <c r="F152" i="17"/>
  <c r="F996" i="17"/>
  <c r="F156" i="17"/>
  <c r="A107" i="15"/>
  <c r="A44" i="15"/>
  <c r="A46" i="15" s="1"/>
  <c r="A47" i="15" s="1"/>
  <c r="A48" i="15" s="1"/>
  <c r="A74" i="15" s="1"/>
  <c r="J306" i="17" l="1"/>
  <c r="A100" i="15"/>
  <c r="A73" i="15"/>
  <c r="A86" i="15" s="1"/>
  <c r="A88" i="15" s="1"/>
  <c r="A51" i="15" s="1"/>
  <c r="A97" i="15" s="1"/>
  <c r="A72" i="15" s="1"/>
  <c r="A92" i="15" s="1"/>
  <c r="A34" i="15"/>
  <c r="A37" i="15" s="1"/>
  <c r="A39" i="15" s="1"/>
  <c r="A40" i="15" s="1"/>
  <c r="A42" i="15" s="1"/>
  <c r="A54" i="15" s="1"/>
  <c r="F5" i="10"/>
  <c r="H5" i="10"/>
  <c r="E5" i="10" s="1"/>
  <c r="F7" i="1"/>
  <c r="H7" i="1"/>
  <c r="E7" i="1" s="1"/>
  <c r="E17" i="10"/>
  <c r="F17" i="10"/>
  <c r="A93" i="15" l="1"/>
  <c r="A101" i="15" s="1"/>
  <c r="A102" i="15" s="1"/>
  <c r="A103" i="15" s="1"/>
  <c r="G5" i="10"/>
  <c r="G7" i="1"/>
  <c r="G17" i="10"/>
  <c r="G8" i="8"/>
  <c r="G24" i="8"/>
  <c r="Z24" i="8"/>
  <c r="F8" i="7" l="1"/>
  <c r="H8" i="7"/>
  <c r="E8" i="7" s="1"/>
  <c r="G8" i="7" l="1"/>
  <c r="O3" i="16"/>
  <c r="N3" i="16"/>
  <c r="M3" i="16"/>
  <c r="L3" i="16"/>
  <c r="K3" i="16"/>
  <c r="J3" i="16"/>
  <c r="I3" i="16"/>
  <c r="H3" i="16"/>
  <c r="G3" i="16"/>
  <c r="F3" i="16"/>
  <c r="E3" i="16"/>
  <c r="D3" i="16"/>
  <c r="C3" i="16"/>
  <c r="F6" i="1" l="1"/>
  <c r="W5" i="1" l="1"/>
  <c r="V5" i="1"/>
  <c r="U5" i="1"/>
  <c r="T5" i="1"/>
  <c r="O5" i="1"/>
  <c r="N5" i="1"/>
  <c r="M5" i="1"/>
  <c r="K5" i="1"/>
  <c r="L5" i="1" s="1"/>
  <c r="O12" i="16" l="1"/>
  <c r="O10" i="16" l="1"/>
  <c r="D2" i="16" l="1"/>
  <c r="E2" i="16" s="1"/>
  <c r="F2" i="16" s="1"/>
  <c r="G2" i="16" s="1"/>
  <c r="H2" i="16" s="1"/>
  <c r="I2" i="16" s="1"/>
  <c r="J2" i="16" s="1"/>
  <c r="K2" i="16" s="1"/>
  <c r="L2" i="16" s="1"/>
  <c r="M2" i="16" s="1"/>
  <c r="N2" i="16" s="1"/>
  <c r="O2" i="16" s="1"/>
  <c r="K4" i="1" l="1"/>
  <c r="F4" i="1" l="1"/>
  <c r="F11" i="10" l="1"/>
  <c r="F7" i="8" l="1"/>
  <c r="F6" i="8"/>
  <c r="H7" i="8"/>
  <c r="E7" i="8" s="1"/>
  <c r="H6" i="8"/>
  <c r="E6" i="8" s="1"/>
  <c r="G6" i="8" l="1"/>
  <c r="G7" i="8"/>
  <c r="H14" i="8"/>
  <c r="E14" i="8" s="1"/>
  <c r="F14" i="8"/>
  <c r="F9" i="5"/>
  <c r="H9" i="5"/>
  <c r="E9" i="5" s="1"/>
  <c r="G9" i="5" l="1"/>
  <c r="H3" i="5"/>
  <c r="E3" i="5" s="1"/>
  <c r="F24" i="5" l="1"/>
  <c r="H24" i="5"/>
  <c r="E24" i="5" s="1"/>
  <c r="G24" i="5" l="1"/>
  <c r="F8" i="9"/>
  <c r="H8" i="9"/>
  <c r="E8" i="9" s="1"/>
  <c r="G8" i="9" l="1"/>
  <c r="Z8" i="9" s="1"/>
  <c r="H6" i="10"/>
  <c r="N6" i="10"/>
  <c r="M6" i="10"/>
  <c r="K6" i="10"/>
  <c r="L6" i="10" s="1"/>
  <c r="H9" i="8"/>
  <c r="E9" i="8" s="1"/>
  <c r="F9" i="8"/>
  <c r="W4" i="1"/>
  <c r="V4" i="1"/>
  <c r="U4" i="1"/>
  <c r="T4" i="1"/>
  <c r="G9" i="8" l="1"/>
  <c r="G7" i="9"/>
  <c r="H4" i="10"/>
  <c r="E3" i="9" l="1"/>
  <c r="F3" i="9"/>
  <c r="F7" i="7" l="1"/>
  <c r="H7" i="7"/>
  <c r="E7" i="7" s="1"/>
  <c r="W3" i="10"/>
  <c r="V3" i="10"/>
  <c r="U3" i="10"/>
  <c r="T3" i="10"/>
  <c r="O3" i="10"/>
  <c r="N3" i="10"/>
  <c r="M3" i="10"/>
  <c r="K3" i="10"/>
  <c r="L3" i="10" s="1"/>
  <c r="H3" i="10"/>
  <c r="F3" i="10"/>
  <c r="E3" i="10"/>
  <c r="H4" i="9"/>
  <c r="F19" i="8"/>
  <c r="E19" i="8"/>
  <c r="G3" i="10" l="1"/>
  <c r="S3" i="10" s="1"/>
  <c r="G7" i="7"/>
  <c r="G19" i="8"/>
  <c r="Q3" i="10" l="1"/>
  <c r="P3" i="10"/>
  <c r="R3" i="10"/>
  <c r="H7" i="11"/>
  <c r="E7" i="11" s="1"/>
  <c r="F7" i="11"/>
  <c r="H6" i="11"/>
  <c r="E6" i="11" s="1"/>
  <c r="F6" i="11"/>
  <c r="H5" i="11"/>
  <c r="E5" i="11" s="1"/>
  <c r="F5" i="11"/>
  <c r="F4" i="11"/>
  <c r="E4" i="11"/>
  <c r="H3" i="11"/>
  <c r="E3" i="11" s="1"/>
  <c r="F3" i="11"/>
  <c r="H5" i="8"/>
  <c r="G7" i="11" l="1"/>
  <c r="G3" i="11"/>
  <c r="G5" i="11"/>
  <c r="G6" i="11"/>
  <c r="G4" i="11"/>
  <c r="F13" i="10"/>
  <c r="H13" i="10"/>
  <c r="E13" i="10" s="1"/>
  <c r="G13" i="10" l="1"/>
  <c r="F15" i="10"/>
  <c r="H15" i="10"/>
  <c r="E15" i="10" s="1"/>
  <c r="F20" i="10"/>
  <c r="H20" i="10"/>
  <c r="E20" i="10" s="1"/>
  <c r="G20" i="10" l="1"/>
  <c r="G15" i="10"/>
  <c r="H12" i="10"/>
  <c r="F12" i="10"/>
  <c r="E12" i="10"/>
  <c r="H11" i="10"/>
  <c r="E11" i="10" s="1"/>
  <c r="H10" i="10"/>
  <c r="F10" i="10"/>
  <c r="E10" i="10"/>
  <c r="G12" i="10" l="1"/>
  <c r="G10" i="10"/>
  <c r="G11" i="10"/>
  <c r="F5" i="8" l="1"/>
  <c r="E5" i="8"/>
  <c r="H9" i="10"/>
  <c r="E9" i="10" s="1"/>
  <c r="F9" i="10"/>
  <c r="F8" i="10"/>
  <c r="E8" i="10"/>
  <c r="F7" i="10"/>
  <c r="E7" i="10"/>
  <c r="F6" i="10"/>
  <c r="E6" i="10"/>
  <c r="F4" i="10"/>
  <c r="E4" i="10"/>
  <c r="G6" i="10" l="1"/>
  <c r="G7" i="10"/>
  <c r="G8" i="10"/>
  <c r="G9" i="10"/>
  <c r="G5" i="8"/>
  <c r="G4" i="10"/>
  <c r="F13" i="8" l="1"/>
  <c r="H13" i="8"/>
  <c r="E13" i="8" s="1"/>
  <c r="G13" i="8" l="1"/>
  <c r="F4" i="9"/>
  <c r="E4" i="9"/>
  <c r="O3" i="9"/>
  <c r="N3" i="9"/>
  <c r="M3" i="9"/>
  <c r="K3" i="9"/>
  <c r="L3" i="9" s="1"/>
  <c r="H3" i="9"/>
  <c r="G3" i="9" l="1"/>
  <c r="Z3" i="9" s="1"/>
  <c r="G4" i="9"/>
  <c r="F4" i="5" l="1" a="1"/>
  <c r="F4" i="5" s="1"/>
  <c r="E4" i="5"/>
  <c r="F13" i="5"/>
  <c r="E13" i="5"/>
  <c r="H6" i="1"/>
  <c r="E6" i="1" s="1"/>
  <c r="G6" i="1" s="1"/>
  <c r="E10" i="8" a="1"/>
  <c r="E10" i="8" s="1"/>
  <c r="F4" i="8"/>
  <c r="E4" i="8"/>
  <c r="H3" i="8"/>
  <c r="F3" i="8"/>
  <c r="E3" i="8"/>
  <c r="G4" i="5" l="1"/>
  <c r="G13" i="5"/>
  <c r="G4" i="8"/>
  <c r="G3" i="8"/>
  <c r="H8" i="1" l="1"/>
  <c r="F8" i="1"/>
  <c r="E8" i="1"/>
  <c r="O4" i="1"/>
  <c r="N4" i="1"/>
  <c r="M4" i="1"/>
  <c r="L4" i="1"/>
  <c r="H4" i="1"/>
  <c r="G8" i="1" l="1"/>
  <c r="H5" i="1"/>
  <c r="L2" i="1"/>
  <c r="F3" i="5" l="1"/>
  <c r="G3" i="5" s="1"/>
  <c r="F5" i="5" a="1"/>
  <c r="F5" i="5" s="1"/>
  <c r="E5" i="5"/>
  <c r="G5" i="5" l="1"/>
  <c r="G14" i="8"/>
  <c r="Z14" i="8" s="1"/>
  <c r="F5" i="1"/>
  <c r="E5" i="1"/>
  <c r="G5" i="1" l="1"/>
  <c r="E4" i="1"/>
  <c r="S5" i="1" l="1"/>
  <c r="P5" i="1"/>
  <c r="Q5" i="1"/>
  <c r="R5" i="1"/>
  <c r="G4" i="1"/>
  <c r="Q4" i="1" l="1"/>
  <c r="Q2" i="1" s="1"/>
  <c r="R4" i="1"/>
  <c r="R2" i="1" s="1"/>
  <c r="S4" i="1"/>
  <c r="S2" i="1" s="1"/>
  <c r="P4" i="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tc={7C1EDB1D-26F3-4F99-8930-0D6731320806}</author>
    <author>tc={EC8BF999-2174-4EA9-BB40-29C22C304290}</author>
  </authors>
  <commentList>
    <comment ref="I375" authorId="0" shapeId="0" xr:uid="{7C1EDB1D-26F3-4F99-8930-0D6731320806}">
      <text>
        <t>[Threaded comment]
Your version of Excel allows you to read this threaded comment; however, any edits to it will get removed if the file is opened in a newer version of Excel. Learn more: https://go.microsoft.com/fwlink/?linkid=870924
Comment:
    Amplify Partners V, Amplify Select (6/13/22)</t>
      </text>
    </comment>
    <comment ref="I404" authorId="1" shapeId="0" xr:uid="{EC8BF999-2174-4EA9-BB40-29C22C304290}">
      <text>
        <t>[Threaded comment]
Your version of Excel allows you to read this threaded comment; however, any edits to it will get removed if the file is opened in a newer version of Excel. Learn more: https://go.microsoft.com/fwlink/?linkid=870924
Comment:
    Radical Ventures II (5/7/19)</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tc={8D32030C-E7C6-654F-8763-F83B4645B655}</author>
    <author>tc={31E15604-D972-2C48-8C95-6B04D469FE75}</author>
  </authors>
  <commentList>
    <comment ref="I21" authorId="0" shapeId="0" xr:uid="{8D32030C-E7C6-654F-8763-F83B4645B655}">
      <text>
        <t>[Threaded comment]
Your version of Excel allows you to read this threaded comment; however, any edits to it will get removed if the file is opened in a newer version of Excel. Learn more: https://go.microsoft.com/fwlink/?linkid=870924
Comment:
    Tom Built GPT-3</t>
      </text>
    </comment>
    <comment ref="D116" authorId="1" shapeId="0" xr:uid="{31E15604-D972-2C48-8C95-6B04D469FE75}">
      <text>
        <t>[Threaded comment]
Your version of Excel allows you to read this threaded comment; however, any edits to it will get removed if the file is opened in a newer version of Excel. Learn more: https://go.microsoft.com/fwlink/?linkid=870924
Comment:
    https://techcrunch.com/2022/11/10/ai-powered-note-taking-app-mem-raises-23-5m-openai/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tc={9A7BDD87-4728-4B2C-A2F9-F452DF1FAEF5}</author>
  </authors>
  <commentList>
    <comment ref="E30" authorId="0" shapeId="0" xr:uid="{9A7BDD87-4728-4B2C-A2F9-F452DF1FAEF5}">
      <text>
        <t>[Threaded comment]
Your version of Excel allows you to read this threaded comment; however, any edits to it will get removed if the file is opened in a newer version of Excel. Learn more: https://go.microsoft.com/fwlink/?linkid=870924
Comment:
    Series A with ARod, Thrive, Tiger, Marc Lore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<sst xmlns="http://schemas.openxmlformats.org/spreadsheetml/2006/main" count="13535" uniqueCount="4030">
  <si>
    <t>Name</t>
  </si>
  <si>
    <t>Ticker</t>
  </si>
  <si>
    <t>Price</t>
  </si>
  <si>
    <t>MC</t>
  </si>
  <si>
    <t>Net Cash</t>
  </si>
  <si>
    <t>EV</t>
  </si>
  <si>
    <t>Update</t>
  </si>
  <si>
    <t>Microsoft</t>
  </si>
  <si>
    <t>MSFT</t>
  </si>
  <si>
    <t>Google</t>
  </si>
  <si>
    <t>GOOG</t>
  </si>
  <si>
    <t>Amazon</t>
  </si>
  <si>
    <t>AMZN</t>
  </si>
  <si>
    <t>Meta</t>
  </si>
  <si>
    <t>Q122</t>
  </si>
  <si>
    <t>TenCent</t>
  </si>
  <si>
    <t>700 HK</t>
  </si>
  <si>
    <t>Alibaba</t>
  </si>
  <si>
    <t>BABA</t>
  </si>
  <si>
    <t>Adobe</t>
  </si>
  <si>
    <t>ADBE</t>
  </si>
  <si>
    <t>Salesforce</t>
  </si>
  <si>
    <t>CRM</t>
  </si>
  <si>
    <t>Oracle</t>
  </si>
  <si>
    <t>ORCL</t>
  </si>
  <si>
    <t>SAP</t>
  </si>
  <si>
    <t>Intuit</t>
  </si>
  <si>
    <t>INTU</t>
  </si>
  <si>
    <t>JD</t>
  </si>
  <si>
    <t>ServiceNow</t>
  </si>
  <si>
    <t>NOW</t>
  </si>
  <si>
    <t>Paypal</t>
  </si>
  <si>
    <t>PYPL</t>
  </si>
  <si>
    <t>Stripe</t>
  </si>
  <si>
    <t>AirBnB</t>
  </si>
  <si>
    <t>ABNB</t>
  </si>
  <si>
    <t>Shopify</t>
  </si>
  <si>
    <t>SHOP</t>
  </si>
  <si>
    <t>Baidu</t>
  </si>
  <si>
    <t>BIDU</t>
  </si>
  <si>
    <t>Atlassian</t>
  </si>
  <si>
    <t>TEAM</t>
  </si>
  <si>
    <t>Uber</t>
  </si>
  <si>
    <t>UBER</t>
  </si>
  <si>
    <t>Snowflake</t>
  </si>
  <si>
    <t>SNOW</t>
  </si>
  <si>
    <t>Autodesk</t>
  </si>
  <si>
    <t>ADSK</t>
  </si>
  <si>
    <t>Cadence Design</t>
  </si>
  <si>
    <t>CDNS</t>
  </si>
  <si>
    <t>Workday</t>
  </si>
  <si>
    <t>WDAY</t>
  </si>
  <si>
    <t>Datadog</t>
  </si>
  <si>
    <t>DDOG</t>
  </si>
  <si>
    <t>Epic Games</t>
  </si>
  <si>
    <t>Klarna</t>
  </si>
  <si>
    <t>The Trade Desk</t>
  </si>
  <si>
    <t>TDD</t>
  </si>
  <si>
    <t>Canva</t>
  </si>
  <si>
    <t>FTX</t>
  </si>
  <si>
    <t>DoorDash</t>
  </si>
  <si>
    <t>DASH</t>
  </si>
  <si>
    <t>ANSYS</t>
  </si>
  <si>
    <t>ANSS</t>
  </si>
  <si>
    <t>Instacart</t>
  </si>
  <si>
    <t>Paycom</t>
  </si>
  <si>
    <t>PAYC</t>
  </si>
  <si>
    <t>DocuSign</t>
  </si>
  <si>
    <t>DOCU</t>
  </si>
  <si>
    <t>HubSpot</t>
  </si>
  <si>
    <t>HUBS</t>
  </si>
  <si>
    <t>Coinbase</t>
  </si>
  <si>
    <t>COIN</t>
  </si>
  <si>
    <t>AppLovin</t>
  </si>
  <si>
    <t>APP</t>
  </si>
  <si>
    <t>Spotify</t>
  </si>
  <si>
    <t>SPOT</t>
  </si>
  <si>
    <t>Roblox</t>
  </si>
  <si>
    <t>RBLX</t>
  </si>
  <si>
    <t>ZoomInfo</t>
  </si>
  <si>
    <t>ZI</t>
  </si>
  <si>
    <t>Check Point</t>
  </si>
  <si>
    <t>CHKP</t>
  </si>
  <si>
    <t>SS&amp;C</t>
  </si>
  <si>
    <t>SSNC</t>
  </si>
  <si>
    <t>Tyler Technologies</t>
  </si>
  <si>
    <t>TYL</t>
  </si>
  <si>
    <t>Chime</t>
  </si>
  <si>
    <t>Unity Software</t>
  </si>
  <si>
    <t>U</t>
  </si>
  <si>
    <t>BILL</t>
  </si>
  <si>
    <t>Aspen Technology</t>
  </si>
  <si>
    <t>AZPN</t>
  </si>
  <si>
    <t>PTC</t>
  </si>
  <si>
    <t>NICE</t>
  </si>
  <si>
    <t>Dynatrace</t>
  </si>
  <si>
    <t>DT</t>
  </si>
  <si>
    <t>DiDi</t>
  </si>
  <si>
    <t>DIDI</t>
  </si>
  <si>
    <t>Citrix</t>
  </si>
  <si>
    <t>Open Text</t>
  </si>
  <si>
    <t>OTEX</t>
  </si>
  <si>
    <t>Fair Isaac</t>
  </si>
  <si>
    <t>FICO</t>
  </si>
  <si>
    <t>Paylocity</t>
  </si>
  <si>
    <t>PCTY</t>
  </si>
  <si>
    <t>Zendesk</t>
  </si>
  <si>
    <t>ZEN</t>
  </si>
  <si>
    <t>Bentley</t>
  </si>
  <si>
    <t>BSY</t>
  </si>
  <si>
    <t>Figma</t>
  </si>
  <si>
    <t>Full Truck Alliance</t>
  </si>
  <si>
    <t>YMM</t>
  </si>
  <si>
    <t>Qualtrics</t>
  </si>
  <si>
    <t>XM</t>
  </si>
  <si>
    <t>Ceridian</t>
  </si>
  <si>
    <t>CDAY</t>
  </si>
  <si>
    <t>Globant</t>
  </si>
  <si>
    <t>GLOB</t>
  </si>
  <si>
    <t>GoPuff</t>
  </si>
  <si>
    <t>Manhattan Associates</t>
  </si>
  <si>
    <t>MANH</t>
  </si>
  <si>
    <t>Gitlab</t>
  </si>
  <si>
    <t>GTLB</t>
  </si>
  <si>
    <t>Flexport</t>
  </si>
  <si>
    <t>Avalara</t>
  </si>
  <si>
    <t>AVLR</t>
  </si>
  <si>
    <t>Elastic</t>
  </si>
  <si>
    <t>ESTC</t>
  </si>
  <si>
    <t>ProCore</t>
  </si>
  <si>
    <t>PCOR</t>
  </si>
  <si>
    <t>GuideWire</t>
  </si>
  <si>
    <t>GWRE</t>
  </si>
  <si>
    <t>Bumble</t>
  </si>
  <si>
    <t>BMBL</t>
  </si>
  <si>
    <t>Lyft</t>
  </si>
  <si>
    <t>LYFT</t>
  </si>
  <si>
    <t>CDK Global</t>
  </si>
  <si>
    <t>CDK</t>
  </si>
  <si>
    <t>RingCentral</t>
  </si>
  <si>
    <t>RNG</t>
  </si>
  <si>
    <t>WIX</t>
  </si>
  <si>
    <t>SquareSpace</t>
  </si>
  <si>
    <t>SQSP</t>
  </si>
  <si>
    <t>Anthropic</t>
  </si>
  <si>
    <t>Conjecture</t>
  </si>
  <si>
    <t>Main</t>
  </si>
  <si>
    <t>Phreesia</t>
  </si>
  <si>
    <t>PHR</t>
  </si>
  <si>
    <t>Valuation</t>
  </si>
  <si>
    <t>USDHKD</t>
  </si>
  <si>
    <t>USDRMB</t>
  </si>
  <si>
    <t>Palantir</t>
  </si>
  <si>
    <t>PLTR</t>
  </si>
  <si>
    <t>None</t>
  </si>
  <si>
    <t>Palo Alto Networks</t>
  </si>
  <si>
    <t>PANW</t>
  </si>
  <si>
    <t>CrowdStrike</t>
  </si>
  <si>
    <t>CRWD</t>
  </si>
  <si>
    <t>FTNT</t>
  </si>
  <si>
    <t>Fortinet</t>
  </si>
  <si>
    <t>Ebay</t>
  </si>
  <si>
    <t>EBAY</t>
  </si>
  <si>
    <t>Etsy</t>
  </si>
  <si>
    <t>ETSY</t>
  </si>
  <si>
    <t>SQ</t>
  </si>
  <si>
    <t>Visa</t>
  </si>
  <si>
    <t>V</t>
  </si>
  <si>
    <t>Mastercard</t>
  </si>
  <si>
    <t>Twitter</t>
  </si>
  <si>
    <t>TWTR</t>
  </si>
  <si>
    <t>Electronic Arts</t>
  </si>
  <si>
    <t>EA</t>
  </si>
  <si>
    <t>Take-Two</t>
  </si>
  <si>
    <t>TTWO</t>
  </si>
  <si>
    <t>Activision</t>
  </si>
  <si>
    <t>ATVI</t>
  </si>
  <si>
    <t>Nintendo</t>
  </si>
  <si>
    <t>Veeva</t>
  </si>
  <si>
    <t>VEEV</t>
  </si>
  <si>
    <t>Constellation</t>
  </si>
  <si>
    <t>CSU CN</t>
  </si>
  <si>
    <t>ZM</t>
  </si>
  <si>
    <t>Dassault</t>
  </si>
  <si>
    <t>DSY FP</t>
  </si>
  <si>
    <t>VMWare</t>
  </si>
  <si>
    <t>VMW</t>
  </si>
  <si>
    <t>Synopsys</t>
  </si>
  <si>
    <t>SNPS</t>
  </si>
  <si>
    <t>Zscaler</t>
  </si>
  <si>
    <t>ZS</t>
  </si>
  <si>
    <t>MongoDB</t>
  </si>
  <si>
    <t>MDB</t>
  </si>
  <si>
    <t>Splunk</t>
  </si>
  <si>
    <t>SPLK</t>
  </si>
  <si>
    <t>Twilio</t>
  </si>
  <si>
    <t>TWLO</t>
  </si>
  <si>
    <t>Cloudflare</t>
  </si>
  <si>
    <t>NET</t>
  </si>
  <si>
    <t>Okta</t>
  </si>
  <si>
    <t>OKTA</t>
  </si>
  <si>
    <t>Akamai</t>
  </si>
  <si>
    <t>AKAM</t>
  </si>
  <si>
    <t>META</t>
  </si>
  <si>
    <t>Booking</t>
  </si>
  <si>
    <t>BKNG</t>
  </si>
  <si>
    <t>Pinduoduo</t>
  </si>
  <si>
    <t>PDD</t>
  </si>
  <si>
    <t>Q222</t>
  </si>
  <si>
    <t>Global Shop Solutions</t>
  </si>
  <si>
    <t>ERP</t>
  </si>
  <si>
    <t>Description</t>
  </si>
  <si>
    <t>Fintech</t>
  </si>
  <si>
    <t>Supply Chain</t>
  </si>
  <si>
    <t>AI</t>
  </si>
  <si>
    <t>EURUSD</t>
  </si>
  <si>
    <t>NPV</t>
  </si>
  <si>
    <t>Discount</t>
  </si>
  <si>
    <t>Terminal</t>
  </si>
  <si>
    <t>ROIC</t>
  </si>
  <si>
    <t>Upside</t>
  </si>
  <si>
    <t>S/O</t>
  </si>
  <si>
    <t>Founded</t>
  </si>
  <si>
    <t>Coursera</t>
  </si>
  <si>
    <t>COUR</t>
  </si>
  <si>
    <t>Upwork</t>
  </si>
  <si>
    <t>UPWK</t>
  </si>
  <si>
    <t>Hexagon</t>
  </si>
  <si>
    <t>HEXA.B SS</t>
  </si>
  <si>
    <t>Q421</t>
  </si>
  <si>
    <t>Schrodinger</t>
  </si>
  <si>
    <t>SDGR</t>
  </si>
  <si>
    <t>Last</t>
  </si>
  <si>
    <t>USDSEK</t>
  </si>
  <si>
    <t>Matterport</t>
  </si>
  <si>
    <t>MTTR</t>
  </si>
  <si>
    <t>EPS 22</t>
  </si>
  <si>
    <t>EV/E 22</t>
  </si>
  <si>
    <t>EV/E 23</t>
  </si>
  <si>
    <t>EV/E 24</t>
  </si>
  <si>
    <t>7974 JP</t>
  </si>
  <si>
    <t>USDJPY</t>
  </si>
  <si>
    <t>USDCAD</t>
  </si>
  <si>
    <t>Jar</t>
  </si>
  <si>
    <t>Funding</t>
  </si>
  <si>
    <t>112m</t>
  </si>
  <si>
    <t>Lysto</t>
  </si>
  <si>
    <t>Gaming</t>
  </si>
  <si>
    <t>Investors</t>
  </si>
  <si>
    <t>Tiger</t>
  </si>
  <si>
    <t>Mojo</t>
  </si>
  <si>
    <t>Block</t>
  </si>
  <si>
    <t>Stake</t>
  </si>
  <si>
    <t>peach.cool</t>
  </si>
  <si>
    <t>BeReal</t>
  </si>
  <si>
    <t>Onlyfans</t>
  </si>
  <si>
    <t>Private</t>
  </si>
  <si>
    <t>Games24x7</t>
  </si>
  <si>
    <t>CD Projekt</t>
  </si>
  <si>
    <t>Ubisoft</t>
  </si>
  <si>
    <t>UBI FP</t>
  </si>
  <si>
    <t>x</t>
  </si>
  <si>
    <t>Meituan</t>
  </si>
  <si>
    <t>3690 HK</t>
  </si>
  <si>
    <t>IBM</t>
  </si>
  <si>
    <t>S&amp;P Global</t>
  </si>
  <si>
    <t>SPGI</t>
  </si>
  <si>
    <t>Sony</t>
  </si>
  <si>
    <t>6758 JP</t>
  </si>
  <si>
    <t>Automatic Data Processing</t>
  </si>
  <si>
    <t>ADP</t>
  </si>
  <si>
    <t>Netflix</t>
  </si>
  <si>
    <t>NFLX</t>
  </si>
  <si>
    <t>Fiserv</t>
  </si>
  <si>
    <t>FISV</t>
  </si>
  <si>
    <t>Netease</t>
  </si>
  <si>
    <t>NTES</t>
  </si>
  <si>
    <t>Intercontinental</t>
  </si>
  <si>
    <t>ICE</t>
  </si>
  <si>
    <t>Paychex</t>
  </si>
  <si>
    <t>PAYX</t>
  </si>
  <si>
    <t>Adyen</t>
  </si>
  <si>
    <t>ADYEN NA</t>
  </si>
  <si>
    <t>Gemini</t>
  </si>
  <si>
    <t>Drift</t>
  </si>
  <si>
    <t>Magic Eden</t>
  </si>
  <si>
    <t>ByteDance</t>
  </si>
  <si>
    <t>Pinterest</t>
  </si>
  <si>
    <t>PINS</t>
  </si>
  <si>
    <t>Kuaishou</t>
  </si>
  <si>
    <t>1024 HK</t>
  </si>
  <si>
    <t>Weibo</t>
  </si>
  <si>
    <t>WB</t>
  </si>
  <si>
    <t>Sea</t>
  </si>
  <si>
    <t>SE</t>
  </si>
  <si>
    <t>Mercadolibre</t>
  </si>
  <si>
    <t>MELI</t>
  </si>
  <si>
    <t>MSCI</t>
  </si>
  <si>
    <t>Global Payments</t>
  </si>
  <si>
    <t>GPN</t>
  </si>
  <si>
    <t>Arista</t>
  </si>
  <si>
    <t>ANET</t>
  </si>
  <si>
    <t>Experian</t>
  </si>
  <si>
    <t>EXPN LN</t>
  </si>
  <si>
    <t>Zoom</t>
  </si>
  <si>
    <t>Discover</t>
  </si>
  <si>
    <t>DFS</t>
  </si>
  <si>
    <t>Naver</t>
  </si>
  <si>
    <t>035420 KS</t>
  </si>
  <si>
    <t>Verisk</t>
  </si>
  <si>
    <t>VRSK</t>
  </si>
  <si>
    <t>Coupang</t>
  </si>
  <si>
    <t>CPNG</t>
  </si>
  <si>
    <t>Copart</t>
  </si>
  <si>
    <t>CPRT</t>
  </si>
  <si>
    <t>Nasdaq</t>
  </si>
  <si>
    <t>NDAQ</t>
  </si>
  <si>
    <t>Goto Gojek Tokopedia</t>
  </si>
  <si>
    <t>GOTO IJ</t>
  </si>
  <si>
    <t>JD Health</t>
  </si>
  <si>
    <t>6618 HK</t>
  </si>
  <si>
    <t>Amadeus</t>
  </si>
  <si>
    <t>AMS SM</t>
  </si>
  <si>
    <t>MA</t>
  </si>
  <si>
    <t>Simulations Plus</t>
  </si>
  <si>
    <t>Certera</t>
  </si>
  <si>
    <t>Discord</t>
  </si>
  <si>
    <t>Match</t>
  </si>
  <si>
    <t>MTCH</t>
  </si>
  <si>
    <t>Hinge</t>
  </si>
  <si>
    <t>Reddit</t>
  </si>
  <si>
    <t>Signal</t>
  </si>
  <si>
    <t>Truth Social</t>
  </si>
  <si>
    <t>DWAC</t>
  </si>
  <si>
    <t>Quora</t>
  </si>
  <si>
    <t>Telegram</t>
  </si>
  <si>
    <t>SecondLife</t>
  </si>
  <si>
    <t>Hashicorp</t>
  </si>
  <si>
    <t>Kakao</t>
  </si>
  <si>
    <t>035720 KS</t>
  </si>
  <si>
    <t>Z Holdings</t>
  </si>
  <si>
    <t>4689 JP</t>
  </si>
  <si>
    <t>Mozilla</t>
  </si>
  <si>
    <t>Opera</t>
  </si>
  <si>
    <t>Javascript</t>
  </si>
  <si>
    <t>WebGL</t>
  </si>
  <si>
    <t>OpenGL</t>
  </si>
  <si>
    <t>API</t>
  </si>
  <si>
    <t>application programming interface</t>
  </si>
  <si>
    <t>canvas</t>
  </si>
  <si>
    <t>HTML object</t>
  </si>
  <si>
    <t>DirectX</t>
  </si>
  <si>
    <t>Three.js</t>
  </si>
  <si>
    <t>Unity</t>
  </si>
  <si>
    <t>DOS</t>
  </si>
  <si>
    <t>FAT</t>
  </si>
  <si>
    <t>File Allocation Table</t>
  </si>
  <si>
    <t>MySpace</t>
  </si>
  <si>
    <t>BASIC</t>
  </si>
  <si>
    <t>Q322</t>
  </si>
  <si>
    <t>Hive Social</t>
  </si>
  <si>
    <t>Wizz</t>
  </si>
  <si>
    <t>Life360</t>
  </si>
  <si>
    <t>Google Meet</t>
  </si>
  <si>
    <t>Mastodon</t>
  </si>
  <si>
    <t>Plenty of Fish</t>
  </si>
  <si>
    <t>Tumblr?</t>
  </si>
  <si>
    <t>Wink</t>
  </si>
  <si>
    <t>Grindr</t>
  </si>
  <si>
    <t>Hily</t>
  </si>
  <si>
    <t>Kik</t>
  </si>
  <si>
    <t>Yubo</t>
  </si>
  <si>
    <t>Monkey Run</t>
  </si>
  <si>
    <t>WooPlus</t>
  </si>
  <si>
    <t>CougarD</t>
  </si>
  <si>
    <t>Fizz</t>
  </si>
  <si>
    <t>Glow</t>
  </si>
  <si>
    <t>Ashley Madison</t>
  </si>
  <si>
    <t>Stir</t>
  </si>
  <si>
    <t>Zoosk</t>
  </si>
  <si>
    <t>3Fun</t>
  </si>
  <si>
    <t>Upward</t>
  </si>
  <si>
    <t>SLP</t>
  </si>
  <si>
    <t>SideFX</t>
  </si>
  <si>
    <t>HCP</t>
  </si>
  <si>
    <t>Snap</t>
  </si>
  <si>
    <t>SNAP</t>
  </si>
  <si>
    <t>Redfin</t>
  </si>
  <si>
    <t>RDFN</t>
  </si>
  <si>
    <t>Opendoor</t>
  </si>
  <si>
    <t>Q422</t>
  </si>
  <si>
    <t>SONY</t>
  </si>
  <si>
    <t>Replit</t>
  </si>
  <si>
    <t>NowCoder</t>
  </si>
  <si>
    <t>Turing</t>
  </si>
  <si>
    <t>NC</t>
  </si>
  <si>
    <t>Q</t>
  </si>
  <si>
    <t>Sprinklr</t>
  </si>
  <si>
    <t>CXM</t>
  </si>
  <si>
    <t>MathWorks</t>
  </si>
  <si>
    <t>Matlab</t>
  </si>
  <si>
    <t>OpenAI</t>
  </si>
  <si>
    <t>Series B</t>
  </si>
  <si>
    <t>Claude</t>
  </si>
  <si>
    <t>Cohere</t>
  </si>
  <si>
    <t>AI21 Labs</t>
  </si>
  <si>
    <t>Doximity</t>
  </si>
  <si>
    <t>Nextracker</t>
  </si>
  <si>
    <t>Confluent</t>
  </si>
  <si>
    <t>Pinecone</t>
  </si>
  <si>
    <t>Langchain</t>
  </si>
  <si>
    <t>Last Round</t>
  </si>
  <si>
    <t>Size</t>
  </si>
  <si>
    <t>Product</t>
  </si>
  <si>
    <t>People</t>
  </si>
  <si>
    <t>Stability AI</t>
  </si>
  <si>
    <t>C3</t>
  </si>
  <si>
    <t>Perplexity AI</t>
  </si>
  <si>
    <t>Character AI</t>
  </si>
  <si>
    <t>Hugging Face</t>
  </si>
  <si>
    <t>Jasper</t>
  </si>
  <si>
    <t>Fetch.ai</t>
  </si>
  <si>
    <t>Weights and Biases</t>
  </si>
  <si>
    <t>Glean</t>
  </si>
  <si>
    <t>Typeface</t>
  </si>
  <si>
    <t>Cruise</t>
  </si>
  <si>
    <t>Databricks</t>
  </si>
  <si>
    <t>Tesla</t>
  </si>
  <si>
    <t>Olive</t>
  </si>
  <si>
    <t>Notes</t>
  </si>
  <si>
    <t>Healthcare</t>
  </si>
  <si>
    <t>Adept AI</t>
  </si>
  <si>
    <t>Inflection AI</t>
  </si>
  <si>
    <t>Moveworks</t>
  </si>
  <si>
    <t>Zoovu</t>
  </si>
  <si>
    <t>Nauto</t>
  </si>
  <si>
    <t>Concert AI</t>
  </si>
  <si>
    <t>Clarify Health</t>
  </si>
  <si>
    <t>Innovaccer</t>
  </si>
  <si>
    <t>Verbit</t>
  </si>
  <si>
    <t>Yi+</t>
  </si>
  <si>
    <t>K Health</t>
  </si>
  <si>
    <t>Observe.AI</t>
  </si>
  <si>
    <t>Climavision</t>
  </si>
  <si>
    <t>Parametrix AI</t>
  </si>
  <si>
    <t>People.ai</t>
  </si>
  <si>
    <t>Game, NPC world</t>
  </si>
  <si>
    <t>Ascertain</t>
  </si>
  <si>
    <t>Noam Shazeer</t>
  </si>
  <si>
    <t>Inworld</t>
  </si>
  <si>
    <t>Wizard</t>
  </si>
  <si>
    <t>Ecommerce</t>
  </si>
  <si>
    <t>The Applied AI Company</t>
  </si>
  <si>
    <t>Irreverant Labs</t>
  </si>
  <si>
    <t>Modular</t>
  </si>
  <si>
    <t>Neo Cybernetica</t>
  </si>
  <si>
    <t>Stealth</t>
  </si>
  <si>
    <t>AXON Networks</t>
  </si>
  <si>
    <t>Orchestration</t>
  </si>
  <si>
    <t>Search</t>
  </si>
  <si>
    <t>Magic</t>
  </si>
  <si>
    <t>Programming</t>
  </si>
  <si>
    <t>Exafunction</t>
  </si>
  <si>
    <t>EnCharge AI</t>
  </si>
  <si>
    <t>Generally Intelligent</t>
  </si>
  <si>
    <t>Fixie.ai</t>
  </si>
  <si>
    <t>Enchanted Tools</t>
  </si>
  <si>
    <t>Tenyx</t>
  </si>
  <si>
    <t>Haiper</t>
  </si>
  <si>
    <t>Notion</t>
  </si>
  <si>
    <t>Sequoia, Coatue, Shine</t>
  </si>
  <si>
    <t>275 Series C 10/8/2021</t>
  </si>
  <si>
    <t>50m Series B 4/2/2020 at 2B</t>
  </si>
  <si>
    <t>Niantic</t>
  </si>
  <si>
    <t>Paddle</t>
  </si>
  <si>
    <t>Benchling</t>
  </si>
  <si>
    <t>Vercel</t>
  </si>
  <si>
    <t>BlueSky</t>
  </si>
  <si>
    <t>AWS</t>
  </si>
  <si>
    <t>TikTok</t>
  </si>
  <si>
    <t>Cadence</t>
  </si>
  <si>
    <t>MicroPro</t>
  </si>
  <si>
    <t>Fielded WordStar, first word processor</t>
  </si>
  <si>
    <t>VisiCalc</t>
  </si>
  <si>
    <t>Q123</t>
  </si>
  <si>
    <t>Cerner</t>
  </si>
  <si>
    <t>PeopleSoft</t>
  </si>
  <si>
    <t>Siebel</t>
  </si>
  <si>
    <t>Instagram</t>
  </si>
  <si>
    <t>Aquantive</t>
  </si>
  <si>
    <t>Red Hat</t>
  </si>
  <si>
    <t>Total</t>
  </si>
  <si>
    <t>FSD</t>
  </si>
  <si>
    <t>Command</t>
  </si>
  <si>
    <t>TSLA</t>
  </si>
  <si>
    <t>Midjourney</t>
  </si>
  <si>
    <t>N/A</t>
  </si>
  <si>
    <t>FB</t>
  </si>
  <si>
    <t>Llama</t>
  </si>
  <si>
    <t>Yann Le Cun</t>
  </si>
  <si>
    <t>GPT4, ChatGPT</t>
  </si>
  <si>
    <t>Self-Funded</t>
  </si>
  <si>
    <t>Paperspace</t>
  </si>
  <si>
    <t>Nomic</t>
  </si>
  <si>
    <t>Chroma</t>
  </si>
  <si>
    <t>Jurassic-2</t>
  </si>
  <si>
    <t>Docs</t>
  </si>
  <si>
    <t>HuggingChat</t>
  </si>
  <si>
    <t>Clement Delangue</t>
  </si>
  <si>
    <t>OpenAssistant</t>
  </si>
  <si>
    <t>Trainium, Bedrock, Infernium</t>
  </si>
  <si>
    <t>MAUs</t>
  </si>
  <si>
    <t>MC/MAU</t>
  </si>
  <si>
    <t>MAU</t>
  </si>
  <si>
    <t>Essential AI</t>
  </si>
  <si>
    <t>Roper</t>
  </si>
  <si>
    <t>ROP</t>
  </si>
  <si>
    <t>Beijing Kingsoft</t>
  </si>
  <si>
    <t>688111 CH</t>
  </si>
  <si>
    <t>iFlyTek</t>
  </si>
  <si>
    <t>002230 CH</t>
  </si>
  <si>
    <t>Kaspi</t>
  </si>
  <si>
    <t>KSPI KZ</t>
  </si>
  <si>
    <t>Obic</t>
  </si>
  <si>
    <t>4684 JP</t>
  </si>
  <si>
    <t>Wisetech</t>
  </si>
  <si>
    <t>WTC AU</t>
  </si>
  <si>
    <t>Hundsun</t>
  </si>
  <si>
    <t>600570 CH</t>
  </si>
  <si>
    <t>20 HK</t>
  </si>
  <si>
    <t>SenseTime</t>
  </si>
  <si>
    <t>Gen Digital</t>
  </si>
  <si>
    <t>GEN</t>
  </si>
  <si>
    <t>Sage</t>
  </si>
  <si>
    <t>SGE LN</t>
  </si>
  <si>
    <t>YonYou</t>
  </si>
  <si>
    <t>600588 CH</t>
  </si>
  <si>
    <t>Bill Holdings</t>
  </si>
  <si>
    <t>002410 CH Equity</t>
  </si>
  <si>
    <t>Glodon</t>
  </si>
  <si>
    <t>Samsara</t>
  </si>
  <si>
    <t>IOT</t>
  </si>
  <si>
    <t>HarveyAI</t>
  </si>
  <si>
    <t>Legal</t>
  </si>
  <si>
    <t>Series A</t>
  </si>
  <si>
    <t>Descript</t>
  </si>
  <si>
    <t>Mem</t>
  </si>
  <si>
    <t>Speak</t>
  </si>
  <si>
    <t>Email</t>
  </si>
  <si>
    <t>Seed</t>
  </si>
  <si>
    <t>HyperWrite</t>
  </si>
  <si>
    <t>OthersideAI</t>
  </si>
  <si>
    <t>Stable Diffusion</t>
  </si>
  <si>
    <t>Emad Mostaque</t>
  </si>
  <si>
    <t>Aidan Gomez, Nick Frosst</t>
  </si>
  <si>
    <t>Blockchain Dev Platform</t>
  </si>
  <si>
    <t>DWF Labs</t>
  </si>
  <si>
    <t>Lightspeed, GV, M12, Menlo Ventures</t>
  </si>
  <si>
    <t>Vector Store</t>
  </si>
  <si>
    <t>Assistant</t>
  </si>
  <si>
    <t>Pi</t>
  </si>
  <si>
    <t>Chatbot</t>
  </si>
  <si>
    <t>Ashish Vaswani, Niki Parmar</t>
  </si>
  <si>
    <t>Elad Gil, Thrive Capital</t>
  </si>
  <si>
    <t>Wysa</t>
  </si>
  <si>
    <t>Series C</t>
  </si>
  <si>
    <t>Andrew Mason</t>
  </si>
  <si>
    <t>Health</t>
  </si>
  <si>
    <t>Spellbook</t>
  </si>
  <si>
    <t>Voice AI</t>
  </si>
  <si>
    <t>Hippocratic</t>
  </si>
  <si>
    <t>Gan.ai</t>
  </si>
  <si>
    <t>ElevenLabs</t>
  </si>
  <si>
    <t>Writesonic</t>
  </si>
  <si>
    <t>Workhack</t>
  </si>
  <si>
    <t>Orby AI</t>
  </si>
  <si>
    <t>Consensus</t>
  </si>
  <si>
    <t>Kumo.AI</t>
  </si>
  <si>
    <t>Hume AI</t>
  </si>
  <si>
    <t>SapientAI</t>
  </si>
  <si>
    <t>Autonomize AI</t>
  </si>
  <si>
    <t>Predibase</t>
  </si>
  <si>
    <t>Fabi.ai</t>
  </si>
  <si>
    <t>MURF.AI</t>
  </si>
  <si>
    <t>CodiumAI</t>
  </si>
  <si>
    <t>Wispr</t>
  </si>
  <si>
    <t>Yoodli</t>
  </si>
  <si>
    <t>prezent.ai</t>
  </si>
  <si>
    <t>Artera</t>
  </si>
  <si>
    <t>Booth AI</t>
  </si>
  <si>
    <t>Xerataus IQX</t>
  </si>
  <si>
    <t>Kognitos</t>
  </si>
  <si>
    <t>Kubiya.ai</t>
  </si>
  <si>
    <t>Protex AI</t>
  </si>
  <si>
    <t>Mana</t>
  </si>
  <si>
    <t>One AI</t>
  </si>
  <si>
    <t>Capitol</t>
  </si>
  <si>
    <t>Ask-AI</t>
  </si>
  <si>
    <t>Immutable</t>
  </si>
  <si>
    <t>$15m Series A</t>
  </si>
  <si>
    <t>Prior Round</t>
  </si>
  <si>
    <t>Character.ai</t>
  </si>
  <si>
    <t>Nvidia</t>
  </si>
  <si>
    <t>NVDA</t>
  </si>
  <si>
    <t>Deeproute</t>
  </si>
  <si>
    <t>Self-Driving Car</t>
  </si>
  <si>
    <t>Chinese</t>
  </si>
  <si>
    <t>Glance</t>
  </si>
  <si>
    <t>Trading around 8000 in secondary markets</t>
  </si>
  <si>
    <t>200m Series D</t>
  </si>
  <si>
    <t>Vianai</t>
  </si>
  <si>
    <t>Tecton</t>
  </si>
  <si>
    <t>Subtype</t>
  </si>
  <si>
    <t>Consumer</t>
  </si>
  <si>
    <t>Enterprise</t>
  </si>
  <si>
    <t>Tool</t>
  </si>
  <si>
    <t>Anyscale</t>
  </si>
  <si>
    <t>OctoML</t>
  </si>
  <si>
    <t>Snorkel AI</t>
  </si>
  <si>
    <t>Content</t>
  </si>
  <si>
    <t>Figure</t>
  </si>
  <si>
    <t>Supremind</t>
  </si>
  <si>
    <t>Big Surveillance</t>
  </si>
  <si>
    <t>Weaviate</t>
  </si>
  <si>
    <t>2019</t>
  </si>
  <si>
    <t>2022</t>
  </si>
  <si>
    <t>Abacus.AI</t>
  </si>
  <si>
    <t>Datagen</t>
  </si>
  <si>
    <t>Avatars</t>
  </si>
  <si>
    <t>2018</t>
  </si>
  <si>
    <t>AI Rudder</t>
  </si>
  <si>
    <t>Call Center</t>
  </si>
  <si>
    <t>d-Matrix</t>
  </si>
  <si>
    <t>Compute</t>
  </si>
  <si>
    <t>Lambda Labs</t>
  </si>
  <si>
    <t>Vedrai</t>
  </si>
  <si>
    <t>MLOps</t>
  </si>
  <si>
    <t>Agents</t>
  </si>
  <si>
    <t>Prompt</t>
  </si>
  <si>
    <t>Video</t>
  </si>
  <si>
    <t>Business Intelligence</t>
  </si>
  <si>
    <t>Sub-Subtype</t>
  </si>
  <si>
    <t>Language Model</t>
  </si>
  <si>
    <t>Surveillance</t>
  </si>
  <si>
    <t>Voice</t>
  </si>
  <si>
    <t>Automotive</t>
  </si>
  <si>
    <t>Hardware</t>
  </si>
  <si>
    <t>Tome</t>
  </si>
  <si>
    <t>2020</t>
  </si>
  <si>
    <t>Lightning AI</t>
  </si>
  <si>
    <t>Skan.ai</t>
  </si>
  <si>
    <t>Games</t>
  </si>
  <si>
    <t>Arize AI</t>
  </si>
  <si>
    <t>Sima.AI</t>
  </si>
  <si>
    <t>V7</t>
  </si>
  <si>
    <t>Robust Intelligence</t>
  </si>
  <si>
    <t>Imagen</t>
  </si>
  <si>
    <t>Photos</t>
  </si>
  <si>
    <t>Robotics</t>
  </si>
  <si>
    <t>Jina AI</t>
  </si>
  <si>
    <t>Nr2</t>
  </si>
  <si>
    <t>Searching for investments for investors</t>
  </si>
  <si>
    <t>Merlyn Mind</t>
  </si>
  <si>
    <t>Upstage AI</t>
  </si>
  <si>
    <t>ExpressSteuer</t>
  </si>
  <si>
    <t>Taxes</t>
  </si>
  <si>
    <t>Aleph Alpha</t>
  </si>
  <si>
    <t>Surge AI</t>
  </si>
  <si>
    <t>Heartex</t>
  </si>
  <si>
    <t>Pre-Seed</t>
  </si>
  <si>
    <t>Aiola</t>
  </si>
  <si>
    <t>TruEra</t>
  </si>
  <si>
    <t>Aporia</t>
  </si>
  <si>
    <t>Deci AI</t>
  </si>
  <si>
    <t>Phaidra</t>
  </si>
  <si>
    <t>Plant</t>
  </si>
  <si>
    <t>Waymo</t>
  </si>
  <si>
    <t>Scale</t>
  </si>
  <si>
    <t>Nabla</t>
  </si>
  <si>
    <t>Hour One</t>
  </si>
  <si>
    <t>Pactum</t>
  </si>
  <si>
    <t>Procurement</t>
  </si>
  <si>
    <t>Wiz.ai</t>
  </si>
  <si>
    <t>Deepdub</t>
  </si>
  <si>
    <t>Daloopa</t>
  </si>
  <si>
    <t>Finance</t>
  </si>
  <si>
    <t>Axios HQ</t>
  </si>
  <si>
    <t>Artificial Reality</t>
  </si>
  <si>
    <t>Roboflow</t>
  </si>
  <si>
    <t>Computer Vision</t>
  </si>
  <si>
    <t>Rasgo</t>
  </si>
  <si>
    <t>TruLens</t>
  </si>
  <si>
    <t>Synthesis AI</t>
  </si>
  <si>
    <t>Torre</t>
  </si>
  <si>
    <t>Recruiting</t>
  </si>
  <si>
    <t>Alethea AI</t>
  </si>
  <si>
    <t>Zuva</t>
  </si>
  <si>
    <t>Xembly</t>
  </si>
  <si>
    <t>Customer Service</t>
  </si>
  <si>
    <t>Encord</t>
  </si>
  <si>
    <t>SuperAnnotate</t>
  </si>
  <si>
    <t>Graft</t>
  </si>
  <si>
    <t>Zowie</t>
  </si>
  <si>
    <t>Text-to-3D</t>
  </si>
  <si>
    <t>Bridgewise</t>
  </si>
  <si>
    <t>Numbers Station</t>
  </si>
  <si>
    <t>Replicate</t>
  </si>
  <si>
    <t>Vectice</t>
  </si>
  <si>
    <t>Autism</t>
  </si>
  <si>
    <t>Datarobot</t>
  </si>
  <si>
    <t>hOS</t>
  </si>
  <si>
    <t>Credo AI</t>
  </si>
  <si>
    <t>Synthetaic</t>
  </si>
  <si>
    <t>Voxel51</t>
  </si>
  <si>
    <t>Faros AI</t>
  </si>
  <si>
    <t>Baseten</t>
  </si>
  <si>
    <t>LatticeFlow</t>
  </si>
  <si>
    <t>Lavender</t>
  </si>
  <si>
    <t>Rewrite cold emails</t>
  </si>
  <si>
    <t>CopyAI</t>
  </si>
  <si>
    <t>Marketing copy</t>
  </si>
  <si>
    <t>Sales</t>
  </si>
  <si>
    <t>Rephrase.ai</t>
  </si>
  <si>
    <t>Test Suites</t>
  </si>
  <si>
    <t>Robin AI</t>
  </si>
  <si>
    <t>Contracts</t>
  </si>
  <si>
    <t>Got It AI</t>
  </si>
  <si>
    <t>Koxy AI</t>
  </si>
  <si>
    <t>Auto</t>
  </si>
  <si>
    <t>Driver assistance</t>
  </si>
  <si>
    <t>Acquired</t>
  </si>
  <si>
    <t>Insurance</t>
  </si>
  <si>
    <t>RWD</t>
  </si>
  <si>
    <t>Personal Computing</t>
  </si>
  <si>
    <t>Supernormal</t>
  </si>
  <si>
    <t>Meetings</t>
  </si>
  <si>
    <t>Satya Nadella</t>
  </si>
  <si>
    <t>Jeff Dean</t>
  </si>
  <si>
    <t>Series E</t>
  </si>
  <si>
    <t>Labeling</t>
  </si>
  <si>
    <t>Y Combinator</t>
  </si>
  <si>
    <t>Wellington</t>
  </si>
  <si>
    <t>Human Capital</t>
  </si>
  <si>
    <t>Greenoaks</t>
  </si>
  <si>
    <t>Founders Fund</t>
  </si>
  <si>
    <t>Durable Capital Partners</t>
  </si>
  <si>
    <t>Dragoneer Investment Group</t>
  </si>
  <si>
    <t>Coatue</t>
  </si>
  <si>
    <t>Fund</t>
  </si>
  <si>
    <t>Round</t>
  </si>
  <si>
    <t>Company</t>
  </si>
  <si>
    <t>Scale.ai</t>
  </si>
  <si>
    <t>Raised</t>
  </si>
  <si>
    <t>Date</t>
  </si>
  <si>
    <t>Alexandr Wang</t>
  </si>
  <si>
    <t>Series D</t>
  </si>
  <si>
    <t>Tiger, Bradley Horowitz</t>
  </si>
  <si>
    <t>Lucy Guo co-founder</t>
  </si>
  <si>
    <t>Series D: 3.5B valuation</t>
  </si>
  <si>
    <t>All</t>
  </si>
  <si>
    <t>Founders Fund, Thrive, Spark, Next Play, Index, Mike Krieger, Kevin Systrom, Coatue, Adam D'Angelo, Accel</t>
  </si>
  <si>
    <t>Thrive Capital</t>
  </si>
  <si>
    <t>Spark Capital</t>
  </si>
  <si>
    <t>Next Play Ventures</t>
  </si>
  <si>
    <t>Index Ventures</t>
  </si>
  <si>
    <t>Accel</t>
  </si>
  <si>
    <t>Y Combinator, Justin Kan, Index, Drew Houston, Accel</t>
  </si>
  <si>
    <t>Y Combinator, Outlander Fund I, Nat Friedman, Ilya Sukhar, Guillermo Rauch, Greg Brockman, Charlie Cheever, Accel</t>
  </si>
  <si>
    <t>Outlander Fund</t>
  </si>
  <si>
    <t>Spark, Zoom, Sound, Salesforce, Menlo, Google</t>
  </si>
  <si>
    <t>Zoom Ventures</t>
  </si>
  <si>
    <t>Sound Ventures</t>
  </si>
  <si>
    <t>Salesforce Ventures</t>
  </si>
  <si>
    <t>Menlo Ventures</t>
  </si>
  <si>
    <t>One-Off</t>
  </si>
  <si>
    <t>ChatGPT, Bing, Co-Pilot</t>
  </si>
  <si>
    <t>Bard, TensorFlow</t>
  </si>
  <si>
    <t>James McClave, Jaan Tallinn, Eric Schmidt, Dustin Moskovitz, CERR</t>
  </si>
  <si>
    <t>Coatue, Fourth Revolution, Kadmos, Lightspeed, O'Shaughnessy</t>
  </si>
  <si>
    <t>CEO is sketchy</t>
  </si>
  <si>
    <t>O'Shaughnessy</t>
  </si>
  <si>
    <t>Lightspeed Venture Partners</t>
  </si>
  <si>
    <t>Kadmos</t>
  </si>
  <si>
    <t>Fourth Revolution</t>
  </si>
  <si>
    <t>Inovia, Thomvest, SentinelOne, Schroders, Salesforce, Oracle, Nvidia, Mirae, Index, DTCP</t>
  </si>
  <si>
    <t>Inovia</t>
  </si>
  <si>
    <t>SentinelOne</t>
  </si>
  <si>
    <t>Schroders</t>
  </si>
  <si>
    <t>Mirae</t>
  </si>
  <si>
    <t>DTCP</t>
  </si>
  <si>
    <t>Tiger, Section32, Radical Ventures, Index Ventures, Geoff Hinton, Raqel Urtasun, Fei-Fei Li, Pieter Abbeel</t>
  </si>
  <si>
    <t>Section 32</t>
  </si>
  <si>
    <t>Radical Ventures</t>
  </si>
  <si>
    <t>Section 32, Raqel Urtasun, Radical Ventures, Pieter Abebeel, Index Ventures, Geoff Hinton, Fei-Fei Li</t>
  </si>
  <si>
    <t>Tiger, Coatue, Y Combinator, Wellington, Index, Human Capital, Greenoaks, Founders Fund, Durable Capital, Dragoneer</t>
  </si>
  <si>
    <t>Lux Capital, Thirty Five Ventures, SVA, Sequoia Capital, Cygni Capital, Coatue, Betaworks, Rich Kleiman, Olivier Pomel, Kevin Durant, AIX Ventures, Addition, A.Capital</t>
  </si>
  <si>
    <t>Lux Capital</t>
  </si>
  <si>
    <t>Huggingface</t>
  </si>
  <si>
    <t>Thirty Five Ventures</t>
  </si>
  <si>
    <t>SVA</t>
  </si>
  <si>
    <t>Sequoia</t>
  </si>
  <si>
    <t>Cygni Capital</t>
  </si>
  <si>
    <t>Betaworks</t>
  </si>
  <si>
    <t>AIX Ventures</t>
  </si>
  <si>
    <t>Addition</t>
  </si>
  <si>
    <t>A.Capital</t>
  </si>
  <si>
    <t>Addition, Rich Kleiman, Richard Socher, Paul St. John, Olivier Pomel, Lux Capital, Kevin Durant, Florian Douetteau, Dev Ittycheria, Betaworks, Augusto Marietti, Alex Wang, A. Capital</t>
  </si>
  <si>
    <t>Lux Capital, Thirty Five Ventures, Betaworks, A. Capital, Greg Brockman, Richard Socher, Charles Zedlewski, Augusto Marietti</t>
  </si>
  <si>
    <t>Thirty Five Ventures, Kevin Durant, Betaworks, A. Capital, Ronny Conway</t>
  </si>
  <si>
    <t>Thibaud Elziere, Terrence Rohan, SVA, Richard Socher, Clement Benoit, Betaworks</t>
  </si>
  <si>
    <t>Angel</t>
  </si>
  <si>
    <t>IPO</t>
  </si>
  <si>
    <t>Thomas Siebel</t>
  </si>
  <si>
    <t>Series F</t>
  </si>
  <si>
    <t>TPG Growth, Sutter Hill Ventures, The Rise Fund, Breyer Capital</t>
  </si>
  <si>
    <t>John Morgan, Dave Rogenmoser</t>
  </si>
  <si>
    <t>Coatue, Insight Partners, Foundation Capital, Bessemer, IVP, HubSpot, Founders Circle</t>
  </si>
  <si>
    <t>Quarry, Bossanova</t>
  </si>
  <si>
    <t>AAF, Foundation, Four Cities</t>
  </si>
  <si>
    <t>Quebec</t>
  </si>
  <si>
    <t>HQ</t>
  </si>
  <si>
    <t>Writing</t>
  </si>
  <si>
    <t>Insight Partners</t>
  </si>
  <si>
    <t>IVP</t>
  </si>
  <si>
    <t>HubSpot Ventures</t>
  </si>
  <si>
    <t>Founders Circle Capital</t>
  </si>
  <si>
    <t>Foundation Capital</t>
  </si>
  <si>
    <t>Bessemer Venture Partners</t>
  </si>
  <si>
    <t>Quarry</t>
  </si>
  <si>
    <t>Bossanova</t>
  </si>
  <si>
    <t>Four Cities</t>
  </si>
  <si>
    <t>AAF Management</t>
  </si>
  <si>
    <t>Toronto</t>
  </si>
  <si>
    <t>London</t>
  </si>
  <si>
    <t>San Francisco</t>
  </si>
  <si>
    <t>Hong Kong</t>
  </si>
  <si>
    <t>Anhui, China</t>
  </si>
  <si>
    <t>Mountain View, CA</t>
  </si>
  <si>
    <t>Redwood City, CA</t>
  </si>
  <si>
    <t>Menlo Park, CA</t>
  </si>
  <si>
    <t>Santa Clara, CA</t>
  </si>
  <si>
    <t>Seattle</t>
  </si>
  <si>
    <t>Austin</t>
  </si>
  <si>
    <t>Redmond, WA</t>
  </si>
  <si>
    <t>Palo Alto, CA</t>
  </si>
  <si>
    <t>Reid Hoffman, Mustafa Suleyman</t>
  </si>
  <si>
    <t>Greylock</t>
  </si>
  <si>
    <t>Said they wanted to raise $600m in March 2023, hasn’t materialized</t>
  </si>
  <si>
    <t>Model Tool Platform</t>
  </si>
  <si>
    <t>Nvidia, Coatue, Bond, Insight Partners, Felicis</t>
  </si>
  <si>
    <t>Weights &amp; Biases</t>
  </si>
  <si>
    <t>Bond</t>
  </si>
  <si>
    <t>Felicis</t>
  </si>
  <si>
    <t>Insight Partners, Bloomberg Beta, Richard Socher, Jeff Hammerbacher, Nat Friedman, Trinity Ventures, Pieter Abbeel, Coatue, Tom Preston-Werner</t>
  </si>
  <si>
    <t>Trinity Ventures</t>
  </si>
  <si>
    <t>Bloomberg Beta</t>
  </si>
  <si>
    <t>Trinity Ventures, Hack VC, Gaingels, Bloomberg Beta</t>
  </si>
  <si>
    <t>Hack VC</t>
  </si>
  <si>
    <t>Gaingels</t>
  </si>
  <si>
    <t>Lukas Biewald, Chris Pelt, Shawn Lewis</t>
  </si>
  <si>
    <t>OpenAI is a customer</t>
  </si>
  <si>
    <t>Uses GPT3.5</t>
  </si>
  <si>
    <t>Public benefit corp, EA-coded</t>
  </si>
  <si>
    <t>Wanted higher valuation</t>
  </si>
  <si>
    <t>Runway</t>
  </si>
  <si>
    <t>Text-to-Video</t>
  </si>
  <si>
    <t>Andreessen Horowitz, A.Capital, Elad Gil, Nat Friedman, SVA</t>
  </si>
  <si>
    <t>Noam invented transformers</t>
  </si>
  <si>
    <t>a16z</t>
  </si>
  <si>
    <t>Elad Gil</t>
  </si>
  <si>
    <t>Nat Friedman</t>
  </si>
  <si>
    <t>A.Capital, SVA, Paul Buchheit, Nat Friedman, Elad Gil</t>
  </si>
  <si>
    <t>David Luan</t>
  </si>
  <si>
    <t>Pre-product…</t>
  </si>
  <si>
    <t>Greylock, Andrej Karpathy, Addition, Chris Re, Howie Liu, Joe Morrissey, Root Ventures, Sarah Meyohas, Scott Belsky</t>
  </si>
  <si>
    <t>Spark Capital, General Catalyst, PSP Growth, NVDA, MSFT, Greylock, Frontiers Capital, Caterina Fake, Atlassian, Addition, A.Capital, SVA, Workday</t>
  </si>
  <si>
    <t>General Catalyst</t>
  </si>
  <si>
    <t>PSP Growth</t>
  </si>
  <si>
    <t>Frontiers Capital</t>
  </si>
  <si>
    <t>Discord Bot</t>
  </si>
  <si>
    <t>David Holz</t>
  </si>
  <si>
    <t>No outside investors, only 9 employees</t>
  </si>
  <si>
    <t>South SF, CA</t>
  </si>
  <si>
    <t>Softbank</t>
  </si>
  <si>
    <t>Series D: 5B valuation</t>
  </si>
  <si>
    <t>Series C: 3.9B valuation</t>
  </si>
  <si>
    <t>Tiger, Silver Lake, Fidelity, HOPU, Qualcomm, 5Y, Singtel Innov8</t>
  </si>
  <si>
    <t>Alibaba, Temasek, Suning</t>
  </si>
  <si>
    <t>Zhongping, WANDA, TCL, CDH, Sailing, StarVC, Infore, Huarong, Everbright</t>
  </si>
  <si>
    <t>Li Xu, Xiagang Wang, Bing Xu</t>
  </si>
  <si>
    <t>Rogue VC, Google</t>
  </si>
  <si>
    <t>Rogue</t>
  </si>
  <si>
    <t>Madrona</t>
  </si>
  <si>
    <t>Compound</t>
  </si>
  <si>
    <t>Amplify</t>
  </si>
  <si>
    <t>Lux, Madrona, Felicis, Compound, Coatue, Amplify</t>
  </si>
  <si>
    <t>Coatue, Amplify, Compound, Lux</t>
  </si>
  <si>
    <t>Lux</t>
  </si>
  <si>
    <t>Amplify, Lux, Compound, Bossanova</t>
  </si>
  <si>
    <t>Cristobal Valenzuela, Anastasis Germanidis</t>
  </si>
  <si>
    <t>Text-to-video, text-to-speech</t>
  </si>
  <si>
    <t>Alibaba, Glory Ventures, Jeneration Capital, Geely, Fosun, Yunqi</t>
  </si>
  <si>
    <t>Shenzhen</t>
  </si>
  <si>
    <t>Maxwell Zhou</t>
  </si>
  <si>
    <t>Speech</t>
  </si>
  <si>
    <t>Qingfeng Lu</t>
  </si>
  <si>
    <t>Vector Database</t>
  </si>
  <si>
    <t>Edo Liberty</t>
  </si>
  <si>
    <t>Popular VectorDB</t>
  </si>
  <si>
    <t>a16z, ICONIQ, Menlo, Wing Venture</t>
  </si>
  <si>
    <t>Wing Venture</t>
  </si>
  <si>
    <t>Wing, Tiger, Menlo</t>
  </si>
  <si>
    <t>Wing</t>
  </si>
  <si>
    <t>Tiger, Madrona, Amplify, Addition</t>
  </si>
  <si>
    <t>Luis Ceze</t>
  </si>
  <si>
    <t>Built on Apache TVM</t>
  </si>
  <si>
    <t>ML Platform</t>
  </si>
  <si>
    <t>Addition, Amplify, Madrona</t>
  </si>
  <si>
    <t>Amplify, Madrona</t>
  </si>
  <si>
    <t>Madrona, Amplify</t>
  </si>
  <si>
    <t>BlackRock, Addition, Lightspeed, Greylock, Google Ventures, Nepenthe, Stonebridge, Walden</t>
  </si>
  <si>
    <t>Lee Fixel</t>
  </si>
  <si>
    <t>Quiet</t>
  </si>
  <si>
    <t>Snorkel Flow: Data Labeling</t>
  </si>
  <si>
    <t>Blackrock</t>
  </si>
  <si>
    <t>Walden International</t>
  </si>
  <si>
    <t>Stonebridge Ventures</t>
  </si>
  <si>
    <t>Nepenthe Capital</t>
  </si>
  <si>
    <t>Lightspeed, Nepenthe, In-Q-Tel, Greylock, Google, Boston Trust Walden, Blackrock</t>
  </si>
  <si>
    <t>In-Q-Tel</t>
  </si>
  <si>
    <t>Boston Trust Walden Company</t>
  </si>
  <si>
    <t>Greylock, In-Q-Tel, Google</t>
  </si>
  <si>
    <t>SVA, Greylock, Google, Accel, In-Q-Tel</t>
  </si>
  <si>
    <t>Tel Aviv, Israel</t>
  </si>
  <si>
    <t>Ori Goshen</t>
  </si>
  <si>
    <t>Ahren Innovation, Pitango VC, TPY Capital, Walden Catalyst</t>
  </si>
  <si>
    <t>Walden Catalyst</t>
  </si>
  <si>
    <t>Pitango VC, TPY Capital</t>
  </si>
  <si>
    <t>T. Rowe Price, Tiger, Temasek, Silver Lake, PerryCreek, Mubadala, Magna, Fidelity, CPPIB, AutoNation, a16z, Alphabet</t>
  </si>
  <si>
    <t>T. Rowe Price</t>
  </si>
  <si>
    <t>Temasek</t>
  </si>
  <si>
    <t>Silver Lake</t>
  </si>
  <si>
    <t>Perry Creek</t>
  </si>
  <si>
    <t>Mubadala</t>
  </si>
  <si>
    <t>Magna</t>
  </si>
  <si>
    <t>CPPIB</t>
  </si>
  <si>
    <t>AutoNation</t>
  </si>
  <si>
    <t>Fidelity</t>
  </si>
  <si>
    <t>Originally a Google division</t>
  </si>
  <si>
    <t>Silver Lake, CPPIB, Mubadala, Magna, AutoNation, a16z, Alphabet</t>
  </si>
  <si>
    <t>Tekedra Mawakana, Dmitri Dolgov</t>
  </si>
  <si>
    <t>Video Editor</t>
  </si>
  <si>
    <t>OpenAI, Spark, Redpoint, Daniel Gross, a16z</t>
  </si>
  <si>
    <t>Spark Capital, Redpoint, a16z, HubSpot Ventures</t>
  </si>
  <si>
    <t>a16z, Redpoint</t>
  </si>
  <si>
    <t>VianOps, ML Monitoring</t>
  </si>
  <si>
    <t>Vishal Sikka</t>
  </si>
  <si>
    <t>Softbank, Jim Davidson, Jerry Yang, Henry Kravis, George Roberts</t>
  </si>
  <si>
    <t>Seems like a zero</t>
  </si>
  <si>
    <t>Enterprise Search</t>
  </si>
  <si>
    <t>Sequoia, Slack Fund, Lightspeed, Kleiner Perkins, General Catalyst</t>
  </si>
  <si>
    <t>Arvind Jain</t>
  </si>
  <si>
    <t>Slack</t>
  </si>
  <si>
    <t>Kleiner Perkins</t>
  </si>
  <si>
    <t>General Catalyst, Slack, Lightpseed, Kleiner Perkins</t>
  </si>
  <si>
    <t>Lightspeed, Kleiner Perkins, Slack</t>
  </si>
  <si>
    <t>Not an AI company</t>
  </si>
  <si>
    <t>Seems overhyped</t>
  </si>
  <si>
    <t>Feature Store</t>
  </si>
  <si>
    <t>Kleiner Perkins, Tiger, Snowflake, Sequoia, Databricks, Bain, a16z</t>
  </si>
  <si>
    <t>Original Uber AI team</t>
  </si>
  <si>
    <t>Bain</t>
  </si>
  <si>
    <t>Sequoia, a16z</t>
  </si>
  <si>
    <t>Sequoia, a16z, Lux</t>
  </si>
  <si>
    <t>Sequoia, a16z, SVA, Lux</t>
  </si>
  <si>
    <t>Sequoia China, Gaorong, 5Y</t>
  </si>
  <si>
    <t>5Y, Gaorong</t>
  </si>
  <si>
    <t>Crazy video game NPC thingy</t>
  </si>
  <si>
    <t>Liu Yongsheng</t>
  </si>
  <si>
    <t>Michael Del Balso, Kevin Stumpf</t>
  </si>
  <si>
    <t>Series C-2</t>
  </si>
  <si>
    <t>Intel Capital</t>
  </si>
  <si>
    <t>Sancus</t>
  </si>
  <si>
    <t>Series C-1</t>
  </si>
  <si>
    <t>NEA</t>
  </si>
  <si>
    <t>Team who created Ray</t>
  </si>
  <si>
    <t>Ion Stoica, Michael Jordan, Philipp Moritz, Robert Nishihara</t>
  </si>
  <si>
    <t>Intel, Addition, Foundation, Sancus</t>
  </si>
  <si>
    <t>a16z, Addition, NEA, Intel, Foundation</t>
  </si>
  <si>
    <t>NEA, Intel, Foundation, a16z</t>
  </si>
  <si>
    <t>a16z, The House Fund, NEA, Intel, Dwight Crow, Ant Group, Amplify, 11.2 Capital</t>
  </si>
  <si>
    <t>Ant Group</t>
  </si>
  <si>
    <t>11.2 Capital</t>
  </si>
  <si>
    <t>The House Fund</t>
  </si>
  <si>
    <t>Benchmark</t>
  </si>
  <si>
    <t>Raising $20m from Sequoia</t>
  </si>
  <si>
    <t>Harrison Chase</t>
  </si>
  <si>
    <t>Arvind Sundararajan</t>
  </si>
  <si>
    <t>Tiger, Index, Coatue, Alkeon</t>
  </si>
  <si>
    <t>Alkeon</t>
  </si>
  <si>
    <t>Index, Decibel, Coatue</t>
  </si>
  <si>
    <t>Decibel</t>
  </si>
  <si>
    <t>Series A: $45m valuation</t>
  </si>
  <si>
    <t>Index Ventures, Eric Schmidt, Decibel Partners, Erica Schultz, Jeannette Furstenberg, Jerry Yang, Mariam Naficy, Ram Shriram</t>
  </si>
  <si>
    <t>Seed: 18m valuation</t>
  </si>
  <si>
    <t>Eric Schmidt, Ram Shriram, Paul Buchheit, Kkosla Ventures, Keval Desai, Elad Gil, Don Burnette, Deep Nishar, Avichal Garg</t>
  </si>
  <si>
    <t>Enterprise focus</t>
  </si>
  <si>
    <t>Popular tool</t>
  </si>
  <si>
    <t>Platform</t>
  </si>
  <si>
    <t>Koshla Ventures</t>
  </si>
  <si>
    <t>Italian company</t>
  </si>
  <si>
    <t>Italy</t>
  </si>
  <si>
    <t>Not disclosed</t>
  </si>
  <si>
    <t>Pietro Giuliani, Giorgio Chiellini, Andrea Bocelli</t>
  </si>
  <si>
    <t>Andy Konwinski</t>
  </si>
  <si>
    <t>Search engine</t>
  </si>
  <si>
    <t>Susan Wojcicki, Soleio Cuervo, Paul Buchheit, NEA, Nat Friedman, Jeff Dean, Elad Gil, Databricks, Bob Muglia</t>
  </si>
  <si>
    <t>Perplexity</t>
  </si>
  <si>
    <t>Elad Gil, Yann LeCun, Pieter Abbeel, Oriol Vinyals, Nat Friedman, Clement Delangue, Ashish Vaswani, Andrej Karpathy, Amjad Masad</t>
  </si>
  <si>
    <t>Singaporean GPT call centers</t>
  </si>
  <si>
    <t>VenturesLab, Tiger, Peak XV, Huashan Capital, First Plus, Coatue, Cathay Innovation</t>
  </si>
  <si>
    <t>VenturesLab</t>
  </si>
  <si>
    <t>Peak XV Partners</t>
  </si>
  <si>
    <t>Huashan Capital</t>
  </si>
  <si>
    <t>First Plus</t>
  </si>
  <si>
    <t>Sequoia Capital China, Peak XV, Zizhu Xiaomiao Fund, ZhenFund, IMO Ventures, Huashan Capital</t>
  </si>
  <si>
    <t>Sequoia Capital China</t>
  </si>
  <si>
    <t>IMO Ventures</t>
  </si>
  <si>
    <t>ZhenFund</t>
  </si>
  <si>
    <t>Zizhu Xiaomiao Fund</t>
  </si>
  <si>
    <t>Zizhu Xiaomiao Fund, Huashan Capital, ZhenFund, IMO Ventures</t>
  </si>
  <si>
    <t>Singapore</t>
  </si>
  <si>
    <t>Abhay Parasnis</t>
  </si>
  <si>
    <t>Microsoft, M12</t>
  </si>
  <si>
    <t>Seekr Technologies</t>
  </si>
  <si>
    <t>Virginia</t>
  </si>
  <si>
    <t>Pat Condo</t>
  </si>
  <si>
    <t>Netherlands</t>
  </si>
  <si>
    <t>Index Ventures, NEA, Battery Ventures, Cortical Ventures, ING Ventures, Zetta Venture Partners</t>
  </si>
  <si>
    <t>ING Ventures</t>
  </si>
  <si>
    <t>Zetta Venture Partners</t>
  </si>
  <si>
    <t>Cortical Ventures</t>
  </si>
  <si>
    <t>Battery Ventures</t>
  </si>
  <si>
    <t>NEA, Cortical Ventures, Zetta, SAV, ING Ventures, GTMfund</t>
  </si>
  <si>
    <t>SAV</t>
  </si>
  <si>
    <t>GTMfund</t>
  </si>
  <si>
    <t>Zetta Venture Partners, ING Ventures, Alex van Leeuwen</t>
  </si>
  <si>
    <t>SK Hynix, Playground Global, Microsoft, Nautilus Venture Partners, Marvell, Entrada Ventures</t>
  </si>
  <si>
    <t>Playground Global</t>
  </si>
  <si>
    <t>Nautilus Venture Partners</t>
  </si>
  <si>
    <t>Marvell</t>
  </si>
  <si>
    <t>Entrada Ventures</t>
  </si>
  <si>
    <t>Note</t>
  </si>
  <si>
    <t>TSVC</t>
  </si>
  <si>
    <t>AI Chip</t>
  </si>
  <si>
    <t>Sid Sheth</t>
  </si>
  <si>
    <t>Lightspeed, Greylock, Coatue, Wing Venture Capital, Eric Schmidt, Emad Mostaque, David Luan, Bipul Sinha, Audacious Ventures, 8VC</t>
  </si>
  <si>
    <t>8VC</t>
  </si>
  <si>
    <t>Audacious Ventures</t>
  </si>
  <si>
    <t>Coatue, Greylock, Audacious Ventures</t>
  </si>
  <si>
    <t>500 Global, Greylock</t>
  </si>
  <si>
    <t>Powerpoint</t>
  </si>
  <si>
    <t>PyTorch Lightning</t>
  </si>
  <si>
    <t>Coatue, Mantis, Index, Firstminute, Bain</t>
  </si>
  <si>
    <t>Mantis Venture Capital</t>
  </si>
  <si>
    <t>Firstminute Capital</t>
  </si>
  <si>
    <t>Index, Firstminute, Bain</t>
  </si>
  <si>
    <t>SVA, Bain</t>
  </si>
  <si>
    <t>Dell, Zetta, Liberty Global Ventures, GSR Ventures, Firebolt Ventures, Citi Ventures, Cathay Innovation</t>
  </si>
  <si>
    <t>Dell</t>
  </si>
  <si>
    <t>Liberty Global Ventures</t>
  </si>
  <si>
    <t>GSR Ventures</t>
  </si>
  <si>
    <t>Firebolt Ventures</t>
  </si>
  <si>
    <t>Citi Ventures</t>
  </si>
  <si>
    <t>Cathay Innovation, Zetta, Plug and Play, Firebolt, Citi, Bloomberg Beta</t>
  </si>
  <si>
    <t>Plug and Play</t>
  </si>
  <si>
    <t>Healthcare LLM</t>
  </si>
  <si>
    <t>Alex Miller, Munjal Shah, Vishal Parikh</t>
  </si>
  <si>
    <t>General Analyst, a16z</t>
  </si>
  <si>
    <t>Maryland</t>
  </si>
  <si>
    <t>Hippocratic AI</t>
  </si>
  <si>
    <t>Scale Venture Partners, Viola Ventures, TLV Partners, Spider Capital</t>
  </si>
  <si>
    <t>Scale Venture Partners</t>
  </si>
  <si>
    <t>Datagen Technologies</t>
  </si>
  <si>
    <t>TLV Partners</t>
  </si>
  <si>
    <t>Spider Capital</t>
  </si>
  <si>
    <t>Viola Ventures, TLV Partners, Spider Capital, Operator Partners, Matias Ventures, Michael Black</t>
  </si>
  <si>
    <t>Viola Ventures</t>
  </si>
  <si>
    <t>Operator Partners</t>
  </si>
  <si>
    <t>Matias Ventures</t>
  </si>
  <si>
    <t>TLV Partners, Spider Capital, Philippe Suchet</t>
  </si>
  <si>
    <t>Gil Elbaz</t>
  </si>
  <si>
    <t>Ilya Gelfenbeyn, Kylan Gibbs, Michael Ermolenko</t>
  </si>
  <si>
    <t>Synthetic character library, mainly enterprise but very cool</t>
  </si>
  <si>
    <t>Inworld AI</t>
  </si>
  <si>
    <t>The Venture Reality Fund</t>
  </si>
  <si>
    <t>Micron Ventures</t>
  </si>
  <si>
    <t>NTT Docomo Ventures</t>
  </si>
  <si>
    <t>LG Technology Ventures</t>
  </si>
  <si>
    <t>HTC</t>
  </si>
  <si>
    <t>First Spark Ventures</t>
  </si>
  <si>
    <t>CRV</t>
  </si>
  <si>
    <t>Bitkraft Ventures</t>
  </si>
  <si>
    <t>Intel Capital, Section 32, The Venture Reality Fund, SK, NTT Docomo Ventures, Micron Ventures, Microsoft, LG Technology Ventures, Kleiner Perkins, HTC, Founders Fund, First Spark Ventures, CRV, Bitkraft Ventures</t>
  </si>
  <si>
    <t>Bitkraft Ventures, Disney, The Venture Reality Fund, Nate Mitchell, NaHC03, Microsoft, Kleiner Perkins, CRV</t>
  </si>
  <si>
    <t>NaHCO3</t>
  </si>
  <si>
    <t>Kleiner Perkins, CRV, The.AI Ventures, Sequoia, Meta</t>
  </si>
  <si>
    <t>The.AI Ventures</t>
  </si>
  <si>
    <t>Character templates for NPCs</t>
  </si>
  <si>
    <t>NEA, Marc Lore, Accel</t>
  </si>
  <si>
    <t>New York, NY</t>
  </si>
  <si>
    <t>Marc Lore, Melissa Bridgeford</t>
  </si>
  <si>
    <t>G42, Plug and Play, HCS, ARM, Arya Bolurfrushan, Price Stefan</t>
  </si>
  <si>
    <t>G42</t>
  </si>
  <si>
    <t>ARM Holding</t>
  </si>
  <si>
    <t>HCS Beteiligungsgesellschaft</t>
  </si>
  <si>
    <t>DeepDoc, Insurance</t>
  </si>
  <si>
    <t>David Raskino, Rahul Sood</t>
  </si>
  <si>
    <t>a16z, Keen Crypto, Mantis Venture Capital, Solana Ventures, Unlock Venture Partners, Sonam Kapoor Ahuja, Michael Ovitz, Keen Crypto, Infinity Ventures Crypto, Advancit Capital, Capitoria</t>
  </si>
  <si>
    <t>MechaFightClub fail, pivot from crypto</t>
  </si>
  <si>
    <t>Seed: $25m valuation</t>
  </si>
  <si>
    <t>a16z, Unlock Venture Partners, Mantis Venture Capital, Advancit, Keen Crypto</t>
  </si>
  <si>
    <t>Berkeley, CA</t>
  </si>
  <si>
    <t>Aparna Dhinakaran, Jason Lopatecki</t>
  </si>
  <si>
    <t>TCV</t>
  </si>
  <si>
    <t>Swift Ventures</t>
  </si>
  <si>
    <t>Battery Ventures, Trinity Ventures, The House Fund, Swift Ventures, Foundation Capital</t>
  </si>
  <si>
    <t>TCV, Swift Ventures, Foundation Capital, Battery Ventures</t>
  </si>
  <si>
    <t>Trinity Ventures, Foundation Capital, Brett Wilson</t>
  </si>
  <si>
    <t>Observability &amp; Monitoring</t>
  </si>
  <si>
    <t>Palette, semiconductors</t>
  </si>
  <si>
    <t>Temasek, Radical Ventures, Partech, Oriol Vinyals, Jose Valim, Francois Collet, Ashish Vaswani, Amadeus Capital, Air Street Capital</t>
  </si>
  <si>
    <t>Alberto Rizzoli</t>
  </si>
  <si>
    <t>Air Street Capital</t>
  </si>
  <si>
    <t>Partech</t>
  </si>
  <si>
    <t>Amadeus Capital</t>
  </si>
  <si>
    <t>Amadeus, Partech, Miele Venture, Air Street</t>
  </si>
  <si>
    <t>Pre Seed</t>
  </si>
  <si>
    <t>Miele Venture</t>
  </si>
  <si>
    <t>Ecommerce BS</t>
  </si>
  <si>
    <t>Magic (magic.dev)</t>
  </si>
  <si>
    <t>10x Founders</t>
  </si>
  <si>
    <t>Auto-programmer</t>
  </si>
  <si>
    <t>Capital G, Xavier Sarras, Roland Boubela, Noam Brown, Nat Friedman, Mehdi Ghissassi, Klaudius Kalcher, Fredrik Hjelm, Florian Huber, Elad Gil, Daniel Dippold, Bryan Pellegrino, Arthur Breitman, Amplify Partners, Adam Jafer, 10x Founders</t>
  </si>
  <si>
    <t>GPT Lawyer</t>
  </si>
  <si>
    <t>Facet.ai</t>
  </si>
  <si>
    <t>Resemble.ai</t>
  </si>
  <si>
    <t>craiyon AI</t>
  </si>
  <si>
    <t>sudowrite</t>
  </si>
  <si>
    <t>Visual Electric</t>
  </si>
  <si>
    <t>Steve AI</t>
  </si>
  <si>
    <t>Mistral AI</t>
  </si>
  <si>
    <t>Google, Greylock, SVA, Factory</t>
  </si>
  <si>
    <t>Factory</t>
  </si>
  <si>
    <t>Chris Lattner, Tim Davis</t>
  </si>
  <si>
    <t>Gabriel Pereyra, Winston Weinberg</t>
  </si>
  <si>
    <t>Sequoia, OpenAI, Conviction VC, SVA, Elad Gil</t>
  </si>
  <si>
    <t>15000 waiting list</t>
  </si>
  <si>
    <t>Harvey</t>
  </si>
  <si>
    <t>Conviction VC</t>
  </si>
  <si>
    <t>Infinitus Systems (infinitus.ai)</t>
  </si>
  <si>
    <t>Clinical call automation</t>
  </si>
  <si>
    <t>Google Ventures, Kleiner Perkins, Operator Partners, Coatue, Aashima Gupta</t>
  </si>
  <si>
    <t>Infinitus Systems</t>
  </si>
  <si>
    <t>Coatue, Kleiner Perkins, Tau Ventures, Quiet Capital, Qasar Younis, Ian Goodfellow, Gradient Ventures, Gokul Rajaram, Firebolt Ventures, Aparna Chennapragada</t>
  </si>
  <si>
    <t>Keen Technologies</t>
  </si>
  <si>
    <t>AGI</t>
  </si>
  <si>
    <t>Tau Ventures</t>
  </si>
  <si>
    <t>Quiet Capital</t>
  </si>
  <si>
    <t>Gradient Ventures</t>
  </si>
  <si>
    <t>Seed Round</t>
  </si>
  <si>
    <t>OpenAI, Jeff Dean, Elad Gil</t>
  </si>
  <si>
    <t>Yaron Singer</t>
  </si>
  <si>
    <t>Tiger, Sequoia, Harpoon, Engineering Capital</t>
  </si>
  <si>
    <t>Stress Test AI Models</t>
  </si>
  <si>
    <t>Harpoon</t>
  </si>
  <si>
    <t>Engineering Capital</t>
  </si>
  <si>
    <t>Sequoia, Ram Shriram, Harpoon, Engineering Capital, Alex Balkanski</t>
  </si>
  <si>
    <t>Sequoia, Engineering</t>
  </si>
  <si>
    <t>Ron Oren, Yoav Chai, Yotam Gil</t>
  </si>
  <si>
    <t>Lightroom editing assistant</t>
  </si>
  <si>
    <t>Summit, NFX</t>
  </si>
  <si>
    <t>NFX</t>
  </si>
  <si>
    <t>Berlin</t>
  </si>
  <si>
    <t>Han Xiao, Xuanbin He</t>
  </si>
  <si>
    <t>Canaan, Yunqi Partners, SAP.iO, Mango Capital, GGV Capital</t>
  </si>
  <si>
    <t>GGV Capital, SAP.iO, Yunqi Partners</t>
  </si>
  <si>
    <t>Yunqi Partners</t>
  </si>
  <si>
    <t>Multimodal LLM? LLMops</t>
  </si>
  <si>
    <t>Canaan</t>
  </si>
  <si>
    <t>SAP.iO</t>
  </si>
  <si>
    <t>Mango Capital</t>
  </si>
  <si>
    <t>GGV Capital</t>
  </si>
  <si>
    <t>Noogata</t>
  </si>
  <si>
    <t>Play.HT</t>
  </si>
  <si>
    <t>Dust</t>
  </si>
  <si>
    <t>Credo Ventures, Concept Ventures</t>
  </si>
  <si>
    <t>Nat Friedman, Daniel Gross</t>
  </si>
  <si>
    <t>Voice API</t>
  </si>
  <si>
    <t>a16z, Nat Friedman, Daniel Gross (unofficial)</t>
  </si>
  <si>
    <t>Eleven Labs</t>
  </si>
  <si>
    <t>LLM tools</t>
  </si>
  <si>
    <t>Tabnine</t>
  </si>
  <si>
    <t>ZeroEyes</t>
  </si>
  <si>
    <t>Moxxie Ventures, Thomson Reuters Ventures, Bling Capital, Concrete Ventures, BDC Venture Capital, Good News Ventures, Inovia Capital, N49P, The LegalTech Fund</t>
  </si>
  <si>
    <t>Moxxie Ventures</t>
  </si>
  <si>
    <t>Thomson Reuters Ventures</t>
  </si>
  <si>
    <t>The LegalTech Fund</t>
  </si>
  <si>
    <t>N49P</t>
  </si>
  <si>
    <t>Concere Ventures</t>
  </si>
  <si>
    <t>Bling Capital</t>
  </si>
  <si>
    <t>BDC Venture Capital</t>
  </si>
  <si>
    <t>Good News Ventures</t>
  </si>
  <si>
    <t>Path Ventures</t>
  </si>
  <si>
    <t>Genesis, Pelorus Venture Capital, Killick Capital, Good News Ventures, Concrete Ventures</t>
  </si>
  <si>
    <t>Los Angeles</t>
  </si>
  <si>
    <t>Heath Ahrens</t>
  </si>
  <si>
    <t>Consumer Voice UGC</t>
  </si>
  <si>
    <t>Pieces</t>
  </si>
  <si>
    <t>Jason Kuperberg, Matt Shumer, Miles Feldstein</t>
  </si>
  <si>
    <t>Active Capital, Cortical Ventures, Siqi Chen, Nick Frosst, Madrona, Ivan Zhang, Furqan Rydhan, Aidan Gomez</t>
  </si>
  <si>
    <t>Otherside AI</t>
  </si>
  <si>
    <t>Active Capital</t>
  </si>
  <si>
    <t>Madrona, New York Venture Partners, Hustle Fund, Chapter One Ventures, Active Capital, Matt Gibstein</t>
  </si>
  <si>
    <t>Hustle Fund</t>
  </si>
  <si>
    <t>Chapter One Ventures</t>
  </si>
  <si>
    <t>New York Venture Partners</t>
  </si>
  <si>
    <t>Mimica Automation</t>
  </si>
  <si>
    <t>Percepta</t>
  </si>
  <si>
    <t>Grit</t>
  </si>
  <si>
    <t>Stephen Balaban</t>
  </si>
  <si>
    <t>GPU Cluster</t>
  </si>
  <si>
    <t>Mercato Partners, Gradient Ventures, Bloomberg Beta, Crescent Cove Advisors, 1517 Fund, Lukas Biewald, Jeff Hammerbacher, Greg Brockman, Georges Harik, Garry Tan, Adam D'Angelo</t>
  </si>
  <si>
    <t>Razer, Gradient Ventures, Bloomberg Beta, Georges Harik, 1517 Fund</t>
  </si>
  <si>
    <t>Gradient Ventures, Bloomberg Beta, 1517 Fund</t>
  </si>
  <si>
    <t>Quantiphi</t>
  </si>
  <si>
    <t>Utilidata</t>
  </si>
  <si>
    <t>Amjad Massad</t>
  </si>
  <si>
    <t>a16z, Y Combinator, SVA, Khosla Ventures, Coatue, Bloomberg Beta, ARK Ventures, Naval Ravikant, Hamilton Helmer</t>
  </si>
  <si>
    <t>IDE</t>
  </si>
  <si>
    <t>Khosla Ventures</t>
  </si>
  <si>
    <t>ARK Ventures</t>
  </si>
  <si>
    <t>Series B: 720m valuation</t>
  </si>
  <si>
    <t>Coatue, a16z, Bloomberg Beta, Fifth Down Capital, Not Boring, Reach Capital, Volt Capital, Vinay Hiremath, Mattia Astori</t>
  </si>
  <si>
    <t>Volt Capital</t>
  </si>
  <si>
    <t>Not Boring</t>
  </si>
  <si>
    <t>Reach Capital</t>
  </si>
  <si>
    <t>Fifth Down Capital</t>
  </si>
  <si>
    <t>A.Capital, SVA</t>
  </si>
  <si>
    <t>a16z, Amino Capital</t>
  </si>
  <si>
    <t>Ycombinator, Amino Capital, Reach Capital, Bloomberg Beta</t>
  </si>
  <si>
    <t>Salem, New Hampshire</t>
  </si>
  <si>
    <t>Jeremy Achin, Dmytro Zahanych</t>
  </si>
  <si>
    <t>NEA, Open Field Capital, B5 Capital, Cortical Ventures</t>
  </si>
  <si>
    <t>Open Field Capital</t>
  </si>
  <si>
    <t>B5 Capital</t>
  </si>
  <si>
    <t>Satya Nitta</t>
  </si>
  <si>
    <t>Aisera</t>
  </si>
  <si>
    <t>Learn Capital</t>
  </si>
  <si>
    <t>Robots for teachers</t>
  </si>
  <si>
    <t>South Korea</t>
  </si>
  <si>
    <t>Consumer AI</t>
  </si>
  <si>
    <t>Diverse</t>
  </si>
  <si>
    <t>Softbank Ventures Asia, Company K Partners, Stonebridge Capital, TBT, Primer Sazze Partners, Premier Partners</t>
  </si>
  <si>
    <t>German Tax returns</t>
  </si>
  <si>
    <t>CLARA Analytics</t>
  </si>
  <si>
    <t>Project A Ventures, Insight Partners, Mountain Partners, Feliks Eyser</t>
  </si>
  <si>
    <t>ExpressSteur</t>
  </si>
  <si>
    <t>Mountain Partners</t>
  </si>
  <si>
    <t>Tim Stracke, Kai Hansen, Christian Wenger, Aurelia Ventures</t>
  </si>
  <si>
    <t>True Growth Capital</t>
  </si>
  <si>
    <t>Jale Beteiligungs</t>
  </si>
  <si>
    <t>Hamburg</t>
  </si>
  <si>
    <t>John Carmack</t>
  </si>
  <si>
    <t>2019?</t>
  </si>
  <si>
    <t>Nat Friedman, Daniel Gross, Patrick Collison, Tobi Lutke, Sequoia, Capital Factory, Jim Keller</t>
  </si>
  <si>
    <t>No official announcement</t>
  </si>
  <si>
    <t>Dallas</t>
  </si>
  <si>
    <t>Jonas Andrulis, Samuel Weinbach</t>
  </si>
  <si>
    <t>Heidelberg</t>
  </si>
  <si>
    <t>LLMs</t>
  </si>
  <si>
    <t>UVC Partners, Earlybird Venture Capital, Lakestar, LEA Partners, Cavalry Ventures, 468 Capital</t>
  </si>
  <si>
    <t>LEA Partners, Cavalry Ventures, 468 Capital, Public</t>
  </si>
  <si>
    <t>Aible</t>
  </si>
  <si>
    <t>Enterprise Analytics</t>
  </si>
  <si>
    <t>Edwin Chen</t>
  </si>
  <si>
    <t>Birdie</t>
  </si>
  <si>
    <t>Mason</t>
  </si>
  <si>
    <t>Zegami</t>
  </si>
  <si>
    <t>Irvine, CA</t>
  </si>
  <si>
    <t>Pachama</t>
  </si>
  <si>
    <t>Networking</t>
  </si>
  <si>
    <t>Michael Malyuk</t>
  </si>
  <si>
    <t>Fathom Radiant</t>
  </si>
  <si>
    <t>John Snow Labs</t>
  </si>
  <si>
    <t>Redpoint, Swift Ventures, Bow Capital, Unusual Ventures</t>
  </si>
  <si>
    <t>Unusual Ventures</t>
  </si>
  <si>
    <t>Redpoint</t>
  </si>
  <si>
    <t>Bow Capital</t>
  </si>
  <si>
    <t>San Jose</t>
  </si>
  <si>
    <t>Varun Mohan</t>
  </si>
  <si>
    <t>GPUs</t>
  </si>
  <si>
    <t>Greenoaks, Founders Fund</t>
  </si>
  <si>
    <t>Greenoaks, Carlos Delatorre, Howie Liu, Nitesh Banta, Richard Socher, Sahir Azam, Spencer Kimball</t>
  </si>
  <si>
    <t>Kili Technology</t>
  </si>
  <si>
    <t>Paris</t>
  </si>
  <si>
    <t>Data Cleaning</t>
  </si>
  <si>
    <t>Francois-Xavier Leduc</t>
  </si>
  <si>
    <t>Balderton Capital, Serena, Headline, Chris Schagen, Dimitri Sirota, Financiere Saint James, Olivier Pailhes</t>
  </si>
  <si>
    <t>Headline, Stanislas de Bentzmann, Gus Robertson, Financiere Saint James, Olivier Pomel, Serena</t>
  </si>
  <si>
    <t>Guy Ernest</t>
  </si>
  <si>
    <t>Algo</t>
  </si>
  <si>
    <t>Quarrio</t>
  </si>
  <si>
    <t>New Era Capital, Hamilton Lane</t>
  </si>
  <si>
    <t>Manufacturing NLP</t>
  </si>
  <si>
    <t>New Era Capital Partners</t>
  </si>
  <si>
    <t>Hamilton Lane</t>
  </si>
  <si>
    <t>Anupam Datta, Shayak Sen, Will Uppington</t>
  </si>
  <si>
    <t>Menlo Ventures, Wing Venture Capital, Harpoon, Greylock, Forgepoint Capital, Data Community Fund, Conversion Capital, B Capital Group</t>
  </si>
  <si>
    <t>Forgepoint</t>
  </si>
  <si>
    <t>Data Community Fund</t>
  </si>
  <si>
    <t>Conversion Capital</t>
  </si>
  <si>
    <t>B Capital Group</t>
  </si>
  <si>
    <t>Wing Venture Capital, Harpoon, Greylock, Data Community Fund, Conversion Capital, B Capital Group</t>
  </si>
  <si>
    <t>Greylock, Wing Venture Capital, Conversion Capital, Aaref Hilaly</t>
  </si>
  <si>
    <t>Alon Gubkin, Liran Hason</t>
  </si>
  <si>
    <t>Tiger, Vertex Ventures, TLV Partners, Tal Ventures, Samsung NEXT</t>
  </si>
  <si>
    <t>Vertex Ventures</t>
  </si>
  <si>
    <t>Tal Ventures</t>
  </si>
  <si>
    <t>Vertex Ventures, TLV Partners, Yevgeny Dibrov, Nadir Izrael, Gili Raanan</t>
  </si>
  <si>
    <t>Hardware Platform</t>
  </si>
  <si>
    <t>Jonathan Elial, Ran El-Yaniv, Yonatan Geifman</t>
  </si>
  <si>
    <t>Petuum</t>
  </si>
  <si>
    <t>CloudFactory</t>
  </si>
  <si>
    <t>Square Peg Capital, Jibe Ventures, Insight Partners, ICON - Israel Collaboration Network, Fort Ross Ventures, Emerge</t>
  </si>
  <si>
    <t>Square Peg</t>
  </si>
  <si>
    <t>Emerge</t>
  </si>
  <si>
    <t>Jibe Ventures</t>
  </si>
  <si>
    <t>Fort Ross Ventures</t>
  </si>
  <si>
    <t>ICON - Israel</t>
  </si>
  <si>
    <t>Insight Partners, Vintage Investment Partners, Square Peg Capital, Samsung NEXT, Fort Ross Ventures, Emerge</t>
  </si>
  <si>
    <t>Vintage Investment Partners</t>
  </si>
  <si>
    <t>Square Peg, Emerge, Danny Hadar</t>
  </si>
  <si>
    <t>Starshot Capital, Vela Partners, Section 32, Root and Shoot Ventures, Mustafa Suleyman, Helena, Flying Fish Partners, Character, Ahren Innovation Capital</t>
  </si>
  <si>
    <t>Starshot Capital</t>
  </si>
  <si>
    <t>Vela Partners</t>
  </si>
  <si>
    <t>Root and Shoot Ventures</t>
  </si>
  <si>
    <t>Helena</t>
  </si>
  <si>
    <t>Character</t>
  </si>
  <si>
    <t>Flying Fish Partners</t>
  </si>
  <si>
    <t>Ahren Innovation Capital</t>
  </si>
  <si>
    <t>Flying Fish Partners, Starshot Capital, Section 32, Root and Shoot Partners, Outcomes Fund, Mark Cuban, Character</t>
  </si>
  <si>
    <t>Outcomes Fund</t>
  </si>
  <si>
    <t>Flying Fish Partners, U Washington, Section 32, NJF Capital, Firstminute Capital</t>
  </si>
  <si>
    <t>NJF</t>
  </si>
  <si>
    <t>Industrial</t>
  </si>
  <si>
    <t>Sweetch</t>
  </si>
  <si>
    <t>Navina</t>
  </si>
  <si>
    <t>Curai Health</t>
  </si>
  <si>
    <t>GPT-3, patient conversations</t>
  </si>
  <si>
    <t>Julien Codorniou</t>
  </si>
  <si>
    <t>Alexandre Lebrun, Delphine Groll, Martin Raison</t>
  </si>
  <si>
    <t>Virtual Presenters</t>
  </si>
  <si>
    <t>Insight Partners, Remagine Ventures, Kindred Ventures, Galaxy Interactive, Eynat Guez, Digital Horizon, Cerca Partners, Amaranthine</t>
  </si>
  <si>
    <t>Remagine Ventures</t>
  </si>
  <si>
    <t>Kindred Ventures</t>
  </si>
  <si>
    <t>Galaxy Interactive</t>
  </si>
  <si>
    <t>Digital Horizon</t>
  </si>
  <si>
    <t>Cerca Partners</t>
  </si>
  <si>
    <t>Amaranthine</t>
  </si>
  <si>
    <t>Reimagine Ventures, Kindred Ventures, Galaxy Interactive, Amaranthine</t>
  </si>
  <si>
    <t>Reimagine Ventures</t>
  </si>
  <si>
    <t>togetherAI</t>
  </si>
  <si>
    <t>Automated Contract Negotiation</t>
  </si>
  <si>
    <t>Kaspar Korjus, Kristjan Korjus, Martin Rand</t>
  </si>
  <si>
    <t>3VC, Taavet+Sten, Project A Ventures, NordicNinja VC, Metaplanet Holdings, Maersk Growth, Atomico</t>
  </si>
  <si>
    <t>3VC</t>
  </si>
  <si>
    <t>Taavet+Sten</t>
  </si>
  <si>
    <t>Project A Ventures</t>
  </si>
  <si>
    <t>NordicNinjaVC</t>
  </si>
  <si>
    <t>Metaplanet Holdings</t>
  </si>
  <si>
    <t>Maersk Growth</t>
  </si>
  <si>
    <t>Atomico</t>
  </si>
  <si>
    <t>Atomico, Taavet Hinrikus, Sten Tamkivi, Project A Ventures, Ott Kaukver, Metaplanet Holdings</t>
  </si>
  <si>
    <t>Chub.ai (chub.ai)</t>
  </si>
  <si>
    <t>Spicychat.ai</t>
  </si>
  <si>
    <t>Crushon.ai</t>
  </si>
  <si>
    <t>Faraday.dev</t>
  </si>
  <si>
    <t>Poe.com (Quora)</t>
  </si>
  <si>
    <t>Pirr.app</t>
  </si>
  <si>
    <t>Replika</t>
  </si>
  <si>
    <t>Janitor AI</t>
  </si>
  <si>
    <t>Nastia ai</t>
  </si>
  <si>
    <t>Anima ai (myanima.ai)</t>
  </si>
  <si>
    <t>Agnaistic</t>
  </si>
  <si>
    <t>GooseAI</t>
  </si>
  <si>
    <t>NovelAI</t>
  </si>
  <si>
    <t>InferKit</t>
  </si>
  <si>
    <t>TextSynth</t>
  </si>
  <si>
    <t>Dreamily</t>
  </si>
  <si>
    <t>KoboldAI (Github)</t>
  </si>
  <si>
    <t>Chatfai</t>
  </si>
  <si>
    <t>Holo</t>
  </si>
  <si>
    <t>Project A Ventures, Producement, DocuSign</t>
  </si>
  <si>
    <t>Waymark</t>
  </si>
  <si>
    <t>Docusign</t>
  </si>
  <si>
    <t>Producement</t>
  </si>
  <si>
    <t>Taavet Hinrikus, Sten Tamkivi, Ott Kaukver, Jaan Tallinn</t>
  </si>
  <si>
    <t>Crackhead stuff, I love it</t>
  </si>
  <si>
    <t>Kanjun Qiu, Josh Albrecht</t>
  </si>
  <si>
    <t>Arithmer</t>
  </si>
  <si>
    <t>Lightspeed, YC, Threshold Ventures, Tom Brown, Jonas Schneider, Drew Houston, Astera Institute, Arash Ferdowsi</t>
  </si>
  <si>
    <t>Dario Amodei, Tom Brown</t>
  </si>
  <si>
    <t>YC</t>
  </si>
  <si>
    <t>Samanyou Garg</t>
  </si>
  <si>
    <t>HOF Capital, Soma Capital, Rebel Fund, Broom Ventures, BluePointe Ventures, Atlas Pacific Capital, Amino Capital</t>
  </si>
  <si>
    <t>Sourceress</t>
  </si>
  <si>
    <t>HOF Capital</t>
  </si>
  <si>
    <t>Soma Capital</t>
  </si>
  <si>
    <t>Rebel Fund</t>
  </si>
  <si>
    <t>Broom Ventures</t>
  </si>
  <si>
    <t>BluePointe Ventures</t>
  </si>
  <si>
    <t>Atlas Pacific Capital</t>
  </si>
  <si>
    <t>Amino Capital</t>
  </si>
  <si>
    <t>GPT-generated content</t>
  </si>
  <si>
    <t>Los Altos Hills, CA</t>
  </si>
  <si>
    <t>Dennis Xu, Kevin Moody</t>
  </si>
  <si>
    <t>Productivity tool, note-taking</t>
  </si>
  <si>
    <t>OpenAI, Oana Olteanu, Firestream Ventures, Material V</t>
  </si>
  <si>
    <t xml:space="preserve">a16z, Unusual Ventures, The Todd &amp; Rahul Angel Fund, Shrug Capital, Floodgate, Dreamers VC, a16z Cultural Leadership Fund, Tony Liu, Todd Goldberg, Rahul Vohra, Lenny Rachitsky, Julia Lipton, Harry Stebbings, </t>
  </si>
  <si>
    <t>Unusual Ventures, Floodgate</t>
  </si>
  <si>
    <t>Material V</t>
  </si>
  <si>
    <t>Shrug Capital</t>
  </si>
  <si>
    <t>Floodgate</t>
  </si>
  <si>
    <t>The Todd &amp; Rahul Angel Fund</t>
  </si>
  <si>
    <t>Dreamers VC</t>
  </si>
  <si>
    <t>Tokyo</t>
  </si>
  <si>
    <t>Tokushima Taisho Bank, Pegasus Tech Ventures</t>
  </si>
  <si>
    <t>Toyota Tsusho, Sumitomo Mitsui Trust Bank, Mitsui Sumitomo Insurance VC, Japan Investment Adviser, JAFCO</t>
  </si>
  <si>
    <t>Mitsui Sumitomo Insurance VC, Tokushima Taisho Bank</t>
  </si>
  <si>
    <t>Mitsui Sumitomo Insurance Venture Capital</t>
  </si>
  <si>
    <t>Hillhouse, Gaorong Capital, Yunqi Partners, Wavemaker Partners, Singtel Innov8, K3 Ventures, Insignia Venture Partners, GGV Capital</t>
  </si>
  <si>
    <t>ZWC Partners, GGV Capital, Insignia Ventures Partners, Wavemaker Partners</t>
  </si>
  <si>
    <t>ZWC Partners</t>
  </si>
  <si>
    <t>Customer Service bots</t>
  </si>
  <si>
    <t>Dubbing</t>
  </si>
  <si>
    <t>Nir Krakowski, Ofir Krakowski</t>
  </si>
  <si>
    <t>Insight Partners, Swift Ventures, Stardom Ventures, Matias Ventures, Booster Ventures Roi Tiger, Kevin Reilly, Gideon Marks, Emiliano Calemzuk, Danny Grander, Daniel Chadash</t>
  </si>
  <si>
    <t>deepdub</t>
  </si>
  <si>
    <t>Booster Ventures</t>
  </si>
  <si>
    <t>Stardom Ventures</t>
  </si>
  <si>
    <t>Hillhouse</t>
  </si>
  <si>
    <t>wiz.ai</t>
  </si>
  <si>
    <t>Gaorang</t>
  </si>
  <si>
    <t>Wavemaker</t>
  </si>
  <si>
    <t>Singtel Innov8</t>
  </si>
  <si>
    <t>K3 Ventures</t>
  </si>
  <si>
    <t>Insignia Venture Partners</t>
  </si>
  <si>
    <t>Daniel Chen, Jeremy Huang, Thomas Li</t>
  </si>
  <si>
    <t>Document retrieval, data extraction</t>
  </si>
  <si>
    <t>Credit Suisse NEXT Investors, Hack VC, Uncorrelated Ventures, Nexus Venture Partners, Bossanova Investimentos</t>
  </si>
  <si>
    <t>Nexus Venture Partners</t>
  </si>
  <si>
    <t>Credit Suisse NEXT Partners</t>
  </si>
  <si>
    <t>Uncorrelated Ventures</t>
  </si>
  <si>
    <t>Rossum</t>
  </si>
  <si>
    <t>Former Axios, communications software</t>
  </si>
  <si>
    <t>Roy Schwartz, Jim VandeHei</t>
  </si>
  <si>
    <t>Greycroft, Glade Brook, Cox Enterprises</t>
  </si>
  <si>
    <t>Glade Brook</t>
  </si>
  <si>
    <t>Cox Enterprises</t>
  </si>
  <si>
    <t>Campbell, CA</t>
  </si>
  <si>
    <t>Reliance Jio, Naver</t>
  </si>
  <si>
    <t>Two Platforms (two.ai)</t>
  </si>
  <si>
    <t>AutoCameo, video</t>
  </si>
  <si>
    <t>Reliance Jio</t>
  </si>
  <si>
    <t>Two.ai</t>
  </si>
  <si>
    <t>Conversational Bots</t>
  </si>
  <si>
    <t>Bots</t>
  </si>
  <si>
    <t>Together Fund, Nexus Venture Partners, The New Normal Fund</t>
  </si>
  <si>
    <t>Abridge</t>
  </si>
  <si>
    <t>Delaware</t>
  </si>
  <si>
    <t>Akshat Tyagi</t>
  </si>
  <si>
    <t>Des Moines, Iowa</t>
  </si>
  <si>
    <t>Brad Dwyer, Joseph Nelson</t>
  </si>
  <si>
    <t>Craft Ventures, Sam Altman, Quiet Capital, Mike Maples Jr, Max Altman, Lachy Groom, Joe Morrissey, Jack Altman, Harry Hurst, Greg Brockman, DJ Patil, Cassidy Williams</t>
  </si>
  <si>
    <t>Computer vision models, dev tools</t>
  </si>
  <si>
    <t>Craft Ventures</t>
  </si>
  <si>
    <t>Craft Ventures, Next Level Ventures, Lachy Groom, Leore Avidar, Kevin Liu, James Tamplin, Elizabeth Caven, Calvin French-Owen, Aston Motes</t>
  </si>
  <si>
    <t>Next Level Ventures</t>
  </si>
  <si>
    <t>Pittsburgh</t>
  </si>
  <si>
    <t>Wittington Ventures, Whistler Capital Partners, UPMC Enterprises, Union Square Ventures, Pillar VC, Bessemer Venture Partners</t>
  </si>
  <si>
    <t>Doctor notes</t>
  </si>
  <si>
    <t>Florian Metze, Sandeep Konam, Shivdev Rao</t>
  </si>
  <si>
    <t>Wittington Ventures</t>
  </si>
  <si>
    <t>Union Square Ventures</t>
  </si>
  <si>
    <t>Whistler Capital Partners</t>
  </si>
  <si>
    <t>Pillar VC</t>
  </si>
  <si>
    <t>Union Square Ventures, UPMC, Zen Chu, Pillar VC, KdT Ventures, Bessemer Venture Partners, Esther Dyson, Aneesh Chopra</t>
  </si>
  <si>
    <t>KdT Ventures</t>
  </si>
  <si>
    <t>Bessemer Venture partners</t>
  </si>
  <si>
    <t>Pillar VC, KdT Ventures</t>
  </si>
  <si>
    <t>Data inconsistency</t>
  </si>
  <si>
    <t>Jared Parker, Patrick Dougherty</t>
  </si>
  <si>
    <t>Insight Partners, Unusual Ventures</t>
  </si>
  <si>
    <t>Data generation, synthetic data</t>
  </si>
  <si>
    <t>Yashar Behzadi</t>
  </si>
  <si>
    <t>468 Capital, Strawberry Creek Ventures, Sorenson Ventures, PJC, Kubera Venture Capital, iRobot Ventures, Boom Capital, Bee Partners</t>
  </si>
  <si>
    <t>468 Capital</t>
  </si>
  <si>
    <t>Sorenson Ventures</t>
  </si>
  <si>
    <t>PJC</t>
  </si>
  <si>
    <t>Kubera Venture Capital</t>
  </si>
  <si>
    <t>iRobot Ventures</t>
  </si>
  <si>
    <t>Boom Capital</t>
  </si>
  <si>
    <t>Bee Partners</t>
  </si>
  <si>
    <t>Strawberry Creek Ventures</t>
  </si>
  <si>
    <t>Swift Ventures, PJC, LETA Capital, Kubera Venture Capital, iRobot Ventures, Bossanova Investimentos, Boom Capital, Bee Capital</t>
  </si>
  <si>
    <t>LETA Capital</t>
  </si>
  <si>
    <t>Hemison.ai</t>
  </si>
  <si>
    <t>Tempus</t>
  </si>
  <si>
    <t>Hyro</t>
  </si>
  <si>
    <t>AIRS Medical</t>
  </si>
  <si>
    <t>Woebot Health</t>
  </si>
  <si>
    <t>Yembo</t>
  </si>
  <si>
    <t>DataVisor</t>
  </si>
  <si>
    <t>Mind Foundry</t>
  </si>
  <si>
    <t>PolyAI</t>
  </si>
  <si>
    <t>SandboxAQ</t>
  </si>
  <si>
    <t>AssemblyAI</t>
  </si>
  <si>
    <t>ElevateAI</t>
  </si>
  <si>
    <t>Mighty AI (Uber)</t>
  </si>
  <si>
    <t>Paravision</t>
  </si>
  <si>
    <t>Telmai</t>
  </si>
  <si>
    <t>Observability</t>
  </si>
  <si>
    <t>Productivity</t>
  </si>
  <si>
    <t>NEA, Pear VC, Wing Venture Capital</t>
  </si>
  <si>
    <t>Bella Liu, Will Lu</t>
  </si>
  <si>
    <t>Pear VC</t>
  </si>
  <si>
    <t>Automates by watching you work</t>
  </si>
  <si>
    <t>Glasswing Ventures, .406 Ventures, Zetta Venture Partners, Y Combinator</t>
  </si>
  <si>
    <t>Glasswing Ventures</t>
  </si>
  <si>
    <t>.406 Ventures</t>
  </si>
  <si>
    <t>norby.io</t>
  </si>
  <si>
    <t>Estonia</t>
  </si>
  <si>
    <t>IntelliAgent</t>
  </si>
  <si>
    <t>Verticalls.ai</t>
  </si>
  <si>
    <t>Capacity</t>
  </si>
  <si>
    <t>Retrocausal</t>
  </si>
  <si>
    <t>Cognitive Space</t>
  </si>
  <si>
    <t>Twosense.ai</t>
  </si>
  <si>
    <t>Paper Crane</t>
  </si>
  <si>
    <t>Common Sense Machines</t>
  </si>
  <si>
    <t>BotChain</t>
  </si>
  <si>
    <t>Alexander Torrenegra, Andres Cajiao</t>
  </si>
  <si>
    <t>Emma Group, TBD Angels, Simma Capital, Salkantay Ventures, MatterScale Ventures, Rodrigo Schmidt, Mike Shoemaker, Michael Lazerow, Kass Lazerow, Haiping Zhao, Diego Piacentini, Brian Requarth</t>
  </si>
  <si>
    <t>Emma Group</t>
  </si>
  <si>
    <t>TBD Angels</t>
  </si>
  <si>
    <t>Simma Capital</t>
  </si>
  <si>
    <t>Salkantay Ventures</t>
  </si>
  <si>
    <t>MatterScale Ventures</t>
  </si>
  <si>
    <t>Beta Ventures, The Ark Fund</t>
  </si>
  <si>
    <t>Arif Khan</t>
  </si>
  <si>
    <t>Kid Venture Capital</t>
  </si>
  <si>
    <t>Multicoin Capital, Mark Cuban, IOSG Ventures, Crypto.com, Bitkraft Ventures, Alameda Ventures, 6th Man Ventures</t>
  </si>
  <si>
    <t>Insight Partners, Alexander Hudek, Noah Waisberg</t>
  </si>
  <si>
    <t>Document AI</t>
  </si>
  <si>
    <t>2023</t>
  </si>
  <si>
    <t>LLM</t>
  </si>
  <si>
    <t>Lightspeed, Index Ventures, Sofina, Redpoint, Motier Ventures, LocalGlobe, La Famiglia, JCDecaux Holding SA, Headline, Firstminute, Exor, Bpifrance, Eric Schmidt, Xavier Niel, Rodolphe Saade</t>
  </si>
  <si>
    <t>Timothee Lacroix, Guillaume Lample, Arthur Mensch</t>
  </si>
  <si>
    <t>Worked on Llama at META</t>
  </si>
  <si>
    <t>Sofina</t>
  </si>
  <si>
    <t>Motier Ventures</t>
  </si>
  <si>
    <t>LocalGlobe</t>
  </si>
  <si>
    <t>La Famiglia</t>
  </si>
  <si>
    <t>JCDeaux</t>
  </si>
  <si>
    <t>Headline</t>
  </si>
  <si>
    <t>Exor</t>
  </si>
  <si>
    <t>BPI France</t>
  </si>
  <si>
    <t>DarwinAI</t>
  </si>
  <si>
    <t>Ontario</t>
  </si>
  <si>
    <t>Covariant</t>
  </si>
  <si>
    <t>BDC Venture Capital, Obvious Ventures, Inovia Capital, Honeywell</t>
  </si>
  <si>
    <t>Manufacturing</t>
  </si>
  <si>
    <t>Quality control, efficiency for electronics manufacturing</t>
  </si>
  <si>
    <t>Obvious Ventures</t>
  </si>
  <si>
    <t>Honeywell</t>
  </si>
  <si>
    <t>Honeywell, ACVC Partners</t>
  </si>
  <si>
    <t>ACVC</t>
  </si>
  <si>
    <t>Wharton Alumni Angels, The Archangel Fund, REDDS Capital, Honeywell, Guindy Alumni Angels</t>
  </si>
  <si>
    <t>Obvious Ventures, Inovia Capital</t>
  </si>
  <si>
    <t>"Chief of staff"</t>
  </si>
  <si>
    <t>Jason Flaks</t>
  </si>
  <si>
    <t>Norwest Venture Partners, Seven Peaks Ventures, Lightspeed, Ascend</t>
  </si>
  <si>
    <t>Norwest</t>
  </si>
  <si>
    <t>Seven Peaks Ventures</t>
  </si>
  <si>
    <t>Ascend</t>
  </si>
  <si>
    <t>Ohio</t>
  </si>
  <si>
    <t>Suvrat Bhooshan</t>
  </si>
  <si>
    <t>Personalized Videos</t>
  </si>
  <si>
    <t>Surge, Emergent Ventures</t>
  </si>
  <si>
    <t>Surge</t>
  </si>
  <si>
    <t>Emergent Ventures</t>
  </si>
  <si>
    <t>Itamer Arel, Ron Chrisley</t>
  </si>
  <si>
    <t>AMP Robotics</t>
  </si>
  <si>
    <t>StageOne Ventures, Point72 Ventures, Pathbreaker Ventures, Morado Ventures, Cota Capital, Coelius Capital, AME Cloud Ventures, Zach Coelius, John Lilly, Jaan Tallinn, Georges Harik</t>
  </si>
  <si>
    <t>StageOne Ventures</t>
  </si>
  <si>
    <t>Point72 Ventures</t>
  </si>
  <si>
    <t>Pathbreaker Ventures</t>
  </si>
  <si>
    <t>Morado Ventures</t>
  </si>
  <si>
    <t>Cota Capital</t>
  </si>
  <si>
    <t>Coelius Capital</t>
  </si>
  <si>
    <t>AME Cloud Ventures</t>
  </si>
  <si>
    <t>Eric Landau</t>
  </si>
  <si>
    <t>Landing AI</t>
  </si>
  <si>
    <t>CRV, Y Combinator, Harpoon, Crane</t>
  </si>
  <si>
    <t>Computer Vision, Annotation</t>
  </si>
  <si>
    <t>CRV, Y Combinator, WndrCo, Harvard, Des Traynor, Crane Venture</t>
  </si>
  <si>
    <t>Crane</t>
  </si>
  <si>
    <t>Harvard Management</t>
  </si>
  <si>
    <t>WndrCo</t>
  </si>
  <si>
    <t>Davit Badalyan, Tigran Petrosyan</t>
  </si>
  <si>
    <t>Base10 Partners, Runa Capital, Point Nine, Plug and Play, Fathom Capital</t>
  </si>
  <si>
    <t>Training Data platform, CV pipeline</t>
  </si>
  <si>
    <t>Base10 Partners</t>
  </si>
  <si>
    <t>Runa Capital</t>
  </si>
  <si>
    <t>Point Nine</t>
  </si>
  <si>
    <t>Fathom Capital</t>
  </si>
  <si>
    <t>SmartGateVC</t>
  </si>
  <si>
    <t>Granatus Ventures</t>
  </si>
  <si>
    <t>Berkeley SkyDeck Fund</t>
  </si>
  <si>
    <t>Point Nine, SmartGateVC, Runa Capital, Point Nine, Granatus Ventures, Fathom Capital, Berkeley SkyDeck Fund</t>
  </si>
  <si>
    <t>SmartGateVC, Granatus Ventures</t>
  </si>
  <si>
    <t>Primer</t>
  </si>
  <si>
    <t>Google Ventures, SVA, NEA, Formula Ventures, Essence VC</t>
  </si>
  <si>
    <t>Formula</t>
  </si>
  <si>
    <t>Essence VC</t>
  </si>
  <si>
    <t>Adam Oliner</t>
  </si>
  <si>
    <t>Former head of ML at Slack</t>
  </si>
  <si>
    <t>Maja Schaefer, Matt Ciolek</t>
  </si>
  <si>
    <t>Tiger, Inovo VC, Gradient Ventures, 10x Founders, Jack Altman</t>
  </si>
  <si>
    <t>Inovo</t>
  </si>
  <si>
    <t>Gradient Ventures, 10x Founders, Pascal Weinberger, Jack Altman</t>
  </si>
  <si>
    <t>Inovo VC</t>
  </si>
  <si>
    <t>Verse.io</t>
  </si>
  <si>
    <t>Connor Zwick</t>
  </si>
  <si>
    <t>Education</t>
  </si>
  <si>
    <t>Squirrel AI Learning</t>
  </si>
  <si>
    <t>Ava</t>
  </si>
  <si>
    <t>OpenAI, Lachy Groom, Justin Mateen, Josh Buckley, Gokul Rajaram, Buckley Ventures, Founders Fund</t>
  </si>
  <si>
    <t>English teacher</t>
  </si>
  <si>
    <t>Buckley Ventures</t>
  </si>
  <si>
    <t>Justin Mateen, JAM Fund</t>
  </si>
  <si>
    <t>JAM Fund</t>
  </si>
  <si>
    <t>Khosla Ventures, Y Combinator, Investo, Justin Mateen</t>
  </si>
  <si>
    <t>Bhavin Shah</t>
  </si>
  <si>
    <t>Botpress</t>
  </si>
  <si>
    <t>Tiger, Alkeon</t>
  </si>
  <si>
    <t>Sapphire Ventures</t>
  </si>
  <si>
    <t>Sapphire Ventures, Kleiner Perkins, ICONIQ Capital, Lightspeed, Comerica Bank's Technology, Bain, John Thompson</t>
  </si>
  <si>
    <t>Comerica</t>
  </si>
  <si>
    <t>Lightspeed, Bain</t>
  </si>
  <si>
    <t>Employee Experience</t>
  </si>
  <si>
    <t>Alan Cowen</t>
  </si>
  <si>
    <t>Neural Magic</t>
  </si>
  <si>
    <t>Union Square Ventures, Wisdom Ventures, Northwell Holdings, LG Technology Ventures, Comcast Ventures, Evan Sharp</t>
  </si>
  <si>
    <t>Wisdom Ventures</t>
  </si>
  <si>
    <t>Northwell Holdings</t>
  </si>
  <si>
    <t>Comcast</t>
  </si>
  <si>
    <t>Aegis Ventures</t>
  </si>
  <si>
    <t>Emotion analysis</t>
  </si>
  <si>
    <t>Brett Adcock</t>
  </si>
  <si>
    <t>Sunnyvale, CA</t>
  </si>
  <si>
    <t>Crazy killer robots</t>
  </si>
  <si>
    <t>Parkway Venture Capital, Tamarack Global, Moving Capital, Habitat Partners, FJ Labs, BOLD Ventures, Aliya Capital partners, Till Reuter</t>
  </si>
  <si>
    <t>Parkway Venture Capital</t>
  </si>
  <si>
    <t>Tamarack Global</t>
  </si>
  <si>
    <t>Moving Capital</t>
  </si>
  <si>
    <t>Habitat Partners</t>
  </si>
  <si>
    <t>FJ Labs</t>
  </si>
  <si>
    <t>BOLD Ventures</t>
  </si>
  <si>
    <t>Aliya Capital</t>
  </si>
  <si>
    <t>Blueshift</t>
  </si>
  <si>
    <t>Detroit</t>
  </si>
  <si>
    <t>Pivoted to AI</t>
  </si>
  <si>
    <t>Shanghai</t>
  </si>
  <si>
    <t>ZJ Innopark, Linear Capital, Guochuang Zhongding</t>
  </si>
  <si>
    <t>Creo Capital, Redpoint Ventures China, Linear Venture, Peihua Capital</t>
  </si>
  <si>
    <t>Linear Venture, Shanghai International, Redpoint Ventures China</t>
  </si>
  <si>
    <t>Unimpressive</t>
  </si>
  <si>
    <t>Ziyu Wang</t>
  </si>
  <si>
    <t>Zhipu</t>
  </si>
  <si>
    <t>"Alternative to AutoML", low-code declarative ML platform</t>
  </si>
  <si>
    <t>Devvret Rishi</t>
  </si>
  <si>
    <t>Felicis, Sancus Ventures, Greylock, Factory, Zoubin Gharamani, Yi Wang, Varun Badhwar, Remi El-Ouazzane, Ben Hamner, Anthony Goldbloomb</t>
  </si>
  <si>
    <t>Tel Aviv</t>
  </si>
  <si>
    <t>Dor Eligula, Gabriel Diamant, Or Eligula</t>
  </si>
  <si>
    <t>Unsupervised</t>
  </si>
  <si>
    <t>Group 11, L4 Venture Builder, Mangrove</t>
  </si>
  <si>
    <t>Finance research</t>
  </si>
  <si>
    <t>Group 11</t>
  </si>
  <si>
    <t>L4 Venture Builder</t>
  </si>
  <si>
    <t>Construct AI</t>
  </si>
  <si>
    <t>Intrinsic</t>
  </si>
  <si>
    <t>Austin, TX</t>
  </si>
  <si>
    <t>Madrona, Norwest Venture Partners, Factory, Jeff Hammerbacher, Charles Zedlewski</t>
  </si>
  <si>
    <t>Data stack automation</t>
  </si>
  <si>
    <t>ICONIQ</t>
  </si>
  <si>
    <t>Firestreak</t>
  </si>
  <si>
    <t>Ben Firshman</t>
  </si>
  <si>
    <t>a16z, Sequoia Capital, SVA, YC, Guillermo Rauch, Dylan Field, Lachy Groom, Andrej Karpathy</t>
  </si>
  <si>
    <t>Hosting Models</t>
  </si>
  <si>
    <t>Lei Tang, Marc Dupuis</t>
  </si>
  <si>
    <t>English-to-SQL</t>
  </si>
  <si>
    <t>SQL</t>
  </si>
  <si>
    <t>Yoshihiro Daejeon</t>
  </si>
  <si>
    <t>Japanese and weird.</t>
  </si>
  <si>
    <t>Mostly Japanese clients, not clear what they do exactly</t>
  </si>
  <si>
    <t>CharacterGPT, Interactive Agent NFTs</t>
  </si>
  <si>
    <t>AI Safety</t>
  </si>
  <si>
    <t>LULWUT</t>
  </si>
  <si>
    <t>Connor Leahy</t>
  </si>
  <si>
    <t>Seekar Technologies</t>
  </si>
  <si>
    <t>Coachvox AI</t>
  </si>
  <si>
    <t>Plural Platform</t>
  </si>
  <si>
    <t>Plural Platform, Metaplanet, Nat Friedman</t>
  </si>
  <si>
    <t>Pre-product</t>
  </si>
  <si>
    <t>Cyril Brignone</t>
  </si>
  <si>
    <t>Crosslink Capital</t>
  </si>
  <si>
    <t>Silicon Valley Bank</t>
  </si>
  <si>
    <t>Global Founders Capital</t>
  </si>
  <si>
    <t>Spider Capital, Crosslink Capital, Global Founders Capital</t>
  </si>
  <si>
    <t>Sorenson Ventures, Crosslink Capital, Spider Capital, Silicon Valley Bank, Global Founders Capital</t>
  </si>
  <si>
    <t>Analog Inference</t>
  </si>
  <si>
    <t>Pictory</t>
  </si>
  <si>
    <t>Former DataRobot team</t>
  </si>
  <si>
    <t>QoL app</t>
  </si>
  <si>
    <t>NEA, Sequoia Capital, IA Ventures, Critical Ventures, B5 Capital</t>
  </si>
  <si>
    <t>Jeremy Achin</t>
  </si>
  <si>
    <t>IA Ventures</t>
  </si>
  <si>
    <t>Critical Ventures</t>
  </si>
  <si>
    <t>Boston</t>
  </si>
  <si>
    <t>Sands Capital, Decibel Partners, AI Fund</t>
  </si>
  <si>
    <t>Sands Capital</t>
  </si>
  <si>
    <t>AI Fund</t>
  </si>
  <si>
    <t>Decibel, Village Global, AI Fund</t>
  </si>
  <si>
    <t>Village Global</t>
  </si>
  <si>
    <t>AI Compliance, Ethics</t>
  </si>
  <si>
    <t>South San Francisco</t>
  </si>
  <si>
    <t>Tanay Kothari</t>
  </si>
  <si>
    <t>Neo</t>
  </si>
  <si>
    <t>TriplePoint</t>
  </si>
  <si>
    <t>Modern Venture Partners</t>
  </si>
  <si>
    <t>TriplePoint Capital, Neo, NEA, Modern Venture Partners, 8VC, Vijay Krishnan, Fred Ehrsam, Arash Ferdowski</t>
  </si>
  <si>
    <t>Mind-reading wearable</t>
  </si>
  <si>
    <t>NEA, 8VC, AIX Ventures, Vijay Krishnan</t>
  </si>
  <si>
    <t>Testing code generation</t>
  </si>
  <si>
    <t>8VC, GTMfund, Correlation Ventures</t>
  </si>
  <si>
    <t>Correlation Ventures</t>
  </si>
  <si>
    <t>Ganesh Padmanabhan</t>
  </si>
  <si>
    <t>Syllable</t>
  </si>
  <si>
    <t>Ambi Robotics</t>
  </si>
  <si>
    <t>Asset Management Ventures (AMV), ATX Venture Partners, Loop Ventures, Next Practices Group</t>
  </si>
  <si>
    <t>Asset Management Ventures (AMV)</t>
  </si>
  <si>
    <t>Loop Ventures</t>
  </si>
  <si>
    <t>ATX Venture Partners</t>
  </si>
  <si>
    <t>Next Practices Group</t>
  </si>
  <si>
    <t>Hessam Bagherinezhad, Justin Uberti, Matt Welsh, Zach Koch</t>
  </si>
  <si>
    <t>Javascript library</t>
  </si>
  <si>
    <t>Redpoint, Signalfire, Madrona, Bloomberg Beta, Zetta, Kearny Jackson</t>
  </si>
  <si>
    <t>Signalfire</t>
  </si>
  <si>
    <t>Zetta, SignalFire, Bloomberg Beta, Kearny Jackson</t>
  </si>
  <si>
    <t>Seattle, WA</t>
  </si>
  <si>
    <t>Serverless</t>
  </si>
  <si>
    <t>Amir Haghighat, Pankaj Gupta, Philip Howes, Tuhin Srivastava</t>
  </si>
  <si>
    <t>Greylock, South Park Commons, AI Fund, Caffeinated Capital, DJ Patil, Dylan Field, Greg Brockman, Lachy Groom, Mustafa Suleyman</t>
  </si>
  <si>
    <t>South Park Commons</t>
  </si>
  <si>
    <t>Caffeinated Capital</t>
  </si>
  <si>
    <t>Greylock, South Park Commons, Lachy Groom, Jean-Denis Greze, Jay Simons, Dev Ittycheria, Cristina Cordova</t>
  </si>
  <si>
    <t>Glass Health</t>
  </si>
  <si>
    <t>Delafield, Wisconsin</t>
  </si>
  <si>
    <t>Corey Jaskolski</t>
  </si>
  <si>
    <t>Image labeling</t>
  </si>
  <si>
    <t>Lupa Systems</t>
  </si>
  <si>
    <t>Lupa Systems, TitletownTech, Esri, Booz Allen Ventures, Betaworks Ventures</t>
  </si>
  <si>
    <t>Titletown Tech</t>
  </si>
  <si>
    <t>Esri</t>
  </si>
  <si>
    <t>Booz Allen</t>
  </si>
  <si>
    <t>Ann Arbor, MI</t>
  </si>
  <si>
    <t>Brian Moore</t>
  </si>
  <si>
    <t>Computer Vision platform</t>
  </si>
  <si>
    <t>Datrics</t>
  </si>
  <si>
    <t>Top Harvest Capital</t>
  </si>
  <si>
    <t>Shasta Ventures</t>
  </si>
  <si>
    <t>Drive Capital</t>
  </si>
  <si>
    <t>eLab Ventures</t>
  </si>
  <si>
    <t>Top Harvest Capital, Shasta Ventures, Drive Capital</t>
  </si>
  <si>
    <t>Vitaly Gordon</t>
  </si>
  <si>
    <t>DevOps, monitoring</t>
  </si>
  <si>
    <t>SignalFire, Salesforce, Global Founders Capital, Maynard Webb, Frederic Kerrest, Adam Gross</t>
  </si>
  <si>
    <t>Former Salesforce people</t>
  </si>
  <si>
    <t>Mental Health</t>
  </si>
  <si>
    <t>Sydney, Australia</t>
  </si>
  <si>
    <t>Scalare Partners</t>
  </si>
  <si>
    <t>OpenSpace</t>
  </si>
  <si>
    <t>Chatbot customer service</t>
  </si>
  <si>
    <t>Bravo</t>
  </si>
  <si>
    <t>Zurich, Switzerland</t>
  </si>
  <si>
    <t>Andreas Krause, Martin Vechev, Pavol Bielik, Petar Tsankov</t>
  </si>
  <si>
    <t>OpenOcean, Atlantic Bridge, FPV Ventures, Global Founders Capital, b2venture</t>
  </si>
  <si>
    <t>OpenOcean</t>
  </si>
  <si>
    <t>Atlantic Bridge</t>
  </si>
  <si>
    <t>FPV Ventures</t>
  </si>
  <si>
    <t>Spark</t>
  </si>
  <si>
    <t>Big Data</t>
  </si>
  <si>
    <t>a16z, NEA, Franklin Templeton, Morgan Stanley</t>
  </si>
  <si>
    <t>Zuoyebang</t>
  </si>
  <si>
    <t>Edtech</t>
  </si>
  <si>
    <t>2013?</t>
  </si>
  <si>
    <t>Nuro</t>
  </si>
  <si>
    <t>UBTech Robotics</t>
  </si>
  <si>
    <t>Chinese AI/robotics</t>
  </si>
  <si>
    <t>MEGVII</t>
  </si>
  <si>
    <t>4Paradigm</t>
  </si>
  <si>
    <t>SambaNova Systems</t>
  </si>
  <si>
    <t>ContentSquare</t>
  </si>
  <si>
    <t>Momenta</t>
  </si>
  <si>
    <t>EV FSD</t>
  </si>
  <si>
    <t>Dataminr</t>
  </si>
  <si>
    <t>Pony.ai</t>
  </si>
  <si>
    <t>Dataiku</t>
  </si>
  <si>
    <t>MegaRobo</t>
  </si>
  <si>
    <t>HighRadius</t>
  </si>
  <si>
    <t>MiningLamp</t>
  </si>
  <si>
    <t>PatSnap</t>
  </si>
  <si>
    <t>b2venture</t>
  </si>
  <si>
    <t>ETH spinoff</t>
  </si>
  <si>
    <t>Global Founders Capital, b2venture</t>
  </si>
  <si>
    <t>Playment</t>
  </si>
  <si>
    <t>Weka</t>
  </si>
  <si>
    <t>Norwest Venture Partners, Signia Venture Partners</t>
  </si>
  <si>
    <t>Lavendar</t>
  </si>
  <si>
    <t>Signia Venture Partners</t>
  </si>
  <si>
    <t>Signia Venture Partners, Position Ventures, CapitalX, Troy Osinoff, CapitalX, Braydan Young, Arash Ferdowsi, Alex Lieberman</t>
  </si>
  <si>
    <t>CapitalX</t>
  </si>
  <si>
    <t>Position Ventures</t>
  </si>
  <si>
    <t>Will Allred</t>
  </si>
  <si>
    <t>Memphis, Tennessee</t>
  </si>
  <si>
    <t>Chris Lu</t>
  </si>
  <si>
    <t>Wing Venture Capital, Tiger Global, Sequoia, Craft Ventures, Elad Gil</t>
  </si>
  <si>
    <t>Atelier Ventures</t>
  </si>
  <si>
    <t>Craft Ventures, Sequoia Capital, Atelier Ventures</t>
  </si>
  <si>
    <t>Unpopular Ventures, Bill Yu</t>
  </si>
  <si>
    <t>Generative video, audio</t>
  </si>
  <si>
    <t>San Francisco, CA</t>
  </si>
  <si>
    <t>Ashray Malhotra, Nisheeth Lahoti, Shivam Mangla</t>
  </si>
  <si>
    <t>Red Ventures, Silver Lake, 8VC</t>
  </si>
  <si>
    <t>Red Ventures</t>
  </si>
  <si>
    <t>Rephrase AI</t>
  </si>
  <si>
    <t>Rephrase.AI</t>
  </si>
  <si>
    <t>AV8 Ventures</t>
  </si>
  <si>
    <t>Techstars</t>
  </si>
  <si>
    <t>Lightspeed India, AV8 Ventures</t>
  </si>
  <si>
    <t>Dedy Kredo, Itamar Friedman</t>
  </si>
  <si>
    <t>Workera</t>
  </si>
  <si>
    <t>Vine Ventures, TLV Partners</t>
  </si>
  <si>
    <t>Vine Ventures</t>
  </si>
  <si>
    <t>Richard Robinson</t>
  </si>
  <si>
    <t>Plural Platform, Episode 1, Tom Blomfield</t>
  </si>
  <si>
    <t>Episode 1</t>
  </si>
  <si>
    <t>SoftBank, Forward Partners, Episode 1, Tom Blomfield</t>
  </si>
  <si>
    <t>Forward Partners</t>
  </si>
  <si>
    <t>Episode 1, Will Martin, Will Brooks, Paul Massara, Oliver Burgel, Al Giles</t>
  </si>
  <si>
    <t>Amol Kelkar, Chandra Khatri, David Chu, Hung Tran, James Cremer, Peter Relan</t>
  </si>
  <si>
    <t>Enterprise LLM with 'guardrails'</t>
  </si>
  <si>
    <t>Relan Global</t>
  </si>
  <si>
    <t>Capricorn, Cito, TSVC</t>
  </si>
  <si>
    <t>YouWeb, Intel, Fosun RZ</t>
  </si>
  <si>
    <t>Salt Security</t>
  </si>
  <si>
    <t>Smart APIs?</t>
  </si>
  <si>
    <t>Lovo</t>
  </si>
  <si>
    <t>Salt Lake City, Utah</t>
  </si>
  <si>
    <t>Matrix Partners India, Elevation Capital, Yamini Bhat, Pushkar Mukewar, Ajay Arora, Ankit Bhati, Ashwini Asokan</t>
  </si>
  <si>
    <t>Elevation Capital, Vidit Aatrey, Sanjeev Barnwal, Kashyap Deorah, Ashish Goel</t>
  </si>
  <si>
    <t>Voice generation</t>
  </si>
  <si>
    <t>Elevation Capital</t>
  </si>
  <si>
    <t>Murf.AI</t>
  </si>
  <si>
    <t>Matrix Partners India</t>
  </si>
  <si>
    <t>Sweden</t>
  </si>
  <si>
    <t>Colin Treseler</t>
  </si>
  <si>
    <t>Transcribes meeting notes</t>
  </si>
  <si>
    <t>Balderton Capital, Acequia Capital, byFounders, EQT Ventures</t>
  </si>
  <si>
    <t>Balderton Capital</t>
  </si>
  <si>
    <t>byFounders</t>
  </si>
  <si>
    <t>EQT Ventures</t>
  </si>
  <si>
    <t>Acequia Capital</t>
  </si>
  <si>
    <t>Sixth Street</t>
  </si>
  <si>
    <t>Declaration Partners, SymphonyAI, Maverick, AllianceBernstein</t>
  </si>
  <si>
    <t>SymphonyAI</t>
  </si>
  <si>
    <t>Cambridge, MA</t>
  </si>
  <si>
    <t>Stellantis</t>
  </si>
  <si>
    <t>Softbank, Greylock, Toyota Ventures, Playground Global, GM Ventures, BMW I Ventures, DNX Ventures</t>
  </si>
  <si>
    <t>Playground Global, GM Ventures, Mitsui, DNX Ventures, Index Ventures</t>
  </si>
  <si>
    <t>Markus Linder</t>
  </si>
  <si>
    <t>FTV Capital</t>
  </si>
  <si>
    <t>Target Global, Beringea</t>
  </si>
  <si>
    <t>Beringea</t>
  </si>
  <si>
    <t>Element AI (ServiceNow)</t>
  </si>
  <si>
    <t>Caisse de Depot, M12, McKinsey, Pegasus Tech Ventures, Real Ventures, Hanwha Asset, DCVC</t>
  </si>
  <si>
    <t>Hammad Syed, Mahmoud Felfel</t>
  </si>
  <si>
    <t>Montreal</t>
  </si>
  <si>
    <t>Great TTS product</t>
  </si>
  <si>
    <t>Y Combinator, 500 Global</t>
  </si>
  <si>
    <t>500 Global</t>
  </si>
  <si>
    <t>Play.ht</t>
  </si>
  <si>
    <t>Todd Gottula</t>
  </si>
  <si>
    <t>Strados Labs</t>
  </si>
  <si>
    <t>Softbank, Spark, Sigmas Group, Rivas Capital, KKR, Insight Partners, Blackrock, Aspenwood Ventures, Memorial Hermann Hospital</t>
  </si>
  <si>
    <t>India</t>
  </si>
  <si>
    <t>May be defunct</t>
  </si>
  <si>
    <t>Rad AI</t>
  </si>
  <si>
    <t>Healthcare Platform</t>
  </si>
  <si>
    <t>Mubadala Capital Ventures, Tiger, Steadview, Schonfeld, Whale Rock, M12, Avidity, Dragoneer, OMERS</t>
  </si>
  <si>
    <t>Jumio (PE)</t>
  </si>
  <si>
    <t>Identity/KYC</t>
  </si>
  <si>
    <t>KYC</t>
  </si>
  <si>
    <t>Legal Transcription</t>
  </si>
  <si>
    <t>Eigen Technologies</t>
  </si>
  <si>
    <t>Digital Reasoning</t>
  </si>
  <si>
    <t>Enlitic</t>
  </si>
  <si>
    <t>Third Point Ventures, TCP Venture Capital, Vertex Growth Fund, Titan Capital partners, TCP Venture Capital, Sapphire Ventures, Smasung NEXT, More Capital, Disruptive AI Venture Capital, 40 North</t>
  </si>
  <si>
    <t>Beijing, China</t>
  </si>
  <si>
    <t>Zhang Mo</t>
  </si>
  <si>
    <t>Kogniz</t>
  </si>
  <si>
    <t>CV</t>
  </si>
  <si>
    <t>ZGC Group</t>
  </si>
  <si>
    <t>Chinese clients</t>
  </si>
  <si>
    <t>Nice</t>
  </si>
  <si>
    <t>Sidney.ai</t>
  </si>
  <si>
    <t>D-ID.ai</t>
  </si>
  <si>
    <t>Moore Threads</t>
  </si>
  <si>
    <t>DuerOS</t>
  </si>
  <si>
    <t>Enflame</t>
  </si>
  <si>
    <t>Cerebras</t>
  </si>
  <si>
    <t>Vastai Technologies</t>
  </si>
  <si>
    <t>Builder.ai</t>
  </si>
  <si>
    <t>Gong.io</t>
  </si>
  <si>
    <t>ThoughtSpot</t>
  </si>
  <si>
    <t>AnyVision (Oosto)</t>
  </si>
  <si>
    <t>NotCo</t>
  </si>
  <si>
    <t>Skydio</t>
  </si>
  <si>
    <t>Meero</t>
  </si>
  <si>
    <t>Light Years Beyond</t>
  </si>
  <si>
    <t>AlphaSense</t>
  </si>
  <si>
    <t>GraphCore</t>
  </si>
  <si>
    <t>Shift Technology</t>
  </si>
  <si>
    <t>Plus</t>
  </si>
  <si>
    <t>EightFold AI</t>
  </si>
  <si>
    <t>Immunai</t>
  </si>
  <si>
    <t>Shield AI</t>
  </si>
  <si>
    <t>Soterea</t>
  </si>
  <si>
    <t>InterVenn</t>
  </si>
  <si>
    <t>Wayve</t>
  </si>
  <si>
    <t>Paradox</t>
  </si>
  <si>
    <t>Outreach</t>
  </si>
  <si>
    <t>Censius</t>
  </si>
  <si>
    <t>Groq</t>
  </si>
  <si>
    <t>Applied Intuition</t>
  </si>
  <si>
    <t>Vast Data</t>
  </si>
  <si>
    <t>H2O.ai</t>
  </si>
  <si>
    <t>Domino</t>
  </si>
  <si>
    <t>Labelbox</t>
  </si>
  <si>
    <t>Runpod</t>
  </si>
  <si>
    <t>Banana.dev</t>
  </si>
  <si>
    <t>Path Robotics</t>
  </si>
  <si>
    <t>ContractpodAI</t>
  </si>
  <si>
    <t>Hive</t>
  </si>
  <si>
    <t>Cresta</t>
  </si>
  <si>
    <t>Privitar</t>
  </si>
  <si>
    <t>Relational.ai</t>
  </si>
  <si>
    <t>Habana</t>
  </si>
  <si>
    <t>Helsing</t>
  </si>
  <si>
    <t>Run.ai</t>
  </si>
  <si>
    <t>DeepL</t>
  </si>
  <si>
    <t>Digits</t>
  </si>
  <si>
    <t>Akasa</t>
  </si>
  <si>
    <t>Iguazio</t>
  </si>
  <si>
    <t>Neeva</t>
  </si>
  <si>
    <t>Unlearn</t>
  </si>
  <si>
    <t>Healx</t>
  </si>
  <si>
    <t>Comet</t>
  </si>
  <si>
    <t>Gretel</t>
  </si>
  <si>
    <t>Synthesia</t>
  </si>
  <si>
    <t>Rain</t>
  </si>
  <si>
    <t>Otter.ai</t>
  </si>
  <si>
    <t>Arthrur</t>
  </si>
  <si>
    <t>Leapyear</t>
  </si>
  <si>
    <t>Spring Discovery</t>
  </si>
  <si>
    <t>HireEz</t>
  </si>
  <si>
    <t>Tonic</t>
  </si>
  <si>
    <t>Parallel Domain</t>
  </si>
  <si>
    <t>MosaicML</t>
  </si>
  <si>
    <t>Impira</t>
  </si>
  <si>
    <t>Anyword</t>
  </si>
  <si>
    <t>Mostly AI</t>
  </si>
  <si>
    <t>Relyance</t>
  </si>
  <si>
    <t>Hebbia</t>
  </si>
  <si>
    <t>Gantry</t>
  </si>
  <si>
    <t>Superb AI</t>
  </si>
  <si>
    <t>Writer (writer.com)</t>
  </si>
  <si>
    <t>Outerbounds</t>
  </si>
  <si>
    <t>Coiled</t>
  </si>
  <si>
    <t>Luminai</t>
  </si>
  <si>
    <t>Galileo</t>
  </si>
  <si>
    <t>Scop Network</t>
  </si>
  <si>
    <t>Inceptive</t>
  </si>
  <si>
    <t>Bardeen</t>
  </si>
  <si>
    <t>EdgeDB</t>
  </si>
  <si>
    <t>Northbeam</t>
  </si>
  <si>
    <t>Rewind.ai</t>
  </si>
  <si>
    <t>Clear ML</t>
  </si>
  <si>
    <t>Heydey</t>
  </si>
  <si>
    <t>Regie.ai</t>
  </si>
  <si>
    <t>WhyLabs</t>
  </si>
  <si>
    <t>Neptune AI</t>
  </si>
  <si>
    <t>Omneky</t>
  </si>
  <si>
    <t>Docugami</t>
  </si>
  <si>
    <t>Kinetix</t>
  </si>
  <si>
    <t>Seldon</t>
  </si>
  <si>
    <t>Verta.ai</t>
  </si>
  <si>
    <t>Wonder Dynamics</t>
  </si>
  <si>
    <t>Wellsaid</t>
  </si>
  <si>
    <t>Swapp</t>
  </si>
  <si>
    <t>Kaskada</t>
  </si>
  <si>
    <t>Janus</t>
  </si>
  <si>
    <t>Copysmith</t>
  </si>
  <si>
    <t>Rosebud</t>
  </si>
  <si>
    <t>Deep Motion</t>
  </si>
  <si>
    <t>Fellow AI</t>
  </si>
  <si>
    <t>Hidden Door</t>
  </si>
  <si>
    <t>Voicemod</t>
  </si>
  <si>
    <t>OmniML</t>
  </si>
  <si>
    <t>Science.io</t>
  </si>
  <si>
    <t>Hopsworks</t>
  </si>
  <si>
    <t>Modal</t>
  </si>
  <si>
    <t>Tymely</t>
  </si>
  <si>
    <t>Wombo.ai</t>
  </si>
  <si>
    <t>Replica Studios</t>
  </si>
  <si>
    <t>Activeloop</t>
  </si>
  <si>
    <t>Modern Intelligence</t>
  </si>
  <si>
    <t>FeatureForm</t>
  </si>
  <si>
    <t>Twelve Labs</t>
  </si>
  <si>
    <t>Neu.ro</t>
  </si>
  <si>
    <t>Modzy</t>
  </si>
  <si>
    <t>Terminus Technologies (Terminus DB?)</t>
  </si>
  <si>
    <t>Bento ML</t>
  </si>
  <si>
    <t>Circle Labs</t>
  </si>
  <si>
    <t>Dashworks</t>
  </si>
  <si>
    <t>AI Dungeon</t>
  </si>
  <si>
    <t>Claid (Let's Enhance)</t>
  </si>
  <si>
    <t>Datasaur</t>
  </si>
  <si>
    <t>Mubert</t>
  </si>
  <si>
    <t>Latitude.io</t>
  </si>
  <si>
    <t>Infuse AI</t>
  </si>
  <si>
    <t>Connectly</t>
  </si>
  <si>
    <t>Tavus</t>
  </si>
  <si>
    <t>Basetwo</t>
  </si>
  <si>
    <t>Regression Games</t>
  </si>
  <si>
    <t>Soundful</t>
  </si>
  <si>
    <t>Slai</t>
  </si>
  <si>
    <t>Superwise</t>
  </si>
  <si>
    <t>Buzz Solutions</t>
  </si>
  <si>
    <t>Humanloop</t>
  </si>
  <si>
    <t>Mintlify</t>
  </si>
  <si>
    <t>ZenML</t>
  </si>
  <si>
    <t>Plask</t>
  </si>
  <si>
    <t>Diagram</t>
  </si>
  <si>
    <t>ApertureData</t>
  </si>
  <si>
    <t>Adaya.ai</t>
  </si>
  <si>
    <t>Shaped AI</t>
  </si>
  <si>
    <t>CatalyzeX</t>
  </si>
  <si>
    <t>Compose AI</t>
  </si>
  <si>
    <t>Coqui</t>
  </si>
  <si>
    <t>Radical</t>
  </si>
  <si>
    <t>Aiva.ai</t>
  </si>
  <si>
    <t>Oxipit</t>
  </si>
  <si>
    <t>Dagshub</t>
  </si>
  <si>
    <t>SwingVision</t>
  </si>
  <si>
    <t>Valohai</t>
  </si>
  <si>
    <t>UbiOps</t>
  </si>
  <si>
    <t>Anduril</t>
  </si>
  <si>
    <t>Metaphor</t>
  </si>
  <si>
    <t>Evidently AI</t>
  </si>
  <si>
    <t>Hypotenuse AI</t>
  </si>
  <si>
    <t>Narrative</t>
  </si>
  <si>
    <t>Juice Labs</t>
  </si>
  <si>
    <t>Sieve</t>
  </si>
  <si>
    <t>OpenLayer</t>
  </si>
  <si>
    <t>Subsalt</t>
  </si>
  <si>
    <t>Elai.io</t>
  </si>
  <si>
    <t>Bhuman</t>
  </si>
  <si>
    <t>Cogram</t>
  </si>
  <si>
    <t>Unweave</t>
  </si>
  <si>
    <t>Mirage</t>
  </si>
  <si>
    <t>Qualdo</t>
  </si>
  <si>
    <t>Matrice AI</t>
  </si>
  <si>
    <t>Stenography</t>
  </si>
  <si>
    <t>Contenda</t>
  </si>
  <si>
    <t>Protecto.ai</t>
  </si>
  <si>
    <t>Chalk.ai</t>
  </si>
  <si>
    <t>Cerebrium</t>
  </si>
  <si>
    <t>3852.ai</t>
  </si>
  <si>
    <t>Playground.ai</t>
  </si>
  <si>
    <t>Everyprompt</t>
  </si>
  <si>
    <t>Tiyaro</t>
  </si>
  <si>
    <t>PromptLoop</t>
  </si>
  <si>
    <t>Ask Edith</t>
  </si>
  <si>
    <t>Debuild</t>
  </si>
  <si>
    <t>Claypot.ai</t>
  </si>
  <si>
    <t>DeepAI</t>
  </si>
  <si>
    <t>Vizcom</t>
  </si>
  <si>
    <t>Civixa</t>
  </si>
  <si>
    <t>Lexica</t>
  </si>
  <si>
    <t>Smartwriter.ai</t>
  </si>
  <si>
    <t>Explainpaper</t>
  </si>
  <si>
    <t>Growthbar</t>
  </si>
  <si>
    <t>LetterDrop</t>
  </si>
  <si>
    <t>Rytr</t>
  </si>
  <si>
    <t>Cleanlab</t>
  </si>
  <si>
    <t>Ryme.ai</t>
  </si>
  <si>
    <t>Xiaoice (fka Bombax)</t>
  </si>
  <si>
    <t>Digital humans, chatbot</t>
  </si>
  <si>
    <t>Hillhouse, Wuyuan Capital, Northern Light Venture, Neumann Advisors, NetEase, IDG Capital, GGV Capital, 5Y Capital</t>
  </si>
  <si>
    <t>Microsoft spinout? 660m users WW?</t>
  </si>
  <si>
    <t>Buoy Health</t>
  </si>
  <si>
    <t>Allon Bloch</t>
  </si>
  <si>
    <t>Healthcare app</t>
  </si>
  <si>
    <t>Valor Equity Partners, PICO Venture Partners, GGV Capital, Primary Ventures, Max Ventures, Marcy Venture Partners, LTS Investments, Kaiser Permanente, Counterpart Advisors, BoxGroup, Bienville Capital, Atreides Ventures, 14W</t>
  </si>
  <si>
    <t>Valor Equity Partners</t>
  </si>
  <si>
    <t>PICO Venture Partners</t>
  </si>
  <si>
    <t>Primary Ventures</t>
  </si>
  <si>
    <t>Max Ventures</t>
  </si>
  <si>
    <t>Marcy Venture Partners</t>
  </si>
  <si>
    <t>LTS Investments</t>
  </si>
  <si>
    <t>Kaiser Permanente</t>
  </si>
  <si>
    <t>Counterpart Advisors</t>
  </si>
  <si>
    <t>BoxGroup</t>
  </si>
  <si>
    <t>Bienville Capital</t>
  </si>
  <si>
    <t>Atreides Ventures</t>
  </si>
  <si>
    <t>14W</t>
  </si>
  <si>
    <t>Lerer Hippeau</t>
  </si>
  <si>
    <t>Elevance Health</t>
  </si>
  <si>
    <t>Blackpine</t>
  </si>
  <si>
    <t>Mangrove VC / Capital Partners</t>
  </si>
  <si>
    <t>Valor Equity Partners, PICO Venture Partners, Max Ventures, Marcy Venture Partners, Atreides Management, 14W</t>
  </si>
  <si>
    <t>Mangrove, 14W, Primary, Max, Lerer Hippeau, Elevance Health, Comcast, BoxGroup, BlackPine, 14W</t>
  </si>
  <si>
    <t>Mangrove, Comcast, 14W, Primary Ventures, Max Ventures, Lerer Hippeau, BoxGroup, bessemer</t>
  </si>
  <si>
    <t>Primary Venture Partners, Mangrove, Lerer Hippeau, Comcast</t>
  </si>
  <si>
    <t>Call center</t>
  </si>
  <si>
    <t>Vanti AI</t>
  </si>
  <si>
    <t>Sharath Keshava Narayana, Swapnil Jain</t>
  </si>
  <si>
    <t>Call Centers</t>
  </si>
  <si>
    <t>Softbank, Zoom, Steadview, Scale, NGP Capital, Nexus Venture Partners, Next47, Menlo Ventures, Emergent Ventures</t>
  </si>
  <si>
    <t>Observe.ai</t>
  </si>
  <si>
    <t>Steadview Capital</t>
  </si>
  <si>
    <t>NGP Capital</t>
  </si>
  <si>
    <t>Next47</t>
  </si>
  <si>
    <t>Observe AI</t>
  </si>
  <si>
    <t>Menlo Ventures, Scale Venture Partners, NGP Capital, Next47, Emergent Ventures, Bossanova Investimentos</t>
  </si>
  <si>
    <t>Scale Venture Partners, Steadview, Nexuxs Venture, Emergent, 01 Advisors</t>
  </si>
  <si>
    <t>01 Advisors</t>
  </si>
  <si>
    <t>Nexus Venture Partners, Y Combinator, MGV, Liquid 2 Ventures, Hack VC, Emergent Ventures, Nick Candito, Jonathan Downey, Gokul Rajaram</t>
  </si>
  <si>
    <t>MGV</t>
  </si>
  <si>
    <t>Liquid 2 Ventures</t>
  </si>
  <si>
    <t>Scale Venture Partners, Steadview Capital, Nexus Venture Partners, Emergent Ventures, 01 Advisors</t>
  </si>
  <si>
    <t>Loiusville, KY</t>
  </si>
  <si>
    <t>Weather</t>
  </si>
  <si>
    <t>Chris Goode</t>
  </si>
  <si>
    <t>The Rise Fund</t>
  </si>
  <si>
    <t>Forecasting. "Dalton AI"</t>
  </si>
  <si>
    <t>Esha Joshi, Varun Puri</t>
  </si>
  <si>
    <t>Communication</t>
  </si>
  <si>
    <t>Communication improvement tool</t>
  </si>
  <si>
    <t>Madrona, Cercano Management, J4.Ventures, Ascend, Renn Vara, Maureen Taylor, Jeff Richards, Dave Rosenberg</t>
  </si>
  <si>
    <t>Cercano Management</t>
  </si>
  <si>
    <t>J4.Ventures</t>
  </si>
  <si>
    <t>Allen AI, Madrona</t>
  </si>
  <si>
    <t>Allen Institute for AI</t>
  </si>
  <si>
    <t>Charlotte, NC</t>
  </si>
  <si>
    <t>Lucien Leighton</t>
  </si>
  <si>
    <t>Seoul, South Korea</t>
  </si>
  <si>
    <t>Vcat.ai (Pion)</t>
  </si>
  <si>
    <t>Premier Partners, SmileGate, KT Investment, KB Investment</t>
  </si>
  <si>
    <t>AI promotional videos</t>
  </si>
  <si>
    <t>San Jose, CA</t>
  </si>
  <si>
    <t>Clear Ventures, Wipro Ventures, Engineering Capital</t>
  </si>
  <si>
    <t>Binny Gill</t>
  </si>
  <si>
    <t>BPO</t>
  </si>
  <si>
    <t>Exception handling</t>
  </si>
  <si>
    <t>Clear Ventures</t>
  </si>
  <si>
    <t>Wipro Ventures</t>
  </si>
  <si>
    <t>Engineering Capital, Clear Ventures</t>
  </si>
  <si>
    <t>Amit Eyal Govrin, Shaked Askayo</t>
  </si>
  <si>
    <t>DevOps</t>
  </si>
  <si>
    <t>Hyperwise Ventures, Pierre Lamond, Giora Yaron, Avery More</t>
  </si>
  <si>
    <t>Hyperwise</t>
  </si>
  <si>
    <t>ChatGPT for DevOps</t>
  </si>
  <si>
    <t>Workplace Safety</t>
  </si>
  <si>
    <t>Ciarán O'Mara, Dan Hobbs</t>
  </si>
  <si>
    <t>Kebotix</t>
  </si>
  <si>
    <t>Swoop (W2O)</t>
  </si>
  <si>
    <t>Animato</t>
  </si>
  <si>
    <t>Minion.ai</t>
  </si>
  <si>
    <t>Recraft</t>
  </si>
  <si>
    <t>Flair</t>
  </si>
  <si>
    <t>ValueBase</t>
  </si>
  <si>
    <t>Cursor</t>
  </si>
  <si>
    <t>PolyCorp</t>
  </si>
  <si>
    <t>Sameday</t>
  </si>
  <si>
    <t>Ghostwrite</t>
  </si>
  <si>
    <t>Rowy</t>
  </si>
  <si>
    <t>Birch</t>
  </si>
  <si>
    <t>Samaya AI</t>
  </si>
  <si>
    <t>Secret Weapons</t>
  </si>
  <si>
    <t>Pixelcut</t>
  </si>
  <si>
    <t>AniML</t>
  </si>
  <si>
    <t>Forefront</t>
  </si>
  <si>
    <t>CCTV CV</t>
  </si>
  <si>
    <t>Notion Capital, SCOR Ventures, Playfair Capital, Flexport, Firstminute Capital, Elkstone Capital Partners, CircleRock Capital</t>
  </si>
  <si>
    <t>Notion Capital</t>
  </si>
  <si>
    <t>SCOR Ventures</t>
  </si>
  <si>
    <t>Playfair Capital</t>
  </si>
  <si>
    <t>Elkstone Capital Partners</t>
  </si>
  <si>
    <t>CircleRock</t>
  </si>
  <si>
    <t>Conversational</t>
  </si>
  <si>
    <t>Bobby Tang, James Lo</t>
  </si>
  <si>
    <t>CoPilot AI</t>
  </si>
  <si>
    <t>Mana (withmana.com)</t>
  </si>
  <si>
    <t>Various tools</t>
  </si>
  <si>
    <t>Goodwater Capital</t>
  </si>
  <si>
    <t>Global Founders, Flash Ventures</t>
  </si>
  <si>
    <t>London, UK</t>
  </si>
  <si>
    <t>Flash Ventures</t>
  </si>
  <si>
    <t>Amit Ben Shahar, Asi Shefer, Aviv Dror, Yochai Levi</t>
  </si>
  <si>
    <t>Low-code, no-code API</t>
  </si>
  <si>
    <t>TechAviv Founder Partners, Ariel Maislos, Tomer Weingarten</t>
  </si>
  <si>
    <t>TechAviv Founder Partners</t>
  </si>
  <si>
    <t>Pretty cool</t>
  </si>
  <si>
    <t>Shaun Modi</t>
  </si>
  <si>
    <t>HMOs</t>
  </si>
  <si>
    <t>468 Capital, Tokyo Black, Sanno Capital, Nomad Capital, Fuel Capital, AirAngels, Designer Fund, Chase Coleman, Brian Chesky, John McCormick</t>
  </si>
  <si>
    <t>Tokyo Black</t>
  </si>
  <si>
    <t>Sanno Capital</t>
  </si>
  <si>
    <t>Nomad Capital</t>
  </si>
  <si>
    <t>Fuel Capital</t>
  </si>
  <si>
    <t>Designer Fund</t>
  </si>
  <si>
    <t>AirAngels</t>
  </si>
  <si>
    <t>Dr. Alon Talmor</t>
  </si>
  <si>
    <t>ex-Salesforce</t>
  </si>
  <si>
    <t>Enterprise search</t>
  </si>
  <si>
    <t>Vertex Ventures Israel, State of Mind Ventures, Web Summit Ventures, Interplay, GuideStar Ventures, GTMfund, Gefen Capital, Firsthand Technology Value Fund, Alliance Global Partners, Yakir Daniel, Ran Sarig, Or Hiltch, Omri Barzilay, Michael Matias, Guy Zipori, Efi Cohen, Barak Goldstein</t>
  </si>
  <si>
    <t>State of Mind Ventures</t>
  </si>
  <si>
    <t>Web Summit Ventures</t>
  </si>
  <si>
    <t>Interplay</t>
  </si>
  <si>
    <t>GuideStar Ventures</t>
  </si>
  <si>
    <t>Gefen Capital</t>
  </si>
  <si>
    <t>Firsthand Technology Value Fund</t>
  </si>
  <si>
    <t>Alliance Global Partners</t>
  </si>
  <si>
    <t>Ask AI (Irvine, CA)</t>
  </si>
  <si>
    <t>NinjaTech AI</t>
  </si>
  <si>
    <t>Babak Pahlavan, Sam Naghshineh</t>
  </si>
  <si>
    <t>SRI Ventures, DCVC, Candou Ventures, Laszlo Bock</t>
  </si>
  <si>
    <t>ex-GOOG, META, AWS</t>
  </si>
  <si>
    <t>Enterprise personal assistant</t>
  </si>
  <si>
    <t>SRI Ventures</t>
  </si>
  <si>
    <t>DCVC</t>
  </si>
  <si>
    <t>Candou Ventures</t>
  </si>
  <si>
    <t>Los Altos, CA</t>
  </si>
  <si>
    <t>Rajat Mishra</t>
  </si>
  <si>
    <t>Greycroft, WestWave Capital, Emergent Ventures, Zoom</t>
  </si>
  <si>
    <t>Slideshow/presentations</t>
  </si>
  <si>
    <t>Presentations</t>
  </si>
  <si>
    <t>Greycroft</t>
  </si>
  <si>
    <t>WestWave Capital</t>
  </si>
  <si>
    <t>Reka</t>
  </si>
  <si>
    <t>Healthcare, IVR</t>
  </si>
  <si>
    <t>Israel Krush, Rom Cohen</t>
  </si>
  <si>
    <t>Pryon</t>
  </si>
  <si>
    <t>Macquarie Capital, Spero Ventures, Mindset Ventures, K20 Fund, Black Opal Ventures, Hanaco Venture Capital, Liberty Mutual Strategic Ventures</t>
  </si>
  <si>
    <t>Macquarie Capital</t>
  </si>
  <si>
    <t>Spero Ventures</t>
  </si>
  <si>
    <t>Mindset Ventures</t>
  </si>
  <si>
    <t>Liberty Mutual Strategic Ventures</t>
  </si>
  <si>
    <t>K20 Fund</t>
  </si>
  <si>
    <t>Hanaco Venture Capital</t>
  </si>
  <si>
    <t>Black Opal Ventures</t>
  </si>
  <si>
    <t>Spero Ventures, Twilio, Spider Capital, Mindset Ventures, Hanaco Venture Capital, Entrepreneurs Roundtable Accelerator</t>
  </si>
  <si>
    <t>Hanaco Venture Capital, Spider Capital, ERA Capital Partners</t>
  </si>
  <si>
    <t>Entrepreneurs Roundtable Accelerator (ERA Capital Partners?)</t>
  </si>
  <si>
    <t>Entrepreneurs Roundtable Accelerator, Dorm Room Fund, Cornell Tech</t>
  </si>
  <si>
    <t>Dorm Room Fund</t>
  </si>
  <si>
    <t>Cornell Tech</t>
  </si>
  <si>
    <t>DST Global Partners, Radical Ventures, Snowflake</t>
  </si>
  <si>
    <t>Contextual AI</t>
  </si>
  <si>
    <t>LlamaIndex</t>
  </si>
  <si>
    <t>2022?</t>
  </si>
  <si>
    <t>Reka AI</t>
  </si>
  <si>
    <t>DST Global</t>
  </si>
  <si>
    <t>Yasa: enterprise LLM</t>
  </si>
  <si>
    <t>Georgian, Twilio, Point72 Ventures, Khosla Ventures, Amadeus Capital Partners</t>
  </si>
  <si>
    <t>Georgian</t>
  </si>
  <si>
    <t>Khosla Ventures, Sands Capital Ventures, Point72 Ventures, Passion Capital, Entrepreneur First, Amadeus Capital Partners</t>
  </si>
  <si>
    <t>Passion Capital</t>
  </si>
  <si>
    <t>Entrepreneur First</t>
  </si>
  <si>
    <t>Point72 Ventures, Sands Capital Ventures, Passion Capital, Entrepreneur First, Amadeus Capital Partners</t>
  </si>
  <si>
    <t>UiPath</t>
  </si>
  <si>
    <t>Patient communication</t>
  </si>
  <si>
    <t>Lead Edge Capital, Summation Health Ventures, Structure Capital, Martin Ventures, Jackson Square Ventures, Health Velocity Capital, Freestyle Capital</t>
  </si>
  <si>
    <t>Lead Edge Capital</t>
  </si>
  <si>
    <t>Summation Health Ventures</t>
  </si>
  <si>
    <t>Structure Capital</t>
  </si>
  <si>
    <t>Martin Ventures</t>
  </si>
  <si>
    <t>Jackson Square Ventures</t>
  </si>
  <si>
    <t>Freestyle Capital</t>
  </si>
  <si>
    <t>Health Velocity Capital</t>
  </si>
  <si>
    <t>Techstars, Freestyle Capital</t>
  </si>
  <si>
    <t>Jackson Square Ventures, TenOneTen Ventures, Techstars, Freestyle Capital</t>
  </si>
  <si>
    <t>TenOneTen Ventures, Freestyle Capital, Cedars-Sinai Accelerator, Techstars</t>
  </si>
  <si>
    <t>Techstars, Cedars-Sinai Accelerator, Arch Grants</t>
  </si>
  <si>
    <t>Artera (artera.io, Well Health)</t>
  </si>
  <si>
    <t>Guillaume De Zwirek, Joe Tischler</t>
  </si>
  <si>
    <t>Santa Barbara, CA</t>
  </si>
  <si>
    <t>ArteraAI (artera.com)</t>
  </si>
  <si>
    <t>Andre Esteva</t>
  </si>
  <si>
    <t>Diagnostics</t>
  </si>
  <si>
    <t>Coatue, Breyer Capital, J&amp;J, Koch Disruptive Technologies, Walden Catalyst, Time Ventures, TheFactory, Steve Blank, Michael Driscoll, Marc Benioff, Lip-Bu Tan, Jim Breyer, Jeff Dean, Dennis Wong, Clarence So, Chris Re, Amarjit Gill</t>
  </si>
  <si>
    <t>San Francisco, AI</t>
  </si>
  <si>
    <t>Photography</t>
  </si>
  <si>
    <t>Photo</t>
  </si>
  <si>
    <t>Oleg Rogynskyy</t>
  </si>
  <si>
    <t>Revenue/Sales Management</t>
  </si>
  <si>
    <t>Mubadala Capital, Akkadian Ventures, Sand Hill Angels, Lightspeed Venture Partners, ICONIQ, Gaingels</t>
  </si>
  <si>
    <t>ICONIQ, Y Combinator, Maropost Ventures, GGV Capital, Frontline Ventures, a16z, Lightspeed Venture Partners, John Thompson, Godfrey Sullivan, Frank Slootman</t>
  </si>
  <si>
    <t>Akkadian Ventures</t>
  </si>
  <si>
    <t>Sand Hill Angels</t>
  </si>
  <si>
    <t>Maropost Ventures</t>
  </si>
  <si>
    <t>Frontline Ventures</t>
  </si>
  <si>
    <t>a16z, Lightspeed Venture Partners, GGV Capital, Y Combinator</t>
  </si>
  <si>
    <t>Lightspeed, Y Combinator, SVA, Shasta Ventures, Mindrock Capital, Index Ventures, Ross Mason, Kendall Collins, Jake Seid, Dharmesh Shah, David Schellhase, Brian Goldfarb</t>
  </si>
  <si>
    <t>Mindrock Capital</t>
  </si>
  <si>
    <t>Zillionzire, Y Combinator, SVA, Haystack, Garage Technology Ventures, CSC Upshot, 408 Ventures, Aventures Capital</t>
  </si>
  <si>
    <t>Zillionize</t>
  </si>
  <si>
    <t>Haystack</t>
  </si>
  <si>
    <t>Garage Technology Ventures</t>
  </si>
  <si>
    <t>CSC Upshot</t>
  </si>
  <si>
    <t>408 Ventures</t>
  </si>
  <si>
    <t>Aventures Capital</t>
  </si>
  <si>
    <t>Potrero</t>
  </si>
  <si>
    <t>Northwell, Aegis Ventures</t>
  </si>
  <si>
    <t>Venture studio/platform</t>
  </si>
  <si>
    <t>Peltarion (King.com/ATVI)</t>
  </si>
  <si>
    <t>Stockholm, Sweden</t>
  </si>
  <si>
    <t>Euclidean Capital, FAM AB, EQT Ventures</t>
  </si>
  <si>
    <t>AB Tasty</t>
  </si>
  <si>
    <t>Anzu Partners, The E14 Fund, Silicon Catalyst, Scout Ventures, Schams Ventures, Alumni Ventures, AlleyCorp</t>
  </si>
  <si>
    <t>FPGA</t>
  </si>
  <si>
    <t>FPGA for AI</t>
  </si>
  <si>
    <t>Brooklyn, NY</t>
  </si>
  <si>
    <t>Daniel Kobran, Dillon Erb</t>
  </si>
  <si>
    <t>Sorenson Capital, Intel Capital, SineWave Ventures, Battery Ventures, Rocketship.vc, Initialized Capital</t>
  </si>
  <si>
    <t>GPU Cloud Compute</t>
  </si>
  <si>
    <t>Ludlow Ventures, Initialized Capital, DCVC</t>
  </si>
  <si>
    <t>Transmedia Capital, InnoSpring Seed Fund, DCVC, Amino Capital</t>
  </si>
  <si>
    <t>Zillionize, Ludlow Ventures, Fusion Fund</t>
  </si>
  <si>
    <t>Y Combinator, QueensBridge Venture Partners, InnoSpring Seed Fund, Center Electric</t>
  </si>
  <si>
    <t>SineWave Ventures</t>
  </si>
  <si>
    <t>Rocketship.vc</t>
  </si>
  <si>
    <t>Initialized Capital</t>
  </si>
  <si>
    <t>Ludlow Ventures</t>
  </si>
  <si>
    <t>Lupa Systems, Titletown Tech, Betaworks, Esri, Booz Allen, Betaworks Ventures</t>
  </si>
  <si>
    <t>Lupa Systems, TitletownTech, Betawork Ventures</t>
  </si>
  <si>
    <t>Vector</t>
  </si>
  <si>
    <t>Quiet Capital, Spencer Kimball, Naval Ravikant, Max Altman, Jordan Tigani, Jack Altman, Guillermo Rauch, Amjad Masad, Akshay Kothari</t>
  </si>
  <si>
    <t>Nat Friedman, James Cham, Daniel Gross, Anthony Goldbloom</t>
  </si>
  <si>
    <t>My favorite VDB</t>
  </si>
  <si>
    <t>Data Explorer</t>
  </si>
  <si>
    <t>LLMOps</t>
  </si>
  <si>
    <t>Andriy Mulyar</t>
  </si>
  <si>
    <t>Dentistry</t>
  </si>
  <si>
    <t>Asaf Moses</t>
  </si>
  <si>
    <t>Boston, MA</t>
  </si>
  <si>
    <t>Christian Salem</t>
  </si>
  <si>
    <t>Scientific Research</t>
  </si>
  <si>
    <t>Draper Associates, Winklevoss Capital, Alumni Ventures, Nomad Capital, Rob May, Kevin Carter, Brian Pokorny, Billy Draper</t>
  </si>
  <si>
    <t>Winklevoss Capital, Permit Ventures, Laurence Innovation, Chey Capital, Bettor Capital, Sam Parr, Peter Jennings, Mike R. Walsh, Joe Speiser</t>
  </si>
  <si>
    <t>Research</t>
  </si>
  <si>
    <t>Draper Associates</t>
  </si>
  <si>
    <t>Winklevoss Capital</t>
  </si>
  <si>
    <t>Alumni Capital</t>
  </si>
  <si>
    <t>Permit Ventures</t>
  </si>
  <si>
    <t>Laurence Innovation</t>
  </si>
  <si>
    <t>Chey Capital</t>
  </si>
  <si>
    <t>Bettor Capital</t>
  </si>
  <si>
    <t>Medical AI</t>
  </si>
  <si>
    <t>Not really AI</t>
  </si>
  <si>
    <t>Sequoia Capital, SVA, A.Capital Ventures, Ronald Conway, Michael Stoppelman, Michael Ovitz, Kevin Hartz, Frank Slootman, Clement Delangue</t>
  </si>
  <si>
    <t>Revenue/BI</t>
  </si>
  <si>
    <t>Kumo</t>
  </si>
  <si>
    <t>Kumo.ai</t>
  </si>
  <si>
    <t>Sequoia, SVA, A.Capital, Tristan handy, Sridhar Ramaswamy, Ronald Conway, Rob Eldridge, Li Fan, Igor Perisic, Greg Greeley, David Chaiken, Cory Scott</t>
  </si>
  <si>
    <t>KIMO</t>
  </si>
  <si>
    <t>Krishna Deepak Nallamilli, Rens ter Weijde</t>
  </si>
  <si>
    <t>Individualized learning paths</t>
  </si>
  <si>
    <t>Amsterdam</t>
  </si>
  <si>
    <t>Dong Wang, Hema Raghavan, Jure Leskovec, Vanja Josifovski</t>
  </si>
  <si>
    <t>Jerome Monceaux</t>
  </si>
  <si>
    <t>Humanoid</t>
  </si>
  <si>
    <t>Mirokai, furry robot</t>
  </si>
  <si>
    <t>Audio</t>
  </si>
  <si>
    <t>3D Reconstruction</t>
  </si>
  <si>
    <t>Bangalore, India</t>
  </si>
  <si>
    <t>Jo Aggarwal, Ramakant Vempati</t>
  </si>
  <si>
    <t>Not really AI, using chatbot</t>
  </si>
  <si>
    <t>Practo</t>
  </si>
  <si>
    <t>Neteera</t>
  </si>
  <si>
    <t>HealthQuad, W Health Ventures, Pi Ventures, Kae Capital, Google Assistant Investments, British International Investment</t>
  </si>
  <si>
    <t>W Health Ventures, Pi Ventures, Kae Capital, Google Assistant Investments</t>
  </si>
  <si>
    <t>Pi Ventures, Kae Capital</t>
  </si>
  <si>
    <t xml:space="preserve">Kae Capital, </t>
  </si>
  <si>
    <t>Asian startup search engine</t>
  </si>
  <si>
    <t>Jordan Monnet, Maxim Parr</t>
  </si>
  <si>
    <t>Simon Robey, Jacob Rothschild</t>
  </si>
  <si>
    <t>Cambridge, UK</t>
  </si>
  <si>
    <t>"Agentverse"</t>
  </si>
  <si>
    <t>Humayun Sheikh, Thomas Hain, Toby Simpson</t>
  </si>
  <si>
    <t>GDA Group</t>
  </si>
  <si>
    <t>Outlier Ventures, Blockwall</t>
  </si>
  <si>
    <t>Hard to take seriously</t>
  </si>
  <si>
    <t>Avaamo</t>
  </si>
  <si>
    <t>Debanjan Saha, Jeremy Achin, Thomas DeGodoy</t>
  </si>
  <si>
    <t>Series G</t>
  </si>
  <si>
    <t>Tiger, Altimeter, Sutter Hill, Salesforce, HMC Capital, Franklin Templeton, Counterpoint Global</t>
  </si>
  <si>
    <t>DataRobot</t>
  </si>
  <si>
    <t>Altimeter</t>
  </si>
  <si>
    <t>Sutter Hill Ventures</t>
  </si>
  <si>
    <t>HMC Capital</t>
  </si>
  <si>
    <t>Franklin Templeton Investments</t>
  </si>
  <si>
    <t>Counterpoint Global</t>
  </si>
  <si>
    <t>Oryx Ventures</t>
  </si>
  <si>
    <t>Glynn Capital</t>
  </si>
  <si>
    <t>ClearBridge Investments</t>
  </si>
  <si>
    <t>Altimeter Capital, T. Rowe Price, Tiger, Silver Lake, Sapphire Ventures, Oryx Ventures, NEA, Glynn Capital, ClearBridge, BlackRock, B Capital, Snowflake, Salesforce, J-Ventures, HP Enterprise</t>
  </si>
  <si>
    <t>J-Ventures</t>
  </si>
  <si>
    <t>Hewlett Packard Enterprise</t>
  </si>
  <si>
    <t>Sapphire Ventures, World Innovation Lab, Tiger, Sands Capital Ventures, Oryx Ventures, MEA, Meritech Capital, Intel, GoldenArc, Geodesic, EDBI, DFJ Growth, AllianceBernstein</t>
  </si>
  <si>
    <t>World Innovation Lab</t>
  </si>
  <si>
    <t>Meritech Capital</t>
  </si>
  <si>
    <t>GoldenArc Capital</t>
  </si>
  <si>
    <t>Geodesic Capital</t>
  </si>
  <si>
    <t>EDBI</t>
  </si>
  <si>
    <t>DFJ Growth</t>
  </si>
  <si>
    <t>AllianceBernstein</t>
  </si>
  <si>
    <t>Sapphire Ventures, Meritech Capital Partners, NEA, Intel, IA Ventures, DFJ Growth</t>
  </si>
  <si>
    <t>NEA, Plug and Play, Omega Venture, Accomplice</t>
  </si>
  <si>
    <t>Omega Venture Partners</t>
  </si>
  <si>
    <t>Accomplice</t>
  </si>
  <si>
    <t>Gladly</t>
  </si>
  <si>
    <t>Joseph Reisinger, Matt Stanton</t>
  </si>
  <si>
    <t>Image Tools</t>
  </si>
  <si>
    <t>Image</t>
  </si>
  <si>
    <t>Image Workflow</t>
  </si>
  <si>
    <t>Two Sigma Ventures, Spacecadet Ventures, South Park Commons, Slow Ventures, Basis Set Ventures, Accel</t>
  </si>
  <si>
    <t>Two Sigma Ventures</t>
  </si>
  <si>
    <t>Facet</t>
  </si>
  <si>
    <t>Spacecadet Ventures</t>
  </si>
  <si>
    <t>Slow Ventures</t>
  </si>
  <si>
    <t>Basis Set Ventures</t>
  </si>
  <si>
    <t>Spacecadet Ventures, 10X Capital</t>
  </si>
  <si>
    <t>10X Capital</t>
  </si>
  <si>
    <t>Gaingels, Accel, Bossanova, South Park Commons, Slow Ventures, Pareto Holdings, Kevin Mahaffey, Edward Lando</t>
  </si>
  <si>
    <t>Toronto, Canada</t>
  </si>
  <si>
    <t>Saqib Muhammad, Zohaib Ahmed</t>
  </si>
  <si>
    <t>Modulate</t>
  </si>
  <si>
    <t>Firstminute Capital, Craft Ventures, Betaworks, AET Fund</t>
  </si>
  <si>
    <t>Resemble AI</t>
  </si>
  <si>
    <t>Resemble</t>
  </si>
  <si>
    <t>AET Fund</t>
  </si>
  <si>
    <t>GMG Ventures, Firstminute Capital, Craft Ventures, Canaan Partners, Betaworks Ventures, AET Fund</t>
  </si>
  <si>
    <t>Houston, TX</t>
  </si>
  <si>
    <t>Text-to-Image</t>
  </si>
  <si>
    <t>PicSo</t>
  </si>
  <si>
    <t>2080 Ventures</t>
  </si>
  <si>
    <t>Alison Darcy</t>
  </si>
  <si>
    <t>Corporate</t>
  </si>
  <si>
    <t>Leaps by Bayer</t>
  </si>
  <si>
    <t>Temasek, Jazz, What If, Owl Ventures, NEA, Mirae Asset, Kicker Ventures, Gaingels, Bossanova, BlackRock, Alumni Ventures, AI Fund</t>
  </si>
  <si>
    <t>Jazz Venture Partners</t>
  </si>
  <si>
    <t>Owl Ventures</t>
  </si>
  <si>
    <t>What If Ventures</t>
  </si>
  <si>
    <t>Kicker Ventures</t>
  </si>
  <si>
    <t>AI Fund, NEA, Social Discovery Group, Jazz Venture Partners, Gaingels</t>
  </si>
  <si>
    <t>Social Discovery Group</t>
  </si>
  <si>
    <t>Amit Gupta</t>
  </si>
  <si>
    <t>AI Trader</t>
  </si>
  <si>
    <t>Copy</t>
  </si>
  <si>
    <t>Sequoia Capital, XYZ Venture Capital, Tiny Super Computer Investment Company, Seedcamp, GG1, Motier Ventures, Connect, AI Grant, Romain Niccoli, Olivier Pomel, Nicolas Brusson, Matthieu Rouif, Mathilde Collin, Julien Codorniou, Julien Chaumond, Jean-Charles, Samuelian-Werve, Irwan Bello, Igor Babushkin, Howie Liu, Eleonore Crespo, Charles Gorintin</t>
  </si>
  <si>
    <t>XYZ Venture Capital</t>
  </si>
  <si>
    <t>Tiny Super Computer Investment Company</t>
  </si>
  <si>
    <t>Seedcamp</t>
  </si>
  <si>
    <t>GG1</t>
  </si>
  <si>
    <t>Connect</t>
  </si>
  <si>
    <t>Tools</t>
  </si>
  <si>
    <t>Business tools, very generic</t>
  </si>
  <si>
    <t>Sausalito, CA</t>
  </si>
  <si>
    <t>Design Tool</t>
  </si>
  <si>
    <t>Design</t>
  </si>
  <si>
    <t>Abu Dhabi, UAE</t>
  </si>
  <si>
    <t>G42 (Group 42, UAE)</t>
  </si>
  <si>
    <t>UAE based, 10B fund, Conglomerate</t>
  </si>
  <si>
    <t>Mubadala, Silver Lake</t>
  </si>
  <si>
    <t>Dror Weiss, Eran Yahav</t>
  </si>
  <si>
    <t>Code completion</t>
  </si>
  <si>
    <t>Samsung NEXT, Qualcomm Ventures, OurCrowd, TPY Capital, Khosla Ventures, Hetz Ventures, Headline</t>
  </si>
  <si>
    <t>TPY Capital</t>
  </si>
  <si>
    <t>Qualcomm</t>
  </si>
  <si>
    <t>OurCrowd</t>
  </si>
  <si>
    <t>Hetz Ventures</t>
  </si>
  <si>
    <t>Headline, TPY Capital, Khosla, Hetz</t>
  </si>
  <si>
    <t>AI Gun Detection</t>
  </si>
  <si>
    <t>Safety</t>
  </si>
  <si>
    <t>Philadelphia, PA</t>
  </si>
  <si>
    <t>Billy Hunter, Caleb Jones, Dustin Brooks, Mike Lahiff, Rob Huberty, Sam Alaimo, Tim Sulzer</t>
  </si>
  <si>
    <t>Octave Ventures LLC, Legion Capital, Grateful Ventures, Alpha Intelligence Capital, Alliance Holdings GP</t>
  </si>
  <si>
    <t>Natoma, Legion Capital, Grateful Ventures, Backswing Ventures</t>
  </si>
  <si>
    <t>Irving, Texas</t>
  </si>
  <si>
    <t>Ruben Amarasingham</t>
  </si>
  <si>
    <t>Concord Health Partners, OSF Ventures, Children's Health</t>
  </si>
  <si>
    <t>Hospital readmission</t>
  </si>
  <si>
    <t>OSF Ventures</t>
  </si>
  <si>
    <t>Concord Health Partners</t>
  </si>
  <si>
    <t>Children's Health</t>
  </si>
  <si>
    <t>Pacific Advantage Capital, Jump Capital, Tribeca Early Stage Partners, Saint Francis Health System, PCCI, Children's Health</t>
  </si>
  <si>
    <t>Raphael Holca-Lamarre, Tuhin Chakraborty</t>
  </si>
  <si>
    <t>Indy</t>
  </si>
  <si>
    <t>Khosla Ventures, Episode 1, Entrepreneur First</t>
  </si>
  <si>
    <t>Business process automation</t>
  </si>
  <si>
    <t>Automation</t>
  </si>
  <si>
    <t>Entrepreneur First, Episode 1</t>
  </si>
  <si>
    <t>Shoplifting</t>
  </si>
  <si>
    <t>Retail</t>
  </si>
  <si>
    <t>Jonathan Mak, Neil Gramopadhye, Philippe Sawaya</t>
  </si>
  <si>
    <t>ADT</t>
  </si>
  <si>
    <t>Code refactoring</t>
  </si>
  <si>
    <t>Verb.ai</t>
  </si>
  <si>
    <t>Valinor Earth</t>
  </si>
  <si>
    <t>Cosmin Radoi, Morgante Pell</t>
  </si>
  <si>
    <t>Asif Hasan</t>
  </si>
  <si>
    <t>Marlborough, MA</t>
  </si>
  <si>
    <t>Casetext</t>
  </si>
  <si>
    <t>Multiples</t>
  </si>
  <si>
    <t>Providence, RI</t>
  </si>
  <si>
    <t>Lightmatter</t>
  </si>
  <si>
    <t>Jeremy Wilson</t>
  </si>
  <si>
    <t>Utilities/energy</t>
  </si>
  <si>
    <t>Energy</t>
  </si>
  <si>
    <t>Moore, Nvidia, MUUS, Microsoft, Keyframe, Braemar</t>
  </si>
  <si>
    <t>Moore</t>
  </si>
  <si>
    <t>MUUS</t>
  </si>
  <si>
    <t>Keyframe</t>
  </si>
  <si>
    <t>Braemar</t>
  </si>
  <si>
    <t>Keyframe, Braemar, American Electric Power</t>
  </si>
  <si>
    <t>American Electric Power</t>
  </si>
  <si>
    <t>Bremar Energy</t>
  </si>
  <si>
    <t>Jayant Lakshmikanthan</t>
  </si>
  <si>
    <t>Aspen Capital Group, Oak HC/FT</t>
  </si>
  <si>
    <t>Aspen Capital Group</t>
  </si>
  <si>
    <t>Oak HC/FT</t>
  </si>
  <si>
    <t>Determines where QC could replace RSA</t>
  </si>
  <si>
    <t>Security</t>
  </si>
  <si>
    <t>T. Rowe Price, Time Ventures, Eric Schmidt, Breyer Capital</t>
  </si>
  <si>
    <t>Not Really AI, ex-Google</t>
  </si>
  <si>
    <t>MatrixSpace</t>
  </si>
  <si>
    <t>CoreWeave</t>
  </si>
  <si>
    <t>Christos Tryfonas, Muddu Sudhakar</t>
  </si>
  <si>
    <t>Thoma Bravo, Goldman Sachs, Zoom, World Innovation Lab, Webb Investment Network, True Ventures, Silicon Valley Bank, Sherpalo Ventures, Norwest Venture Partners, Menlo Ventures, Khosla Ventures, Icon Ventures, First Round Capital</t>
  </si>
  <si>
    <t>Service desk for customers and employees</t>
  </si>
  <si>
    <t>Service</t>
  </si>
  <si>
    <t>Thoma Bravo</t>
  </si>
  <si>
    <t>Goldman Sachs</t>
  </si>
  <si>
    <t>Webb Investment Network</t>
  </si>
  <si>
    <t>True Ventures</t>
  </si>
  <si>
    <t>Sherpalo Ventures</t>
  </si>
  <si>
    <t>Aiersa</t>
  </si>
  <si>
    <t>First Round Capital</t>
  </si>
  <si>
    <t>Icon Ventures, World Innovation Lab, Webb Investment Network, True Ventures, Sherpalo Ventures, Norwest Venture Partners, Menlo Ventures, Khosla Ventures, First Round Capital</t>
  </si>
  <si>
    <t>Norwest, Webb, True, Menlo, Khosla, First Round, Ram Shriram</t>
  </si>
  <si>
    <t>Audio transcription</t>
  </si>
  <si>
    <t>Dylan Fox</t>
  </si>
  <si>
    <t>Insight Partners, Y Combinator, TechNexus, Accel</t>
  </si>
  <si>
    <t>TechNexus</t>
  </si>
  <si>
    <t>Accel, Y Combinator, TechNexus, Nat Friedman, John Collison, Daniel Gross</t>
  </si>
  <si>
    <t>Nat Friedman, John Collison, Daniel Gross, TechNexus</t>
  </si>
  <si>
    <t>Uniphore (Jacada)</t>
  </si>
  <si>
    <t>Alexandre Hadade, Everton Cherman, Patricia Osorio</t>
  </si>
  <si>
    <t>Customer Feedback</t>
  </si>
  <si>
    <t>Customer</t>
  </si>
  <si>
    <t>Softbank, Upload Ventures, Illuminate Ventures, Scale-Up Ventures, Fusion Fund, Endeavor Catalyst, Astella</t>
  </si>
  <si>
    <t>Upload Ventures</t>
  </si>
  <si>
    <t>Illuminate Ventures</t>
  </si>
  <si>
    <t>Scale-Up Ventures</t>
  </si>
  <si>
    <t>Fusion Fund</t>
  </si>
  <si>
    <t>Endeavor Catalyst</t>
  </si>
  <si>
    <t>Astella</t>
  </si>
  <si>
    <t>SQL queries</t>
  </si>
  <si>
    <t>Creandum, Tobias Lutke, Sebastian Wallin, Renaud Visage, Fredrik Bjork, Christian Reber</t>
  </si>
  <si>
    <t>Explainable AI</t>
  </si>
  <si>
    <t>Oxford, UK</t>
  </si>
  <si>
    <t>RT Capital Management, Oxford Investmenet Consultants, Future Planet Capital</t>
  </si>
  <si>
    <t>RT Capital Management</t>
  </si>
  <si>
    <t>Oxford Investment Consultants (Oxford Science Enterprises, Oxford University Innovation)</t>
  </si>
  <si>
    <t>Future Planet Capital</t>
  </si>
  <si>
    <t>Zegami (acquired by Videntai)</t>
  </si>
  <si>
    <t>Videntai</t>
  </si>
  <si>
    <t>SESAMm</t>
  </si>
  <si>
    <t>Carbon Credits</t>
  </si>
  <si>
    <t>Brian Liston</t>
  </si>
  <si>
    <t>Future Positive, Zinal Growth, Wollemi, The Twenty Minute VC, Sweet Capital, Social Capital, Seaya, Saltwater Capital, ReGen Ventures, Plus Capital, Oreilly AlphaTech Ventures, My Climate Journey Collective, Lowercarbon Capital, Climate Pledge Fund, Breakthrough Energy Ventures, AirAngels, Aglae Ventures, Tobias Lutke, Seth Goldman, Serena Williams, Sahil Lavingia, Ram Shriram, Portia de Rossi, Miguel Nogales, Matias Muchnick, Marcos Galperin, Manu Ginobilli, Khaled Naim, Joe Gebbia, Fabrice Grinda, Ellen DeGeneres, Claire Hughes Johnson, Azeem Azhar, Alexis Ohanian, Alexander Will</t>
  </si>
  <si>
    <t>Climate Change</t>
  </si>
  <si>
    <t>BS, not AI</t>
  </si>
  <si>
    <t>Interconnect</t>
  </si>
  <si>
    <t>"Optical Fabric"</t>
  </si>
  <si>
    <t>Boulder, CO</t>
  </si>
  <si>
    <t>Michael Andregg</t>
  </si>
  <si>
    <t>Khosla Ventures, Founders Fund, Jaan Tallinn</t>
  </si>
  <si>
    <t>Omnix</t>
  </si>
  <si>
    <t>Cognitive Operational Systems</t>
  </si>
  <si>
    <t>Jonas Cleveland</t>
  </si>
  <si>
    <t>Inventory robots</t>
  </si>
  <si>
    <t>Old, haven't raised in long time</t>
  </si>
  <si>
    <t>HumanSignal</t>
  </si>
  <si>
    <t>Delaware, US</t>
  </si>
  <si>
    <t>No Investors</t>
  </si>
  <si>
    <t>private and profitable, no investors or debt'</t>
  </si>
  <si>
    <t>Troy, MI</t>
  </si>
  <si>
    <t>Amjad Hussain</t>
  </si>
  <si>
    <t>mostly SaaS, "AI infused"</t>
  </si>
  <si>
    <t>Venture</t>
  </si>
  <si>
    <t>Plymouth Growth</t>
  </si>
  <si>
    <t>Integrity Growth Partners, The K Fund</t>
  </si>
  <si>
    <t>Sumo Logic</t>
  </si>
  <si>
    <t>Artifact Capital</t>
  </si>
  <si>
    <t>NLP business queries</t>
  </si>
  <si>
    <t>Pittsburgh, PA</t>
  </si>
  <si>
    <t>Eric Xing, Ning Li, Qirong Ho</t>
  </si>
  <si>
    <t>No-Code ML Automation</t>
  </si>
  <si>
    <t>Softbank, Advantech</t>
  </si>
  <si>
    <t>Advantech</t>
  </si>
  <si>
    <t>Advantech Capital, Tencent, Oriza Ventures, Northern Light Venture Capital</t>
  </si>
  <si>
    <t>Oriza Ventures</t>
  </si>
  <si>
    <t>Northern Light Venture Capital</t>
  </si>
  <si>
    <t>Tencent</t>
  </si>
  <si>
    <t>Seems dead</t>
  </si>
  <si>
    <t>Tachyum</t>
  </si>
  <si>
    <t>San Diego, CA</t>
  </si>
  <si>
    <t>Brightflow AI</t>
  </si>
  <si>
    <t>Siddharth Mohan, Zach Rattner</t>
  </si>
  <si>
    <t>AI Inspections for Moving &amp; Insurance</t>
  </si>
  <si>
    <t>Logistics</t>
  </si>
  <si>
    <t xml:space="preserve">Imagen Capital Partners, </t>
  </si>
  <si>
    <t>Imagen Capital Partners</t>
  </si>
  <si>
    <t>Tenstorrent</t>
  </si>
  <si>
    <t>Covariance</t>
  </si>
  <si>
    <t>Emeryville, CA</t>
  </si>
  <si>
    <t>Fulfillment</t>
  </si>
  <si>
    <t>Peter Chen, Pieter Abbeel, Rocky Duan, Tianhao Zhang</t>
  </si>
  <si>
    <t>Index Ventures, Radical Ventures, Northgate Capital, Gates Frontier Fund, CPPIB, Amplify Partners, AIX Ventures</t>
  </si>
  <si>
    <t>Northgate Capital</t>
  </si>
  <si>
    <t>Gates Frontier Fund</t>
  </si>
  <si>
    <t>Index Ventures, Temasek, Radical Ventures, CPPIB, Amplify</t>
  </si>
  <si>
    <t>Frees Fund</t>
  </si>
  <si>
    <t>Index Ventures, Radical Ventures, Amplify Partners</t>
  </si>
  <si>
    <t>Amplify Partners</t>
  </si>
  <si>
    <t>Amplify Partners, SVA, Samsung NEXT, Lux Capital, Frees Fund, A.Capital, 11.2 Capital</t>
  </si>
  <si>
    <t>Armorblox (Cisco)</t>
  </si>
  <si>
    <t>Acquired on 6/1/23</t>
  </si>
  <si>
    <t>Anand Raghavan, Arjun Sambamoorthy, Chetan Anand, Dhananjay Sampath</t>
  </si>
  <si>
    <t>Next47, General Catalyst, Polaris Ventures, Unusual Ventures, John Thompson, Gerhard Eschelbeck, DJ Patil</t>
  </si>
  <si>
    <t>General Catalyst, Point72 Ventures, Mango Capital, Ronald Conway, Ramu Arunachalam, Oliver Friedrichs, John Thompson, Gerhard Eschelbeck, DJ Patil</t>
  </si>
  <si>
    <t>Acquired in 2019</t>
  </si>
  <si>
    <t>Training Data for Avs</t>
  </si>
  <si>
    <t>AiFi</t>
  </si>
  <si>
    <t>Phantom AI</t>
  </si>
  <si>
    <t>Andrew Dudum, Charlie Melbye, Don Holly, Jon Mumm</t>
  </si>
  <si>
    <t>J2 Ventures, Red Cell Partners, Marlinspike Capital, Perot Jain, Atomic, HID Global, Icon Ventures</t>
  </si>
  <si>
    <t>J2 Ventures</t>
  </si>
  <si>
    <t>Perot Jain</t>
  </si>
  <si>
    <t>Marlinspike Capital</t>
  </si>
  <si>
    <t>Red Cell Partners</t>
  </si>
  <si>
    <t>HID Global</t>
  </si>
  <si>
    <t>Atomic</t>
  </si>
  <si>
    <t>Icon Ventures, Khosla Ventures, Felicis</t>
  </si>
  <si>
    <t>Khosla Ventures, Felicis, Cherubic Ventures</t>
  </si>
  <si>
    <t>Cherubic Ventures</t>
  </si>
  <si>
    <t>SVA, UpHonest Capital, Wei Guo, Atomic</t>
  </si>
  <si>
    <t>AUM</t>
  </si>
  <si>
    <t>% AI</t>
  </si>
  <si>
    <t>Video Call EQ (autism)</t>
  </si>
  <si>
    <t>Eau Claire, Wisconsin</t>
  </si>
  <si>
    <t>Ali Aziz, Amy Noll, Catherine Davis, Chandra De Keyser, Yury Shubin</t>
  </si>
  <si>
    <t>IPMD</t>
  </si>
  <si>
    <t>Pera Labs</t>
  </si>
  <si>
    <t>Canadian, Fei-Fei Li, raising fund III</t>
  </si>
  <si>
    <t>Reading, UK</t>
  </si>
  <si>
    <t>Mark Sears, Tom Puskarich</t>
  </si>
  <si>
    <t>Deepgram</t>
  </si>
  <si>
    <t>Spectrm</t>
  </si>
  <si>
    <t>Weatherford Capital, FTV Capital</t>
  </si>
  <si>
    <t>Weatherford</t>
  </si>
  <si>
    <t>The Social Entrepreneurs Fund, Sovereign's Capital, Dolma Impact Fund</t>
  </si>
  <si>
    <t>Rockefeller Foundation</t>
  </si>
  <si>
    <t>Avi Tal, David Tal</t>
  </si>
  <si>
    <t>Defy.vc, Simplexity Ventures, Silicon Valley Bank, OurCrowd, Moderne Ventures, Freestyle Capital, Constance Freedman</t>
  </si>
  <si>
    <t>AI lead follow-up</t>
  </si>
  <si>
    <t>Not core AI</t>
  </si>
  <si>
    <t>Jed Putterman</t>
  </si>
  <si>
    <t>MindsDB</t>
  </si>
  <si>
    <t>Axelera AI</t>
  </si>
  <si>
    <t>Accidents</t>
  </si>
  <si>
    <t>Ulu Ventures, VentureStudio, The Indy Fund, K20 Fund, H. Barton Asset Management, Tom Chavez</t>
  </si>
  <si>
    <t>Ulu Ventures</t>
  </si>
  <si>
    <t>VentureStudio</t>
  </si>
  <si>
    <t>The Indy Fund</t>
  </si>
  <si>
    <t>H. Barton Asset Management</t>
  </si>
  <si>
    <t>The Entrepreneurs' Fund</t>
  </si>
  <si>
    <t>The Entrepreneurs' Fund, Tom Chavez, Auren Hoffman</t>
  </si>
  <si>
    <t>TextQL</t>
  </si>
  <si>
    <t>Lourdes Agapito, Matthias Niessner, Steffen Tjerrild, Victor Riperbelli</t>
  </si>
  <si>
    <t>Accel, nVentures, Kleiner Perkins, Google Ventures, FirstMark, Olivier Pomel, Amjad Masad, Alex Wang</t>
  </si>
  <si>
    <t>nVentures</t>
  </si>
  <si>
    <t>FirstMark</t>
  </si>
  <si>
    <t>Kleiner Perkins, Seedcap, s16vc, MMC Ventures, LDV Capital, Google Ventures, FirstMark</t>
  </si>
  <si>
    <t>s16vc</t>
  </si>
  <si>
    <t>MMC Ventures</t>
  </si>
  <si>
    <t>LDV Capital</t>
  </si>
  <si>
    <t>FirstMark, MMC Ventures</t>
  </si>
  <si>
    <t>LDV Capital, VAS Ventures, Tiny VC, Seedcamp, MMC Ventures, Taavet Hinrikus, Mark Cuban</t>
  </si>
  <si>
    <t>VAS Ventures</t>
  </si>
  <si>
    <t>Tiny VC</t>
  </si>
  <si>
    <t>Mark Cuban</t>
  </si>
  <si>
    <t>Steven Jiang, Xinwen Zhang</t>
  </si>
  <si>
    <t>Recruitment</t>
  </si>
  <si>
    <t>Conductive Ventures, Duke Chung</t>
  </si>
  <si>
    <t>Conductive Ventures</t>
  </si>
  <si>
    <t>HireEZ</t>
  </si>
  <si>
    <t>Oceanpine Capital</t>
  </si>
  <si>
    <t>Fiddler AI</t>
  </si>
  <si>
    <t>Amit Paka, Krishna Gade, Manoj Cheenath</t>
  </si>
  <si>
    <t>Plotly</t>
  </si>
  <si>
    <t>Zira</t>
  </si>
  <si>
    <t>Insight Partners, Lux Capital, Lockheed Martin Ventures, Lightspeed Venture Partners, Haystack, Bossanova, Bloomberg Beta, Amazon Alexa Fund, Alteryx</t>
  </si>
  <si>
    <t>Denyify</t>
  </si>
  <si>
    <t>Lockheed Martin Ventures</t>
  </si>
  <si>
    <t>Lux Capital, Lightspeed Venture Partners, Haystack, Bloomberg Beta</t>
  </si>
  <si>
    <t>Haystack, Lightspeed Venture Partners, Bloomberg</t>
  </si>
  <si>
    <t>Erotica</t>
  </si>
  <si>
    <t>Erotica generator</t>
  </si>
  <si>
    <t>Anna Wallander</t>
  </si>
  <si>
    <t>Vinnova</t>
  </si>
  <si>
    <t>Characters</t>
  </si>
  <si>
    <t>Character Database?</t>
  </si>
  <si>
    <t>Lots of traffic</t>
  </si>
  <si>
    <t>Some guy on reddit</t>
  </si>
  <si>
    <t>Sex</t>
  </si>
  <si>
    <t>Rysana</t>
  </si>
  <si>
    <t>Character.ai clone</t>
  </si>
  <si>
    <t>AI Companion</t>
  </si>
  <si>
    <t>Eugenia Kuyda</t>
  </si>
  <si>
    <t>Khosla Ventures, ACME Capital, Phil Libin, Richard Socher</t>
  </si>
  <si>
    <t>ACME Capital, Y Combinator, Ludlow Ventures, Shervin Pishevar</t>
  </si>
  <si>
    <t>Zillionize, Y Combinator, Justin Waldron</t>
  </si>
  <si>
    <t>Krishna Rangasayee, Steven J. Rosston</t>
  </si>
  <si>
    <t>VentureTech Alliance, Navin Chaddha</t>
  </si>
  <si>
    <t>MSD Partners, Wing Venture Capital, +ND Capital, Fidelity, Dell, Amplify Partners, Alter Venture Partners, Lip-Bu Tan</t>
  </si>
  <si>
    <t>Fidelity, Lip-Bu Tan</t>
  </si>
  <si>
    <t xml:space="preserve">       </t>
  </si>
  <si>
    <t>Adam D'Angelo</t>
  </si>
  <si>
    <t>Questions</t>
  </si>
  <si>
    <t>RizzGPT (rizzgpt.app)</t>
  </si>
  <si>
    <t>Love</t>
  </si>
  <si>
    <t>Offline LLMs</t>
  </si>
  <si>
    <t>VentureTech Alliance</t>
  </si>
  <si>
    <t>SiMa AI</t>
  </si>
  <si>
    <t>MSD Capital</t>
  </si>
  <si>
    <t>+ND Capital</t>
  </si>
  <si>
    <t>SiMa.ai</t>
  </si>
  <si>
    <t>After Venture Partners</t>
  </si>
  <si>
    <t>Alter Venture Partners</t>
  </si>
  <si>
    <t>Adage Capital</t>
  </si>
  <si>
    <t>Fidelity, Wing Venture, +ND Capital, Dell, Amplify, Alter Venture, Adage</t>
  </si>
  <si>
    <t>Dell, Wing, +ND, Amplfiy</t>
  </si>
  <si>
    <t>Anime</t>
  </si>
  <si>
    <t>Shitty quality</t>
  </si>
  <si>
    <t>aetherAI</t>
  </si>
  <si>
    <t>Non-sex</t>
  </si>
  <si>
    <t>Bring-your-own AI chatbot</t>
  </si>
  <si>
    <t>Goose-AI</t>
  </si>
  <si>
    <t>AI Lab</t>
  </si>
  <si>
    <t>GPT-Neo, Fairseq serever</t>
  </si>
  <si>
    <t>Ravi Saraogi, Umesh Sachdev</t>
  </si>
  <si>
    <t>NEA, March Capital, GoldenArc Capital</t>
  </si>
  <si>
    <t>CX</t>
  </si>
  <si>
    <t>Uniphore</t>
  </si>
  <si>
    <t>March Capital</t>
  </si>
  <si>
    <t>Sorenson Capital, Sistema Capital, Serena, Sanabil, National Grid Partners, March Capital, Iron Pillar, Cisco, Chiratae Ventures</t>
  </si>
  <si>
    <t>Sistema Capital</t>
  </si>
  <si>
    <t>Serena</t>
  </si>
  <si>
    <t>Sanabil</t>
  </si>
  <si>
    <t>National Grid Partners</t>
  </si>
  <si>
    <t>Iron Pillar</t>
  </si>
  <si>
    <t>Cisco Investments</t>
  </si>
  <si>
    <t>Chiratae Ventures</t>
  </si>
  <si>
    <t>Patni Wealth Advisors</t>
  </si>
  <si>
    <t>CXO Fund</t>
  </si>
  <si>
    <t>JC2 Ventures</t>
  </si>
  <si>
    <t>IIFL Finance</t>
  </si>
  <si>
    <t>YourNest Venture Capital</t>
  </si>
  <si>
    <t>Indian Angel Network</t>
  </si>
  <si>
    <t>March Capital, Sistema Asia Capital, Patni Wealth Advisors, Patni Family, National Grid Partners, March Capital, Iron Pillar, CXO Fund, Chiratae Ventures</t>
  </si>
  <si>
    <t>JC2 Ventures, IIFL Finance</t>
  </si>
  <si>
    <t>Chiratae Ventures, YourNest Venture Capital</t>
  </si>
  <si>
    <t>Wilmington, DE</t>
  </si>
  <si>
    <t>Storytelling</t>
  </si>
  <si>
    <t>Furries</t>
  </si>
  <si>
    <t>Text-generation</t>
  </si>
  <si>
    <t>Hosts text models</t>
  </si>
  <si>
    <t>BenevolentAI</t>
  </si>
  <si>
    <t>Michael Osborne, Stephen Roberts</t>
  </si>
  <si>
    <t>ML platform</t>
  </si>
  <si>
    <t>Aioi Nissay Dowa Insurance</t>
  </si>
  <si>
    <t>Parkwalk Advisors</t>
  </si>
  <si>
    <t>Parkwalk Advisors, Oxford Science Enterprises</t>
  </si>
  <si>
    <t>Salesforce, Lightspeed, Madrona, GV, Menlo, Microsoft</t>
  </si>
  <si>
    <t>Microsoft, Reid Hoffman, Bill Gates, Eric Schmidt, NVIDIA</t>
  </si>
  <si>
    <t>Was popular before paid tier</t>
  </si>
  <si>
    <t>Writing assistant</t>
  </si>
  <si>
    <t>NSFW Characters</t>
  </si>
  <si>
    <t>ChatFirst</t>
  </si>
  <si>
    <t>Chata.ai</t>
  </si>
  <si>
    <t>Chai (app, Chai Research Corp, Chai.ml)</t>
  </si>
  <si>
    <t>Writing Assistant</t>
  </si>
  <si>
    <t>Petr Baudis, Tomas Gogar, Tomas Tunys</t>
  </si>
  <si>
    <t>Forethought</t>
  </si>
  <si>
    <t>General Catalyst, Verissimo Ventures, Seedcamp, MITON, LocalGlobe, Dig Ventures, Elad Gil</t>
  </si>
  <si>
    <t>Document intake</t>
  </si>
  <si>
    <t>Document</t>
  </si>
  <si>
    <t>KYC, AP, Supply Chain</t>
  </si>
  <si>
    <t>Verissimo Ventures</t>
  </si>
  <si>
    <t>MITON</t>
  </si>
  <si>
    <t>Dig Ventures</t>
  </si>
  <si>
    <t>LocalGlobe, Vijay Pandurangan, StartupYard, Seedcamp, Ryan Petersen, MITON, Michael Stoppelman, Elad Gil</t>
  </si>
  <si>
    <t>StartupYard</t>
  </si>
  <si>
    <t>Miton, StartupYard</t>
  </si>
  <si>
    <t>Berri.ai</t>
  </si>
  <si>
    <t>Ada.cx (Toronto)</t>
  </si>
  <si>
    <t>CX Chatbots</t>
  </si>
  <si>
    <t>David Hariri, Mike Murchison</t>
  </si>
  <si>
    <t>Spark Capital, Tiger, Version One, Giant Ventures, FirstMark, Burst Capital, Bessemer, Accel</t>
  </si>
  <si>
    <t>Ada (CX)</t>
  </si>
  <si>
    <t>Version One Ventures</t>
  </si>
  <si>
    <t>Giant Ventures</t>
  </si>
  <si>
    <t>Burst Capital</t>
  </si>
  <si>
    <t>Ramen Ventures</t>
  </si>
  <si>
    <t>Leaders Fund</t>
  </si>
  <si>
    <t>Accel, Version One, Ramen Ventures, Leaders Fund, FirstMark, Burst Capital, Bessemer, Accel</t>
  </si>
  <si>
    <t>FirstMark, Version One, Leaders Fund, Giant Ventures, Burst Capital, Bessemer, Barney Pell</t>
  </si>
  <si>
    <t>Two Small Fish</t>
  </si>
  <si>
    <t>Bessemer Venture Partners, Version One Ventures, Two Small Fish Ventures</t>
  </si>
  <si>
    <t>NEXT Canada, DMZ</t>
  </si>
  <si>
    <t>Bestever.ai (A6G6)</t>
  </si>
  <si>
    <t>Taylor AI</t>
  </si>
  <si>
    <t>Andrew Ng</t>
  </si>
  <si>
    <t>CodeStory</t>
  </si>
  <si>
    <t>AutoInfra</t>
  </si>
  <si>
    <t>Nowadays</t>
  </si>
  <si>
    <t>Structured</t>
  </si>
  <si>
    <t>AiSDR</t>
  </si>
  <si>
    <t>Sero AI</t>
  </si>
  <si>
    <t>dili</t>
  </si>
  <si>
    <t>Quill AI</t>
  </si>
  <si>
    <t>Happyrobot</t>
  </si>
  <si>
    <t>Inventive AI</t>
  </si>
  <si>
    <t>Cyclone</t>
  </si>
  <si>
    <t>sudocode</t>
  </si>
  <si>
    <t>Roundtable</t>
  </si>
  <si>
    <t>SafetyKit</t>
  </si>
  <si>
    <t>Inlet</t>
  </si>
  <si>
    <t>Flint</t>
  </si>
  <si>
    <t>Osium AI</t>
  </si>
  <si>
    <t>Studdy</t>
  </si>
  <si>
    <t>Trainy</t>
  </si>
  <si>
    <t>Guac</t>
  </si>
  <si>
    <t>Casehopper</t>
  </si>
  <si>
    <t>Respaid</t>
  </si>
  <si>
    <t>Greenlite</t>
  </si>
  <si>
    <t>Epsilla</t>
  </si>
  <si>
    <t>Wyvern AI</t>
  </si>
  <si>
    <t>Outset</t>
  </si>
  <si>
    <t>Arcimus</t>
  </si>
  <si>
    <t>Bronco AI</t>
  </si>
  <si>
    <t>Substantive AI</t>
  </si>
  <si>
    <t>Parea</t>
  </si>
  <si>
    <t>Spine AI</t>
  </si>
  <si>
    <t>Solve Intelligence</t>
  </si>
  <si>
    <t>Contour</t>
  </si>
  <si>
    <t>atla</t>
  </si>
  <si>
    <t>Wayfind</t>
  </si>
  <si>
    <t>Remy Security</t>
  </si>
  <si>
    <t>ChatSeed</t>
  </si>
  <si>
    <t>Linc.</t>
  </si>
  <si>
    <t>Watto AI</t>
  </si>
  <si>
    <t>Mano AI</t>
  </si>
  <si>
    <t>Reworkd</t>
  </si>
  <si>
    <t>YC S23</t>
  </si>
  <si>
    <t>Yuma</t>
  </si>
  <si>
    <t>YC W23</t>
  </si>
  <si>
    <t>Automat</t>
  </si>
  <si>
    <t>SpeedyBrand</t>
  </si>
  <si>
    <t>Lightski</t>
  </si>
  <si>
    <t>Type</t>
  </si>
  <si>
    <t>Meru</t>
  </si>
  <si>
    <t>Persana AI</t>
  </si>
  <si>
    <t>Kyber</t>
  </si>
  <si>
    <t>Metal</t>
  </si>
  <si>
    <t>AiFlow</t>
  </si>
  <si>
    <t>Luca</t>
  </si>
  <si>
    <t>Fabius</t>
  </si>
  <si>
    <t>Vocode</t>
  </si>
  <si>
    <t>Vellum</t>
  </si>
  <si>
    <t>BabylonAI</t>
  </si>
  <si>
    <t>Persist AI</t>
  </si>
  <si>
    <t>Unstatiq</t>
  </si>
  <si>
    <t>Decoherence</t>
  </si>
  <si>
    <t>DealPage</t>
  </si>
  <si>
    <t>DAGWorks</t>
  </si>
  <si>
    <t>Turntable</t>
  </si>
  <si>
    <t>CorgiAI</t>
  </si>
  <si>
    <t>Planar</t>
  </si>
  <si>
    <t>Diffuse Bio</t>
  </si>
  <si>
    <t>Quazel</t>
  </si>
  <si>
    <t>Coldreach</t>
  </si>
  <si>
    <t>MagnaPlay</t>
  </si>
  <si>
    <t>Baselit</t>
  </si>
  <si>
    <t>Clueso</t>
  </si>
  <si>
    <t>Uptrain AI</t>
  </si>
  <si>
    <t>Waveline</t>
  </si>
  <si>
    <t>Psychic</t>
  </si>
  <si>
    <t>SPRX</t>
  </si>
  <si>
    <t>Kurukuru</t>
  </si>
  <si>
    <t>Fairway Health</t>
  </si>
  <si>
    <t>Hadrius</t>
  </si>
  <si>
    <t>Semantic Finance</t>
  </si>
  <si>
    <t>Defog.ai</t>
  </si>
  <si>
    <t>Gloo</t>
  </si>
  <si>
    <t>Fintool</t>
  </si>
  <si>
    <t>222</t>
  </si>
  <si>
    <t>Ariglad</t>
  </si>
  <si>
    <t>Helicone</t>
  </si>
  <si>
    <t>Magicflow</t>
  </si>
  <si>
    <t>Orchid</t>
  </si>
  <si>
    <t>Truewind</t>
  </si>
  <si>
    <t>Wild Moose</t>
  </si>
  <si>
    <t>EzDubs</t>
  </si>
  <si>
    <t>GradientJ</t>
  </si>
  <si>
    <t>inkeep</t>
  </si>
  <si>
    <t>Plutis</t>
  </si>
  <si>
    <t>OpenMeter</t>
  </si>
  <si>
    <t>Iliad</t>
  </si>
  <si>
    <t>Squack</t>
  </si>
  <si>
    <t>Extend</t>
  </si>
  <si>
    <t>langfuse</t>
  </si>
  <si>
    <t>Outerbase</t>
  </si>
  <si>
    <t>Anarchy</t>
  </si>
  <si>
    <t>Dream#d</t>
  </si>
  <si>
    <t>Intently</t>
  </si>
  <si>
    <t>Haven</t>
  </si>
  <si>
    <t>Chart</t>
  </si>
  <si>
    <t>Alex Graveley</t>
  </si>
  <si>
    <t>Buildt</t>
  </si>
  <si>
    <t>Flower</t>
  </si>
  <si>
    <t>LinkGrep</t>
  </si>
  <si>
    <t>Neptyne</t>
  </si>
  <si>
    <t>CreatorML</t>
  </si>
  <si>
    <t>Zenfetch</t>
  </si>
  <si>
    <t>PoplarML</t>
  </si>
  <si>
    <t>JustPaid.io</t>
  </si>
  <si>
    <t>OfOne</t>
  </si>
  <si>
    <t>Tennr</t>
  </si>
  <si>
    <t>Pair AI</t>
  </si>
  <si>
    <t>Rubber Ducky Labs</t>
  </si>
  <si>
    <t>Parabolic</t>
  </si>
  <si>
    <t>CodeComplete</t>
  </si>
  <si>
    <t>Rosettic</t>
  </si>
  <si>
    <t>pyq</t>
  </si>
  <si>
    <t>Latent</t>
  </si>
  <si>
    <t>Lume</t>
  </si>
  <si>
    <t>Paperplane</t>
  </si>
  <si>
    <t>Rollstack</t>
  </si>
  <si>
    <t>Credal.ai</t>
  </si>
  <si>
    <t>Layup</t>
  </si>
  <si>
    <t>Syncly</t>
  </si>
  <si>
    <t>Traceloop</t>
  </si>
  <si>
    <t>Linum</t>
  </si>
  <si>
    <t>Cardinal</t>
  </si>
  <si>
    <t>Stack AI</t>
  </si>
  <si>
    <t>Middleware</t>
  </si>
  <si>
    <t>Avoca</t>
  </si>
  <si>
    <t>Rubbrband</t>
  </si>
  <si>
    <t>Nucleus</t>
  </si>
  <si>
    <t>Chima</t>
  </si>
  <si>
    <t>AlphaWatch AI</t>
  </si>
  <si>
    <t>Lavo Life Sciences</t>
  </si>
  <si>
    <t>Ivy</t>
  </si>
  <si>
    <t>OpenSight</t>
  </si>
  <si>
    <t>Ada Health</t>
  </si>
  <si>
    <t>Claire Novorol, Daniel Nathrath, Martin Hirsch</t>
  </si>
  <si>
    <t>Leaps by Bayer, Bertelsmann, Farallon, Red River West, Vitruvian Partners, Samsung Catalyst Fund, Mutschler Ventures, Inteligo, F4</t>
  </si>
  <si>
    <t>Vitruvian Partners, June Fund, Cumberland VC</t>
  </si>
  <si>
    <t>Symptom Checker</t>
  </si>
  <si>
    <t>Bayer</t>
  </si>
  <si>
    <t>Bertelsmann</t>
  </si>
  <si>
    <t>Farallon</t>
  </si>
  <si>
    <t>Red River West</t>
  </si>
  <si>
    <t>Vitruvian Partners</t>
  </si>
  <si>
    <t>Mutschler Ventures</t>
  </si>
  <si>
    <t>Inteligo</t>
  </si>
  <si>
    <t>F4</t>
  </si>
  <si>
    <t>June Fund</t>
  </si>
  <si>
    <t>Cumberland VC</t>
  </si>
  <si>
    <t>Ada (ada.place, rental AI)</t>
  </si>
  <si>
    <t>Poland</t>
  </si>
  <si>
    <t>YouNick Mint</t>
  </si>
  <si>
    <t>Defunct?</t>
  </si>
  <si>
    <t>mfine</t>
  </si>
  <si>
    <t>More fintech, security than AI</t>
  </si>
  <si>
    <t>Fang Xu, Yinglian Xie</t>
  </si>
  <si>
    <t>Paro</t>
  </si>
  <si>
    <t>Brighton Park Capital, CMFG Ventures, NewView Capital, GSR Ventures</t>
  </si>
  <si>
    <t>Fraud prevention</t>
  </si>
  <si>
    <t>Fraud</t>
  </si>
  <si>
    <t>Sequoia China, NEA, GSR Ventures</t>
  </si>
  <si>
    <t>Genesis Capital, GSR Ventures</t>
  </si>
  <si>
    <t>NEA, GSR Ventures</t>
  </si>
  <si>
    <t>Neal Khosla</t>
  </si>
  <si>
    <t>Chatbot?</t>
  </si>
  <si>
    <t>Carta Healthcare</t>
  </si>
  <si>
    <t>Pre-LLM chatbot? Running out of $?</t>
  </si>
  <si>
    <t>Morningside Venture Investments, Khosla Ventures, General Catalyst</t>
  </si>
  <si>
    <t>Morningside Venture</t>
  </si>
  <si>
    <t>Khosla, General Catalyst, Civilization Ventures</t>
  </si>
  <si>
    <t>Civilization Ventures</t>
  </si>
  <si>
    <t>ThoughtAI</t>
  </si>
  <si>
    <t>Cognosys AI</t>
  </si>
  <si>
    <t>Assaf Egozi, Oren Raboy</t>
  </si>
  <si>
    <t>Growth/Marketing just for Amazon channel</t>
  </si>
  <si>
    <t>Eight Roads Ventures, Allon Ventures</t>
  </si>
  <si>
    <t>Team8, Inference Partners, Conviction VC</t>
  </si>
  <si>
    <t>Eight Roads Ventures</t>
  </si>
  <si>
    <t>Allon Ventures</t>
  </si>
  <si>
    <t>Team8</t>
  </si>
  <si>
    <t>Inference</t>
  </si>
  <si>
    <t>Ronen Lavi, Shay Perera</t>
  </si>
  <si>
    <t>ALIVE Israel HealthTech Fund, Vertex Ventures Israel, Schusterman Foundation, Grove Ventures</t>
  </si>
  <si>
    <t>Vertex Ventures Israel, Schusterman Foundation, Grove Ventures</t>
  </si>
  <si>
    <t>Series D+</t>
  </si>
  <si>
    <t>Ilya Sustkever, Andrej Karpathy, Jakub Pachoki, Sam Altman, Greg Brockman, Jan Leike</t>
  </si>
  <si>
    <t>Helps GPs and physicians prepare to see patients</t>
  </si>
  <si>
    <t>ALIVE Israel HealthTech Fund</t>
  </si>
  <si>
    <t>Schusterman Foundation</t>
  </si>
  <si>
    <t>Grove Ventures</t>
  </si>
  <si>
    <t>Dan Lichtenfeld, Dana Chanan, Keren Shavit, Yoni Nevo, Yossi Bahagon</t>
  </si>
  <si>
    <t>Adherence/Health Coach</t>
  </si>
  <si>
    <t>Entrée Capital, Tal Ventures, Tal Capital, Qure Ventures, Philips, OurCrowd, Noaber, Kortex Ventures, InsurTech.vc, FinTLV Ventures</t>
  </si>
  <si>
    <t>SeedIL Ventures</t>
  </si>
  <si>
    <t>Healthcare revenue management, prior auth, claims management</t>
  </si>
  <si>
    <t>Bradley Mascho, Sean Lane</t>
  </si>
  <si>
    <t>Series H</t>
  </si>
  <si>
    <t>Columbus, OH</t>
  </si>
  <si>
    <t>Vista, Base 10, Tiger</t>
  </si>
  <si>
    <t>225.5 at 1.3B</t>
  </si>
  <si>
    <t>Tiger, Transformation Capital, SVB Capital, Sequoia Capital, Google Ventures, General Catalyst, Drive Capital, Dragoneer</t>
  </si>
  <si>
    <t>General Catalyst, Drive Capital, SVB Capital, Oak HC/FT</t>
  </si>
  <si>
    <t>General Catalyst, Oak HC/FT, Drive Capital</t>
  </si>
  <si>
    <t>Oak HC/FT, Ascension Ventures, Moonshots Capital</t>
  </si>
  <si>
    <t>Adjacent, Closed, Acquired</t>
  </si>
  <si>
    <t>Mya Systems</t>
  </si>
  <si>
    <t>Kanjun Qiu (now Generally Intelligent)</t>
  </si>
  <si>
    <t>2015-2019</t>
  </si>
  <si>
    <t>Y Combinator, WndrCo, South Park Commons, Soma Capital, Rogue Insight Capital, Lightspeed, Endure Capital, Basis Set Ventures, 10x Group, Tyler Willis, Drew Houston, Arash Ferdowsi</t>
  </si>
  <si>
    <t>Rogue Insight Capital</t>
  </si>
  <si>
    <t>Endure Capital</t>
  </si>
  <si>
    <t>10x Group</t>
  </si>
  <si>
    <t>Eneterprise</t>
  </si>
  <si>
    <t>Eric Lefkofsky</t>
  </si>
  <si>
    <t>Chicago, Illinois</t>
  </si>
  <si>
    <t>Concerto Health AI</t>
  </si>
  <si>
    <t>Diagnostics, has a lot of patient data</t>
  </si>
  <si>
    <t>Google, T. Rowe Price, Novo Holdings, Franklin Templeton, Baillie Gifford, Eric Lefkofsky</t>
  </si>
  <si>
    <t>Baillie Gifford, Revolution Growth, Novo Holdings, NEA, Franklin Templeton</t>
  </si>
  <si>
    <t>Baillie Gifford, T. Rowe Price, Revolution Growth, NEA</t>
  </si>
  <si>
    <t>T. Rowe Price, Revolution, NEA</t>
  </si>
  <si>
    <t>Revolution, NEA</t>
  </si>
  <si>
    <t>Arago (acquired by WiseKey)</t>
  </si>
  <si>
    <t>Enterprise IT Automation</t>
  </si>
  <si>
    <t>Sematell</t>
  </si>
  <si>
    <t>AI call center</t>
  </si>
  <si>
    <t>Pre-LLM</t>
  </si>
  <si>
    <t>Franck Auzanneau, Ludovic Mingot</t>
  </si>
  <si>
    <t>Inventoro</t>
  </si>
  <si>
    <t>Verteego</t>
  </si>
  <si>
    <t>2021-2022</t>
  </si>
  <si>
    <t>Sales call AI</t>
  </si>
  <si>
    <t>causaLens</t>
  </si>
  <si>
    <t>AI helpdesk for employees and customers</t>
  </si>
  <si>
    <t>Helpdesk</t>
  </si>
  <si>
    <t>Saint Louis, MO</t>
  </si>
  <si>
    <t>Chris Sims, David Karandish</t>
  </si>
  <si>
    <t>&gt;1500 customers</t>
  </si>
  <si>
    <t>TMC Emerging Technology Fund, Rice Park Capital Management</t>
  </si>
  <si>
    <t>Rice Park, Equity.com</t>
  </si>
  <si>
    <t>Equity.com</t>
  </si>
  <si>
    <t>Andrey Konin, Quoc-Huy Tran, Zeeshan Zia</t>
  </si>
  <si>
    <t>No-code QA/QC for manufacturers</t>
  </si>
  <si>
    <t>Glasswing Ventures, Differential Ventures, Hypertherm Ventures, Argon Ventures</t>
  </si>
  <si>
    <t>500 Global, 500 Startups Vietnam, Atland Ventures, Incubate Fund, Joel Schleicher</t>
  </si>
  <si>
    <t>Differential Ventures</t>
  </si>
  <si>
    <t>Hypertherm Ventures</t>
  </si>
  <si>
    <t>Argon Ventures</t>
  </si>
  <si>
    <t>Incubate Fund</t>
  </si>
  <si>
    <t>Atland Ventures</t>
  </si>
  <si>
    <t>Satellite constellation management</t>
  </si>
  <si>
    <t>Defense</t>
  </si>
  <si>
    <t>Guy de Carufel</t>
  </si>
  <si>
    <t>Grit Ventures, Ultratech Capital, Techstars, SpaceFund, PBJ Capital, Gutbrain Ventures, Glasswing, Deep Ventures, Cultivation Capital, Argon Ventures, Keith Masback</t>
  </si>
  <si>
    <t>Behavioral MFA</t>
  </si>
  <si>
    <t>Auth</t>
  </si>
  <si>
    <t>Preface Ventures, Atypical Ventures, LogicBoost Labs, Brand New Matter, Glasswing Ventures,  Entrepreneurs Roundtable Accelerator, Marc Weiss, Josh Lospinoso</t>
  </si>
  <si>
    <t>Dawud Gordon, John Tanios, Ulf Blanke</t>
  </si>
  <si>
    <t>Entrepreneurs Roundtable Accelerator</t>
  </si>
  <si>
    <t>Preface Ventures</t>
  </si>
  <si>
    <t>Atypical Ventures</t>
  </si>
  <si>
    <t>LogicBoost Labs</t>
  </si>
  <si>
    <t>Brand New Matter</t>
  </si>
  <si>
    <t>Alan Ostetek</t>
  </si>
  <si>
    <t>Geospatial</t>
  </si>
  <si>
    <t>Glasswing</t>
  </si>
  <si>
    <t>Josh Tenenbaum, Max Kleiman-Weiner, Tejas Kulkarni, Vikash Mansinghka</t>
  </si>
  <si>
    <t>3D Perception/Simulation</t>
  </si>
  <si>
    <t>Owkin</t>
  </si>
  <si>
    <t>EvolutionIQ</t>
  </si>
  <si>
    <t>Luma AI</t>
  </si>
  <si>
    <t>Cool Demo</t>
  </si>
  <si>
    <t>SAFE</t>
  </si>
  <si>
    <t>Toyota Ventures, Omidyar Technology Ventures, Intel Capital, Glasswing Ventures, Blindspot Ventures</t>
  </si>
  <si>
    <t>Toyota Ventures</t>
  </si>
  <si>
    <t>Omidyar Technology Ventures</t>
  </si>
  <si>
    <t>Blindspot Ventures</t>
  </si>
  <si>
    <t>wrnch</t>
  </si>
  <si>
    <t>Rob May, Will Murphy</t>
  </si>
  <si>
    <t>Blockchain bot-to-bot</t>
  </si>
  <si>
    <t>Blockchain</t>
  </si>
  <si>
    <t>Galaxy Digital, Glasswing Ventures, Avalon Ventures</t>
  </si>
  <si>
    <t>Galaxy Digital</t>
  </si>
  <si>
    <t>Avalon Ventures</t>
  </si>
  <si>
    <t>Recycling</t>
  </si>
  <si>
    <t>Louisville, CO</t>
  </si>
  <si>
    <t>James Bailey, Matanya Horowitz</t>
  </si>
  <si>
    <t>Waste management, recycling robotics automation</t>
  </si>
  <si>
    <t>Wellington, XN, Valor Equity, Tao Capital, Sidewalk Infrastructure Partners, Sequoia, Range Ventures, Google Ventures, Blue Earth Capital</t>
  </si>
  <si>
    <t>TopMedi AI</t>
  </si>
  <si>
    <t>mayk.it</t>
  </si>
  <si>
    <t>Keymate</t>
  </si>
  <si>
    <t>Depict.ai</t>
  </si>
  <si>
    <t>Cogniflow AI</t>
  </si>
  <si>
    <t>Conductive AI</t>
  </si>
  <si>
    <t>Flowise AI</t>
  </si>
  <si>
    <t>XN, Valor Equity Partners, Sidewalk Infrastructure Partners, Sequoia Capital, Google Ventures, Congruent Ventures, Closed Loop Partners</t>
  </si>
  <si>
    <t>Sequoia Capital, Sidewalk Infrastructure Partners, Prelude Ventures, Congruent Ventures, Closed Loop Partners, BV Investment Partners</t>
  </si>
  <si>
    <t>Baidu Ventures, Congruent Ventures</t>
  </si>
  <si>
    <t>Baidu Ventures</t>
  </si>
  <si>
    <t>Now</t>
  </si>
  <si>
    <t>Congruent Ventures</t>
  </si>
  <si>
    <t>Sidewalk Infrastructure Partners</t>
  </si>
  <si>
    <t>Prelude Ventures</t>
  </si>
  <si>
    <t>Closed Loop Partners</t>
  </si>
  <si>
    <t>BV Investment Ventures</t>
  </si>
  <si>
    <t>XN</t>
  </si>
  <si>
    <t>Tao Capital Partners</t>
  </si>
  <si>
    <t>Range Ventures</t>
  </si>
  <si>
    <t>Blue Earth Capital</t>
  </si>
  <si>
    <t>doc.ai (acquired by SHCR)</t>
  </si>
  <si>
    <t>2016-2021</t>
  </si>
  <si>
    <t>Alan Greene, Anthea Chung, Cheryl Greene, Sam De Brouwer, Walter De Brouwer</t>
  </si>
  <si>
    <t>Medical Research tools</t>
  </si>
  <si>
    <t>Visual inspection for manufacturing</t>
  </si>
  <si>
    <t>McRock Capital, AI Fund, CPPIB, DRIVE Catalyst, Insight Partners, Intel Capital, Samsung Catalyst Fund, Taiwania Capital Management, Walsin Lihwa</t>
  </si>
  <si>
    <t>McRock Capital</t>
  </si>
  <si>
    <t>Walsin Lihwa</t>
  </si>
  <si>
    <t>Samsung (NEXT, Catalyst Fund)</t>
  </si>
  <si>
    <t>Taiwania Capital Management</t>
  </si>
  <si>
    <t>DRIVE Catalyst</t>
  </si>
  <si>
    <t>Intel Capital, Samsung, Lenovo, AI Fund</t>
  </si>
  <si>
    <t>ZMO.ai</t>
  </si>
  <si>
    <t>Sean Gourley</t>
  </si>
  <si>
    <t>Government</t>
  </si>
  <si>
    <t>Seems to be DoD/Gov service</t>
  </si>
  <si>
    <t>Addition, US Innovative Technology Fund</t>
  </si>
  <si>
    <t>Addition, Steadfast, Sands, Hank Crumpton, Lux, DCVC, Amplify</t>
  </si>
  <si>
    <t>US Innovative Technology Fund</t>
  </si>
  <si>
    <t>Steadfast</t>
  </si>
  <si>
    <t>Lux Capital, Section 32, Mubadala, In-Q-Tel, DCVC, Crosslink Capital, Bloomberg Beta, Amplify, AME Cloud Ventures</t>
  </si>
  <si>
    <t>DCVC, Lux, In-Q-Tel, Crosslink, Amplify</t>
  </si>
  <si>
    <t>Lux, Avalon Ventures, Amplify</t>
  </si>
  <si>
    <t>Shanghai, China</t>
  </si>
  <si>
    <t>Derek Li, Jason Wei Zhou, Wei Cui</t>
  </si>
  <si>
    <t>SIG China, CITIC, NGP</t>
  </si>
  <si>
    <t>SIG China, Tiantu Capital, NGP Capital, China-ASEAN etst Investment Cooperation Fund</t>
  </si>
  <si>
    <t>SIG China, Nokia</t>
  </si>
  <si>
    <t>Picterra</t>
  </si>
  <si>
    <t>Pieter Doevendans, Skinner Cheng, Thibault Duchemin</t>
  </si>
  <si>
    <t>Khosla Ventures, Sorenson Ventures, Ring Capital, Lerer Hippeau, FrenchFounders, Initialized Capital</t>
  </si>
  <si>
    <t>Real-time transcription</t>
  </si>
  <si>
    <t>Transcription</t>
  </si>
  <si>
    <t>Ring Capital</t>
  </si>
  <si>
    <t>FrenchFounders</t>
  </si>
  <si>
    <t>Khosla Ventures, Initialized Capital, Day One Ventures</t>
  </si>
  <si>
    <t>Day One</t>
  </si>
  <si>
    <t>Toms Shoes</t>
  </si>
  <si>
    <t>Seraph Group</t>
  </si>
  <si>
    <t>Cantos</t>
  </si>
  <si>
    <t>Boost VC</t>
  </si>
  <si>
    <t>TOMS Shoes, SVA, Seraph Group, Partech, Lerer Hippeau, FJ Labs, Crosslink Capital, Cantos, Boost VC, Xavier Niel, Tim Draper, Steve Blank, Pierre Valade, Blake Mycoskie, The Index Project, Dorm Room Fund</t>
  </si>
  <si>
    <t>Quebec, Canada</t>
  </si>
  <si>
    <t>Sylvain Perron</t>
  </si>
  <si>
    <t>Chatbot automater</t>
  </si>
  <si>
    <t>Chatbots</t>
  </si>
  <si>
    <t>Decibel, Real Ventures, overtime.vc, Inovia Capital, Hike Ventures, Bossanova Investimentos</t>
  </si>
  <si>
    <t>Real Ventures</t>
  </si>
  <si>
    <t>overtime.vc</t>
  </si>
  <si>
    <t>Hike Ventures</t>
  </si>
  <si>
    <t>Panache Ventures, Real Ventures, One Way Ventures, Hike Ventures, Fonds Innovexport, Creative Destruction Lab, BoxOne Ventures</t>
  </si>
  <si>
    <t>Nvidia list</t>
  </si>
  <si>
    <t>NfX list</t>
  </si>
  <si>
    <t>Altimeter list</t>
  </si>
  <si>
    <t>Second Life</t>
  </si>
  <si>
    <t>Smith.ai</t>
  </si>
  <si>
    <t>Algotive</t>
  </si>
  <si>
    <t>Almotive (Stellantis)</t>
  </si>
  <si>
    <t>2015-2022</t>
  </si>
  <si>
    <t>Laszlo Kishonti</t>
  </si>
  <si>
    <t>Budapest, Hungary</t>
  </si>
  <si>
    <t>Self-driving software</t>
  </si>
  <si>
    <t>Dialpad</t>
  </si>
  <si>
    <t>Grammarly</t>
  </si>
  <si>
    <t>ASAPP</t>
  </si>
  <si>
    <t>Datastax</t>
  </si>
  <si>
    <t>Lightricks</t>
  </si>
  <si>
    <t>DupDub</t>
  </si>
  <si>
    <t>Instoried</t>
  </si>
  <si>
    <t>Soul Machines</t>
  </si>
  <si>
    <t>InstaDeep</t>
  </si>
  <si>
    <t>MDClone</t>
  </si>
  <si>
    <t>Eleuther</t>
  </si>
  <si>
    <t>Ushur</t>
  </si>
  <si>
    <t>Kasisto</t>
  </si>
  <si>
    <t>Mutiny</t>
  </si>
  <si>
    <t>Creative Fabrica</t>
  </si>
  <si>
    <t>SeMi Technologies</t>
  </si>
  <si>
    <t>Persado</t>
  </si>
  <si>
    <t>Magnifi</t>
  </si>
  <si>
    <t>Walnut</t>
  </si>
  <si>
    <t>Triple Whale</t>
  </si>
  <si>
    <t>InVideo</t>
  </si>
  <si>
    <t>DeepBrain AI</t>
  </si>
  <si>
    <t>Balto</t>
  </si>
  <si>
    <t>Riverside.fm</t>
  </si>
  <si>
    <t>You.com</t>
  </si>
  <si>
    <t>Textio</t>
  </si>
  <si>
    <t>Atomic AI</t>
  </si>
  <si>
    <t>Mavenoid</t>
  </si>
  <si>
    <t>Unbounce</t>
  </si>
  <si>
    <t>Speak (usespeak.com) or speak.com?</t>
  </si>
  <si>
    <t>Maker AI</t>
  </si>
  <si>
    <t>Veed</t>
  </si>
  <si>
    <t>Matroid</t>
  </si>
  <si>
    <t>Papercup</t>
  </si>
  <si>
    <t>iGenius</t>
  </si>
  <si>
    <t>EliseAI</t>
  </si>
  <si>
    <t>Aqemia</t>
  </si>
  <si>
    <t>Datachat</t>
  </si>
  <si>
    <t>Codacy</t>
  </si>
  <si>
    <t>Corti</t>
  </si>
  <si>
    <t>Air Inc</t>
  </si>
  <si>
    <t>AI Foundation</t>
  </si>
  <si>
    <t>Ultimate</t>
  </si>
  <si>
    <t>Chooch AI</t>
  </si>
  <si>
    <t>Iterative</t>
  </si>
  <si>
    <t>Darrow</t>
  </si>
  <si>
    <t>Symbl</t>
  </si>
  <si>
    <t>Splash</t>
  </si>
  <si>
    <t>Warp</t>
  </si>
  <si>
    <t>TestFit</t>
  </si>
  <si>
    <t>Archistar</t>
  </si>
  <si>
    <t>Endel</t>
  </si>
  <si>
    <t>Salad</t>
  </si>
  <si>
    <t>AiMi</t>
  </si>
  <si>
    <t>Vectara</t>
  </si>
  <si>
    <t>PhotoRoom</t>
  </si>
  <si>
    <t>Pepper Content</t>
  </si>
  <si>
    <t>Uizard</t>
  </si>
  <si>
    <t>Raft</t>
  </si>
  <si>
    <t>Krisp</t>
  </si>
  <si>
    <t>Vu Technologies</t>
  </si>
  <si>
    <t>Beautiful.ai</t>
  </si>
  <si>
    <t>LifeScore</t>
  </si>
  <si>
    <t>Deepset</t>
  </si>
  <si>
    <t>Hazy</t>
  </si>
  <si>
    <t>Madgicx</t>
  </si>
  <si>
    <t>Yepic</t>
  </si>
  <si>
    <t>NeoTax</t>
  </si>
  <si>
    <t>EvenUp</t>
  </si>
  <si>
    <t>Lang.ai</t>
  </si>
  <si>
    <t>Durable</t>
  </si>
  <si>
    <t>Jio Haptik</t>
  </si>
  <si>
    <t>Zero</t>
  </si>
  <si>
    <t>Ginger</t>
  </si>
  <si>
    <t>Fy!</t>
  </si>
  <si>
    <t>Viable</t>
  </si>
  <si>
    <t>Simplified</t>
  </si>
  <si>
    <t>Intento</t>
  </si>
  <si>
    <t>The Simulation</t>
  </si>
  <si>
    <t>Moises</t>
  </si>
  <si>
    <t>Mindtech</t>
  </si>
  <si>
    <t>Bria</t>
  </si>
  <si>
    <t>UneeQ</t>
  </si>
  <si>
    <t>Amberscript</t>
  </si>
  <si>
    <t>NLX</t>
  </si>
  <si>
    <t>DhiWise</t>
  </si>
  <si>
    <t>Outplay</t>
  </si>
  <si>
    <t>MarketMuse</t>
  </si>
  <si>
    <t>Tiamat World</t>
  </si>
  <si>
    <t>Profluent</t>
  </si>
  <si>
    <t>HeyGen</t>
  </si>
  <si>
    <t>Amper</t>
  </si>
  <si>
    <t>Podcastle</t>
  </si>
  <si>
    <t>Valence</t>
  </si>
  <si>
    <t>Personal.ai</t>
  </si>
  <si>
    <t>DataHawk</t>
  </si>
  <si>
    <t>Vozy</t>
  </si>
  <si>
    <t>Contents</t>
  </si>
  <si>
    <t>Verloop</t>
  </si>
  <si>
    <t>GlossAI</t>
  </si>
  <si>
    <t>Metaphysic</t>
  </si>
  <si>
    <t>Seek AI (seek.ai)</t>
  </si>
  <si>
    <t>TermScout</t>
  </si>
  <si>
    <t>Quattr</t>
  </si>
  <si>
    <t>Kiliba</t>
  </si>
  <si>
    <t>theGist</t>
  </si>
  <si>
    <t>Detail</t>
  </si>
  <si>
    <t>Bloom</t>
  </si>
  <si>
    <t>BrandMuscle</t>
  </si>
  <si>
    <t>Zenlytic</t>
  </si>
  <si>
    <t>Data Skrive</t>
  </si>
  <si>
    <t>Colossyan</t>
  </si>
  <si>
    <t>Peech</t>
  </si>
  <si>
    <t>SliceX AI</t>
  </si>
  <si>
    <t>Prisma Labs</t>
  </si>
  <si>
    <t>Masterpiece Studio</t>
  </si>
  <si>
    <t>Scenario</t>
  </si>
  <si>
    <t>DeckRobot</t>
  </si>
  <si>
    <t>Cradle</t>
  </si>
  <si>
    <t>Syntegra</t>
  </si>
  <si>
    <t>Reface</t>
  </si>
  <si>
    <t>Phrasee</t>
  </si>
  <si>
    <t>Astrid</t>
  </si>
  <si>
    <t>Flowrite</t>
  </si>
  <si>
    <t>Certainly</t>
  </si>
  <si>
    <t>Netail</t>
  </si>
  <si>
    <t>Demandwell</t>
  </si>
  <si>
    <t>Wand</t>
  </si>
  <si>
    <t>Neurolabs</t>
  </si>
  <si>
    <t>Novus Writer</t>
  </si>
  <si>
    <t>Obviously.ai</t>
  </si>
  <si>
    <t>Pluralytics</t>
  </si>
  <si>
    <t>Cass</t>
  </si>
  <si>
    <t>Twain</t>
  </si>
  <si>
    <t>Codex</t>
  </si>
  <si>
    <t>Hypothetic</t>
  </si>
  <si>
    <t>Poised</t>
  </si>
  <si>
    <t>Speechify</t>
  </si>
  <si>
    <t>Skippr</t>
  </si>
  <si>
    <t>Boomy</t>
  </si>
  <si>
    <t>Contlo</t>
  </si>
  <si>
    <t>Dob Studio</t>
  </si>
  <si>
    <t>Quillbot</t>
  </si>
  <si>
    <t>Dynamo</t>
  </si>
  <si>
    <t>Voiseed</t>
  </si>
  <si>
    <t>Conversion Maker</t>
  </si>
  <si>
    <t>EmbodyMe</t>
  </si>
  <si>
    <t>Weave.ai</t>
  </si>
  <si>
    <t>10Web</t>
  </si>
  <si>
    <t>Clawdia</t>
  </si>
  <si>
    <t>The.com</t>
  </si>
  <si>
    <t>Staircase</t>
  </si>
  <si>
    <t>Reduct Video</t>
  </si>
  <si>
    <t>Poly (withpoly.com)</t>
  </si>
  <si>
    <t>Pencil</t>
  </si>
  <si>
    <t>Lighton</t>
  </si>
  <si>
    <t>Variational AI</t>
  </si>
  <si>
    <t>XOKind</t>
  </si>
  <si>
    <t>Supertone</t>
  </si>
  <si>
    <t>Agolo</t>
  </si>
  <si>
    <t>Scalenut</t>
  </si>
  <si>
    <t>Potion</t>
  </si>
  <si>
    <t>OneView</t>
  </si>
  <si>
    <t>NuMind</t>
  </si>
  <si>
    <t>Typewise</t>
  </si>
  <si>
    <t>Altered</t>
  </si>
  <si>
    <t>Cohere (Ramp)</t>
  </si>
  <si>
    <t>Ydata</t>
  </si>
  <si>
    <t>MonkeyLearn</t>
  </si>
  <si>
    <t>Summari</t>
  </si>
  <si>
    <t>Attention</t>
  </si>
  <si>
    <t>Windsor</t>
  </si>
  <si>
    <t>NeuralSpace</t>
  </si>
  <si>
    <t>Zocket</t>
  </si>
  <si>
    <t>Stylo</t>
  </si>
  <si>
    <t>Hipsto</t>
  </si>
  <si>
    <t>Cala</t>
  </si>
  <si>
    <t>Pragma</t>
  </si>
  <si>
    <t>Akooda</t>
  </si>
  <si>
    <t>Maverick</t>
  </si>
  <si>
    <t>OASIS</t>
  </si>
  <si>
    <t>Pilot</t>
  </si>
  <si>
    <t>Sonantic</t>
  </si>
  <si>
    <t>Lalaland</t>
  </si>
  <si>
    <t>Andi</t>
  </si>
  <si>
    <t>Hypar</t>
  </si>
  <si>
    <t>Depix</t>
  </si>
  <si>
    <t>Betterdata</t>
  </si>
  <si>
    <t>Krea</t>
  </si>
  <si>
    <t>TrueFoundry</t>
  </si>
  <si>
    <t>Codiga</t>
  </si>
  <si>
    <t>Botco</t>
  </si>
  <si>
    <t>Aflorithmic</t>
  </si>
  <si>
    <t>Boltzbit</t>
  </si>
  <si>
    <t>GGPredict</t>
  </si>
  <si>
    <t>aiXcoder</t>
  </si>
  <si>
    <t>Upword</t>
  </si>
  <si>
    <t>Ecrett</t>
  </si>
  <si>
    <t>SoundRaw</t>
  </si>
  <si>
    <t>Munch</t>
  </si>
  <si>
    <t>Amadeus Code</t>
  </si>
  <si>
    <t>United Robots</t>
  </si>
  <si>
    <t>NeuroX1</t>
  </si>
  <si>
    <t>ZibraAI</t>
  </si>
  <si>
    <t>OpenArt</t>
  </si>
  <si>
    <t>Respeecher</t>
  </si>
  <si>
    <t>Notably</t>
  </si>
  <si>
    <t>Octopize</t>
  </si>
  <si>
    <t>Botika</t>
  </si>
  <si>
    <t>Hypertype</t>
  </si>
  <si>
    <t>WaveAI</t>
  </si>
  <si>
    <t>Tuney</t>
  </si>
  <si>
    <t>WriterZen</t>
  </si>
  <si>
    <t>GoCharlie</t>
  </si>
  <si>
    <t>TextCortex AI</t>
  </si>
  <si>
    <t>Zeta Alpha</t>
  </si>
  <si>
    <t>SuperCreator</t>
  </si>
  <si>
    <t>Vidyo</t>
  </si>
  <si>
    <t>Kaizan</t>
  </si>
  <si>
    <t>NeuraLoom</t>
  </si>
  <si>
    <t>Workorder AI</t>
  </si>
  <si>
    <t>DigitalFirst</t>
  </si>
  <si>
    <t>Beatoven.ai</t>
  </si>
  <si>
    <t>Berserq</t>
  </si>
  <si>
    <t>Aug X Labs</t>
  </si>
  <si>
    <t>Replica Analytics</t>
  </si>
  <si>
    <t>Linguix</t>
  </si>
  <si>
    <t>Cerebrate AI</t>
  </si>
  <si>
    <t>GoatChat</t>
  </si>
  <si>
    <t>Frase</t>
  </si>
  <si>
    <t>WordLift</t>
  </si>
  <si>
    <t>SciSpace</t>
  </si>
  <si>
    <t>LoopinHQ</t>
  </si>
  <si>
    <t>Neuroflash</t>
  </si>
  <si>
    <t>Dubverse</t>
  </si>
  <si>
    <t>Sayso</t>
  </si>
  <si>
    <t>Coxwave</t>
  </si>
  <si>
    <t>Speechki</t>
  </si>
  <si>
    <t>Keys (thekeys.ai)</t>
  </si>
  <si>
    <t>Edgi Learning</t>
  </si>
  <si>
    <t>Save All</t>
  </si>
  <si>
    <t>Correcto</t>
  </si>
  <si>
    <t>Delv AI</t>
  </si>
  <si>
    <t>Inventurist</t>
  </si>
  <si>
    <t>Harmonai (stability?)</t>
  </si>
  <si>
    <t>AskEdith</t>
  </si>
  <si>
    <t>UberDuck</t>
  </si>
  <si>
    <t>Maya</t>
  </si>
  <si>
    <t>Glasp</t>
  </si>
  <si>
    <t>Kamua</t>
  </si>
  <si>
    <t>Motorica</t>
  </si>
  <si>
    <t>Zebracat</t>
  </si>
  <si>
    <t>ForceField IO</t>
  </si>
  <si>
    <t>AudioLabs</t>
  </si>
  <si>
    <t>Felvin</t>
  </si>
  <si>
    <t>Axiom AI</t>
  </si>
  <si>
    <t>Sage SEO</t>
  </si>
  <si>
    <t>Pally</t>
  </si>
  <si>
    <t>Parsnip</t>
  </si>
  <si>
    <t>Kirin</t>
  </si>
  <si>
    <t>Digital Recipe</t>
  </si>
  <si>
    <t>Unthink AI</t>
  </si>
  <si>
    <t>Seenapse</t>
  </si>
  <si>
    <t>Hexo</t>
  </si>
  <si>
    <t>Elomia</t>
  </si>
  <si>
    <t>Wisecut</t>
  </si>
  <si>
    <t>PatentPal</t>
  </si>
  <si>
    <t>MolinAI</t>
  </si>
  <si>
    <t>Jenni</t>
  </si>
  <si>
    <t>Scholarcy</t>
  </si>
  <si>
    <t>Kaedim</t>
  </si>
  <si>
    <t>SampleAd</t>
  </si>
  <si>
    <t>Myth.ai</t>
  </si>
  <si>
    <t>BeyondWords</t>
  </si>
  <si>
    <t>Sapling.ai</t>
  </si>
  <si>
    <t>Write with LAIKA</t>
  </si>
  <si>
    <t>reKnow</t>
  </si>
  <si>
    <t>MutableAI</t>
  </si>
  <si>
    <t>Bloop</t>
  </si>
  <si>
    <t>Quickchat</t>
  </si>
  <si>
    <t>SharePay</t>
  </si>
  <si>
    <t>Incentivai</t>
  </si>
  <si>
    <t>Enzyme</t>
  </si>
  <si>
    <t>Maket</t>
  </si>
  <si>
    <t>Creatext</t>
  </si>
  <si>
    <t>Lumen5</t>
  </si>
  <si>
    <t>CopyMonkey</t>
  </si>
  <si>
    <t>GetAnswer</t>
  </si>
  <si>
    <t>YoDayo</t>
  </si>
  <si>
    <t>Pathway</t>
  </si>
  <si>
    <t>Koalluh</t>
  </si>
  <si>
    <t>Twig.so</t>
  </si>
  <si>
    <t>Broca</t>
  </si>
  <si>
    <t>LongShot AI</t>
  </si>
  <si>
    <t>Avaturn</t>
  </si>
  <si>
    <t>Listnr</t>
  </si>
  <si>
    <t>DeepWord</t>
  </si>
  <si>
    <t>Sloped.xyz</t>
  </si>
  <si>
    <t>Mesolitica</t>
  </si>
  <si>
    <t>QuizMe</t>
  </si>
  <si>
    <t>Ecomtent</t>
  </si>
  <si>
    <t>Glimmer AI</t>
  </si>
  <si>
    <t>Hally AI</t>
  </si>
  <si>
    <t>Sefi AI</t>
  </si>
  <si>
    <t>Sequome</t>
  </si>
  <si>
    <t>Valdi</t>
  </si>
  <si>
    <t>Whizle</t>
  </si>
  <si>
    <t>Stockimg.ai</t>
  </si>
  <si>
    <t>PicUp.ai</t>
  </si>
  <si>
    <t>Kadoa</t>
  </si>
  <si>
    <t>Zubtitle</t>
  </si>
  <si>
    <t>Xoltar</t>
  </si>
  <si>
    <t>Wokelo.ai</t>
  </si>
  <si>
    <t>Topic</t>
  </si>
  <si>
    <t>Blackbox</t>
  </si>
  <si>
    <t>UnScreen</t>
  </si>
  <si>
    <t>Trinka</t>
  </si>
  <si>
    <t>The Culture DAO</t>
  </si>
  <si>
    <t>Textmetrics</t>
  </si>
  <si>
    <t>Tailorbird</t>
  </si>
  <si>
    <t>Strmr</t>
  </si>
  <si>
    <t>Storywizard.ai</t>
  </si>
  <si>
    <t>Starryai</t>
  </si>
  <si>
    <t>Sonify</t>
  </si>
  <si>
    <t>Social Keyboard</t>
  </si>
  <si>
    <t>ShortlyAI</t>
  </si>
  <si>
    <t>Shakespeare</t>
  </si>
  <si>
    <t>Samespace</t>
  </si>
  <si>
    <t>Removebg</t>
  </si>
  <si>
    <t>ReadSpeaker</t>
  </si>
  <si>
    <t>Profile Picture</t>
  </si>
  <si>
    <t>Ponzu</t>
  </si>
  <si>
    <t>Plnia</t>
  </si>
  <si>
    <t>Phaito</t>
  </si>
  <si>
    <t>Peppertype.ai</t>
  </si>
  <si>
    <t>Penelope</t>
  </si>
  <si>
    <t>Panjaya</t>
  </si>
  <si>
    <t>Outwrite</t>
  </si>
  <si>
    <t>Outranking</t>
  </si>
  <si>
    <t>Nyle</t>
  </si>
  <si>
    <t>NLP Labs</t>
  </si>
  <si>
    <t>NeuralText</t>
  </si>
  <si>
    <t>Napkin</t>
  </si>
  <si>
    <t>Musico</t>
  </si>
  <si>
    <t>MirryAI</t>
  </si>
  <si>
    <t>Mark (markcopy.ai)</t>
  </si>
  <si>
    <t>Reach (magicreach.ai)</t>
  </si>
  <si>
    <t>Mage.space</t>
  </si>
  <si>
    <t>LitRPG</t>
  </si>
  <si>
    <t>LALAL</t>
  </si>
  <si>
    <t>Kartiv</t>
  </si>
  <si>
    <t>Growth Marketing Pro</t>
  </si>
  <si>
    <t>Gooey.ai</t>
  </si>
  <si>
    <t>Moonbeam</t>
  </si>
  <si>
    <t>Glimpse.ai</t>
  </si>
  <si>
    <t>Aspect</t>
  </si>
  <si>
    <t>Alpaca (getalpaca.io)</t>
  </si>
  <si>
    <t>GenieLabs</t>
  </si>
  <si>
    <t>Fluento</t>
  </si>
  <si>
    <t>Flowful</t>
  </si>
  <si>
    <t>Flewently</t>
  </si>
  <si>
    <t>Flawless</t>
  </si>
  <si>
    <t>Electric Noir Studios</t>
  </si>
  <si>
    <t>Deep Design Systems</t>
  </si>
  <si>
    <t>Craftly</t>
  </si>
  <si>
    <t>Copy Shark</t>
  </si>
  <si>
    <t>Conto</t>
  </si>
  <si>
    <t>Closers Copy</t>
  </si>
  <si>
    <t>Crone AI</t>
  </si>
  <si>
    <t>Clickable</t>
  </si>
  <si>
    <t>BuildAI</t>
  </si>
  <si>
    <t>Broadn</t>
  </si>
  <si>
    <t>Blend</t>
  </si>
  <si>
    <t>Beewriter</t>
  </si>
  <si>
    <t>B/BLOQS</t>
  </si>
  <si>
    <t>Basch</t>
  </si>
  <si>
    <t>AutoEnhance.ai</t>
  </si>
  <si>
    <t>Article Forge</t>
  </si>
  <si>
    <t>ArtBreeder</t>
  </si>
  <si>
    <t>Aragon</t>
  </si>
  <si>
    <t>AI2sql</t>
  </si>
  <si>
    <t>AdCreative</t>
  </si>
  <si>
    <t>writerly</t>
  </si>
  <si>
    <t>Vizologi</t>
  </si>
  <si>
    <t>TDLR This</t>
  </si>
  <si>
    <t>Thundercontent</t>
  </si>
  <si>
    <t>Synthesys</t>
  </si>
  <si>
    <t>Surfer</t>
  </si>
  <si>
    <t>Subtxt</t>
  </si>
  <si>
    <t>Shuffll</t>
  </si>
  <si>
    <t>ShowHue</t>
  </si>
  <si>
    <t>SEO.ai</t>
  </si>
  <si>
    <t>Quantamix Solutions</t>
  </si>
  <si>
    <t>Qopywriter.ai</t>
  </si>
  <si>
    <t>ProWritingAid</t>
  </si>
  <si>
    <t>Podcast.ai</t>
  </si>
  <si>
    <t>ParagraphAI</t>
  </si>
  <si>
    <t>Osmosis</t>
  </si>
  <si>
    <t>Opus</t>
  </si>
  <si>
    <t>Nyx.gallery</t>
  </si>
  <si>
    <t>Here Be Taverns</t>
  </si>
  <si>
    <t>NoteVibes</t>
  </si>
  <si>
    <t>NLP Cloud</t>
  </si>
  <si>
    <t>Nichesss</t>
  </si>
  <si>
    <t>Neural.love</t>
  </si>
  <si>
    <t>Minerva Solutions</t>
  </si>
  <si>
    <t>MetaDialog</t>
  </si>
  <si>
    <t>Magic Copy</t>
  </si>
  <si>
    <t>Maestra</t>
  </si>
  <si>
    <t>Lyne.ai</t>
  </si>
  <si>
    <t>Looria</t>
  </si>
  <si>
    <t>Loora</t>
  </si>
  <si>
    <t>LEXAI.com</t>
  </si>
  <si>
    <t>Lex.page</t>
  </si>
  <si>
    <t>Leonardo.ai</t>
  </si>
  <si>
    <t>LanguageTool</t>
  </si>
  <si>
    <t>Kai</t>
  </si>
  <si>
    <t>Kafkai</t>
  </si>
  <si>
    <t>Interior AI</t>
  </si>
  <si>
    <t>Ink (inkforall.com)</t>
  </si>
  <si>
    <t>Hi4.ai</t>
  </si>
  <si>
    <t>Headlime</t>
  </si>
  <si>
    <t>Deep Mind Gopher</t>
  </si>
  <si>
    <t>Geniverse</t>
  </si>
  <si>
    <t>Galactica (Amazon, galactica.org)</t>
  </si>
  <si>
    <t>Fliki</t>
  </si>
  <si>
    <t>Fermat.ws</t>
  </si>
  <si>
    <t>Excelformulabot</t>
  </si>
  <si>
    <t>Elicit (elicit.org)</t>
  </si>
  <si>
    <t>DreamFusion</t>
  </si>
  <si>
    <t>DrawAnyone</t>
  </si>
  <si>
    <t>Deep Dream Generator</t>
  </si>
  <si>
    <t>NightCare</t>
  </si>
  <si>
    <t>Copymatic</t>
  </si>
  <si>
    <t>Contentelly</t>
  </si>
  <si>
    <t>ContentBot.ai</t>
  </si>
  <si>
    <t>Consizely</t>
  </si>
  <si>
    <t>CodePilot.ai</t>
  </si>
  <si>
    <t>ChibiAI</t>
  </si>
  <si>
    <t>Capacities</t>
  </si>
  <si>
    <t>Bertha.ai</t>
  </si>
  <si>
    <t>Avatar AI</t>
  </si>
  <si>
    <t>Amazing.photos</t>
  </si>
  <si>
    <t>AISEO.ai</t>
  </si>
  <si>
    <t>AI-writer.com</t>
  </si>
  <si>
    <t>Abtesting.ai</t>
  </si>
  <si>
    <t>Vedia.ai</t>
  </si>
  <si>
    <t>Crait.it</t>
  </si>
  <si>
    <t>text.com</t>
  </si>
  <si>
    <t>Ingest AI</t>
  </si>
  <si>
    <t>DeepFiction AI</t>
  </si>
  <si>
    <t>Call Connect</t>
  </si>
  <si>
    <t>Sonicbox</t>
  </si>
  <si>
    <t>Prime Ventures, Lead Ventures, B Capital, Samsung Catalyst, Inventure, Draper, Day One, Cisco, Bosch Ventures</t>
  </si>
  <si>
    <t>Prime Ventures</t>
  </si>
  <si>
    <t>Almotive</t>
  </si>
  <si>
    <t>Lead Ventures</t>
  </si>
  <si>
    <t>Inventure</t>
  </si>
  <si>
    <t>Bosch Ventures</t>
  </si>
  <si>
    <t>Tamares, Inventure, Draper, Day One, Bosch</t>
  </si>
  <si>
    <t>Tamares</t>
  </si>
  <si>
    <t>2.7 at 5.1</t>
  </si>
  <si>
    <t>Somerville, MA</t>
  </si>
  <si>
    <t>Alex Matveev</t>
  </si>
  <si>
    <t>DeepSparse, SparseML, compute on CPU</t>
  </si>
  <si>
    <t>NEA, Ridgeline, Pillar VC, Comcast Ventures, a16z, Amdocs</t>
  </si>
  <si>
    <t>Ridgeline</t>
  </si>
  <si>
    <t>Amdocs</t>
  </si>
  <si>
    <t>Comcast Ventures, Pillar, NEA, a16z, Amdocs</t>
  </si>
  <si>
    <t>Manyam Mallela, Mehul Shah, Vijay Chittoor</t>
  </si>
  <si>
    <t>Customer data/engagement platform</t>
  </si>
  <si>
    <t>Fort Ross Ventures, Avatar Growth Capital, Storm Ventures, Softbank, Nexus Venture Partners, Conductive Ventures</t>
  </si>
  <si>
    <t>Bengaluru, India</t>
  </si>
  <si>
    <t>Krishna Kadiri, Ritesh Radhakrishnan, Shridhar Marri</t>
  </si>
  <si>
    <t>Suki</t>
  </si>
  <si>
    <t>Unbabel</t>
  </si>
  <si>
    <t>Senseforth (Fractal Analytics)</t>
  </si>
  <si>
    <t>2017 (2000)</t>
  </si>
  <si>
    <t>Wave Computing</t>
  </si>
  <si>
    <t>Customer analytics</t>
  </si>
  <si>
    <t>Bespoke</t>
  </si>
  <si>
    <t>Viscera</t>
  </si>
  <si>
    <t>ICOMWELL</t>
  </si>
  <si>
    <t>Qiming Venture Partners</t>
  </si>
  <si>
    <t>ChatGLM, GLM-130B, CodeGeeX, CogView</t>
  </si>
  <si>
    <t>Pretty crazy</t>
  </si>
  <si>
    <t>DeepLang AI (China)</t>
  </si>
  <si>
    <t>Recurrent AI (NLP, China)</t>
  </si>
  <si>
    <t>Zhihu (China)</t>
  </si>
  <si>
    <t>Unsupervised AI</t>
  </si>
  <si>
    <t>Noah Horton, Tyler Willis</t>
  </si>
  <si>
    <t>Analytics</t>
  </si>
  <si>
    <t>SignalFIre, Cathay Innovation, NextGen Venture Partners, Eniac Ventures, Elad Gil, Coatue</t>
  </si>
  <si>
    <t>NextGen Venture Partners</t>
  </si>
  <si>
    <t>Eniac Ventures</t>
  </si>
  <si>
    <t>Disney Accelerator</t>
  </si>
  <si>
    <t>Construction</t>
  </si>
  <si>
    <t>Jay Cami</t>
  </si>
  <si>
    <t>Carlstadt, NJ</t>
  </si>
  <si>
    <t>Kinect AI</t>
  </si>
  <si>
    <t>Project Management for construction</t>
  </si>
  <si>
    <t>Noon.ai</t>
  </si>
  <si>
    <t>www.intrinsic.ai</t>
  </si>
  <si>
    <t>Ava Robotics</t>
  </si>
  <si>
    <t>Robotics design, FlowState, Open Robotics</t>
  </si>
  <si>
    <t>Alphabet owned?</t>
  </si>
  <si>
    <t>Wendy Tan White</t>
  </si>
  <si>
    <t>CRTificial Intelligence Lab (Tarrasmart, Ashnavas)</t>
  </si>
  <si>
    <t>Algatha</t>
  </si>
  <si>
    <t>Tarrasmart</t>
  </si>
  <si>
    <t>Indonesian effort</t>
  </si>
  <si>
    <t>Defunct</t>
  </si>
  <si>
    <t>Kordel France</t>
  </si>
  <si>
    <t>Dallas, TX</t>
  </si>
  <si>
    <t>Birmingham, UK</t>
  </si>
  <si>
    <t>Behaviol</t>
  </si>
  <si>
    <t>Farm Technologies</t>
  </si>
  <si>
    <t>www.coachvox.ai</t>
  </si>
  <si>
    <t>Voice cloning? Coaching</t>
  </si>
  <si>
    <t>Semiconductors</t>
  </si>
  <si>
    <t>Vishal Sarin</t>
  </si>
  <si>
    <t>Alumni Ventures</t>
  </si>
  <si>
    <t>TDK Ventures</t>
  </si>
  <si>
    <t>MFV Partners, Khosla Ventures</t>
  </si>
  <si>
    <t>Edge devices, analog in-memory compute</t>
  </si>
  <si>
    <t>Bothell, WA</t>
  </si>
  <si>
    <t>Abid Ali Mohammed, Vikram Chalana, Vishal Chalana</t>
  </si>
  <si>
    <t>Fuse, Voyager Capital, Omri Bahat, Bill Bryant, Bharat Shyam</t>
  </si>
  <si>
    <t>FUSE</t>
  </si>
  <si>
    <t>Voyager Capital</t>
  </si>
  <si>
    <t>Andrew Rogers, Gui Bastos, Kobus Jooste</t>
  </si>
  <si>
    <t>NLP for healthcare contact</t>
  </si>
  <si>
    <t>www.syllable.ai</t>
  </si>
  <si>
    <t>TCV, Verily, Section 32, Oak HC/FT</t>
  </si>
  <si>
    <t>Google (Capital G, GV, Verily)</t>
  </si>
  <si>
    <t>Oak HC/FT, Section 32</t>
  </si>
  <si>
    <t>NEA, Khosla, Greylock, Esther Dyson</t>
  </si>
  <si>
    <t>Medivis</t>
  </si>
  <si>
    <t>Site</t>
  </si>
  <si>
    <t>David Gealy, Jeff Mahler, Ken Goldberg, Matt Matl, Stephen McKinley</t>
  </si>
  <si>
    <t>Parcel sorter</t>
  </si>
  <si>
    <t>Tiger, Bow Capital, Pitney Bowes, Ahren Innovation</t>
  </si>
  <si>
    <t>Pitney Bowes</t>
  </si>
  <si>
    <t>Tiger, Vertex, The House Fund, Bow Capital</t>
  </si>
  <si>
    <t>Vertex, Bow, The House Fund</t>
  </si>
  <si>
    <t>Swift Ventures, SkyDeck Berkeley</t>
  </si>
  <si>
    <t>https://www.ambirobotics.com/</t>
  </si>
  <si>
    <t>Dereck Paul, Graham Ramsey</t>
  </si>
  <si>
    <t>Doctor assistance</t>
  </si>
  <si>
    <t>Middletown, DE</t>
  </si>
  <si>
    <t>Anton Vaisburd, Kirill Kirikov, Volodymyr Sofinskyi</t>
  </si>
  <si>
    <t>https://www.datrics.ai/</t>
  </si>
  <si>
    <t>Y Combinator, AltaIR Capital, Oleg Rogynskyy</t>
  </si>
  <si>
    <t>StartupYard, QPDigital, Illia Polosukhin</t>
  </si>
  <si>
    <t>No-code analytics</t>
  </si>
  <si>
    <t>Altair Capital</t>
  </si>
  <si>
    <t>QPDigital</t>
  </si>
  <si>
    <t>www.openspace.ai</t>
  </si>
  <si>
    <t>Jeevan Kalanithi, Michael Fleischman, Philip DeCamp</t>
  </si>
  <si>
    <t>Construction CV analytics</t>
  </si>
  <si>
    <t>PSP Growth, Taronga, GreenPoint, Sino Group, Nine Four Ventures, Navitas, Mirae, Menlo, Lux, JLL Spark, Harmonic Growth, Fischer Homes, BlackRock, Alpaca VC, Alkeon</t>
  </si>
  <si>
    <t>Taronga Ventures</t>
  </si>
  <si>
    <t>Sino Group</t>
  </si>
  <si>
    <t>Nine Four Ventures</t>
  </si>
  <si>
    <t>Navitas</t>
  </si>
  <si>
    <t>JLL Spark</t>
  </si>
  <si>
    <t>Harmonic Growth</t>
  </si>
  <si>
    <t>Fischer Homes</t>
  </si>
  <si>
    <t>Alpaca VC</t>
  </si>
  <si>
    <t>Alkeon, Zigg, PSP, New World Development, Navitas, Menlo, Lux, JLL, GreenPoint</t>
  </si>
  <si>
    <t>Zigg Capital</t>
  </si>
  <si>
    <t>New World Development</t>
  </si>
  <si>
    <t>GreenPoint Partners</t>
  </si>
  <si>
    <t>Menlo Ventures, Zigg Capital, Taronga, Nine Four, Navitas, Lux, JLL</t>
  </si>
  <si>
    <t>Lux Capital, Zigg, WeWork Labs, Suffolk Technologies, Navitas, JLL, Goldcrest</t>
  </si>
  <si>
    <t>WeWork Labs</t>
  </si>
  <si>
    <t>Suffolk Technologies</t>
  </si>
  <si>
    <t>Goldcrest</t>
  </si>
  <si>
    <t>Sterling.VC, Lux Capital, Goldcrest, Foundation, Fairhaven, BoxGroup, Baidu, AngelList Talent, NSF</t>
  </si>
  <si>
    <t>Sterling.VC</t>
  </si>
  <si>
    <t>National Science Foundation</t>
  </si>
  <si>
    <t>Fairhaven</t>
  </si>
  <si>
    <t>AngelList Talent</t>
  </si>
  <si>
    <t>Berlin, Germany</t>
  </si>
  <si>
    <t>Employee Recognition</t>
  </si>
  <si>
    <t>HR</t>
  </si>
  <si>
    <t>www.getbravo.io</t>
  </si>
  <si>
    <t>Interactions</t>
  </si>
  <si>
    <t>FlashPCB</t>
  </si>
  <si>
    <t>www.nuro.ai</t>
  </si>
  <si>
    <t>Dave Ferguson, Jiajun Zhu</t>
  </si>
  <si>
    <t>Electric, Autonomous Vehicles</t>
  </si>
  <si>
    <t>Tiger, Woven Capital, T. Rowe, Softbank, Kroger, Google, Gaorong Capital, Fidelity, Baillie Gifford</t>
  </si>
  <si>
    <t>Woven Capital</t>
  </si>
  <si>
    <t>Kroger</t>
  </si>
  <si>
    <t>Baillie Gifford</t>
  </si>
  <si>
    <t>Series C at 4.5B</t>
  </si>
  <si>
    <t>T. Rowe, SoftBank, Greylock, Fidelity, Baillie Gifford</t>
  </si>
  <si>
    <t>Chipotle</t>
  </si>
  <si>
    <t>Series B at 1.8B</t>
  </si>
  <si>
    <t>SoftBank</t>
  </si>
  <si>
    <t>Greylock, Gaorong</t>
  </si>
  <si>
    <t>Possible down round coming</t>
  </si>
  <si>
    <t>Nio</t>
  </si>
  <si>
    <t>Zoox</t>
  </si>
  <si>
    <t>www.ubtrobot.com</t>
  </si>
  <si>
    <t>Shenzhen, China</t>
  </si>
  <si>
    <t>1X</t>
  </si>
  <si>
    <t>James Zhou</t>
  </si>
  <si>
    <t>Tencent, Telstra Ventures, Minsheng Securities, Haier, Green Pine, CreditEase, CDH Investments</t>
  </si>
  <si>
    <t>Telstra Ventures</t>
  </si>
  <si>
    <t>Minsheng Securities</t>
  </si>
  <si>
    <t>Haier</t>
  </si>
  <si>
    <t>Green Pine Capital Partners</t>
  </si>
  <si>
    <t>CreditEase</t>
  </si>
  <si>
    <t>CDH Investments</t>
  </si>
  <si>
    <t>Series B at 900m</t>
  </si>
  <si>
    <t>CDH Investments, CITIC Securities, Qiming Venture Partners</t>
  </si>
  <si>
    <t>www.megvii.com</t>
  </si>
  <si>
    <t>Qi Yin, Wenbin Tang, Yang Mu</t>
  </si>
  <si>
    <t>BIGO Technology</t>
  </si>
  <si>
    <t>Mobvoi</t>
  </si>
  <si>
    <t>AI Engine, Brain++, Face++, surveillance</t>
  </si>
  <si>
    <t>Bank of China Group Investment, Macquarie, ICBC, Alibaba, ADIA</t>
  </si>
  <si>
    <t>ICBC Asset Management</t>
  </si>
  <si>
    <t>Bank of China Group Investment</t>
  </si>
  <si>
    <t>ADIA</t>
  </si>
  <si>
    <t>IPO soon</t>
  </si>
  <si>
    <t>Foxconn, Ant, Sunshine Insurance, SK Group, Russia-China Investment Fund, China Reform Holdings</t>
  </si>
  <si>
    <t>Foxconn</t>
  </si>
  <si>
    <t>Alibaba (Ant)</t>
  </si>
  <si>
    <t>Sunshine Insurance Group</t>
  </si>
  <si>
    <t>SK Inc (SK Group, SK Hynix)</t>
  </si>
  <si>
    <t>Russia-China Investment Fund</t>
  </si>
  <si>
    <t>China Reform Holdings</t>
  </si>
  <si>
    <t>Foxteq Holdings, Sinovation, Qiming, Foxxcon, CCB International</t>
  </si>
  <si>
    <t>Foxteq</t>
  </si>
  <si>
    <t>Sinovation</t>
  </si>
  <si>
    <t>CCB International</t>
  </si>
  <si>
    <t>Qiming, Sinovation</t>
  </si>
  <si>
    <t>Sinovation, Comet</t>
  </si>
  <si>
    <t>www.4paradigm.com</t>
  </si>
  <si>
    <t>Feng Tian, Qiang Yang, Shiwei Hu, Wenyuan Dai, Yuqiang Chen</t>
  </si>
  <si>
    <t>Chinese AI/ML Platform</t>
  </si>
  <si>
    <t>IPO Soon</t>
  </si>
  <si>
    <t>Primavera Capital, HOPU, Boyu, Sequoia Capital China, Mubadala, Junci Investment, Jinyi Capital, Haitong, Goldman Sachs, FountainVest, CITIC, China Securities, China Reform, China Jianyin, Chinda Development Bank</t>
  </si>
  <si>
    <t>Primavera Capital</t>
  </si>
  <si>
    <t>HOPU</t>
  </si>
  <si>
    <t>Boyu</t>
  </si>
  <si>
    <t>Junci Investment</t>
  </si>
  <si>
    <t>Jinyi Capital</t>
  </si>
  <si>
    <t>Haitong Securities</t>
  </si>
  <si>
    <t>FountainVest</t>
  </si>
  <si>
    <t>CITIC Securities (CPE)</t>
  </si>
  <si>
    <t>China Securities</t>
  </si>
  <si>
    <t>China Jianyin</t>
  </si>
  <si>
    <t>China Development Bank</t>
  </si>
  <si>
    <t>230 at 1.8B</t>
  </si>
  <si>
    <t>Lenovo, Green Pine, Co-Stone Venture, Cisco, CITIC, Capikris Foundation, Songhe Capital, Cornerstone Capital</t>
  </si>
  <si>
    <t>Lenovo</t>
  </si>
  <si>
    <t>Co-Stone Venture</t>
  </si>
  <si>
    <t>Capikris Foundation</t>
  </si>
  <si>
    <t>Tusholdings, Three Gorges Capital, CTBC Bank, China Reform, China Poly, Ag Bank, Bank of Communications, Huyu Equity, Sequoia Capital China</t>
  </si>
  <si>
    <t>Tusholdings</t>
  </si>
  <si>
    <t>Three Gorges Capital</t>
  </si>
  <si>
    <t>CTBC Bank</t>
  </si>
  <si>
    <t>China Poly Group</t>
  </si>
  <si>
    <t>Bank of Communications</t>
  </si>
  <si>
    <t>Agricultural Bank of China</t>
  </si>
  <si>
    <t>Huyu Equity Investment Fund</t>
  </si>
  <si>
    <t>ZWC Partners, ICBC, CCB, Bank of China</t>
  </si>
  <si>
    <t>Sinovation, Sequoia Capital China, Fengshion Capital</t>
  </si>
  <si>
    <t>www.sambanova.ai</t>
  </si>
  <si>
    <t>GAI for enterprise and government, Hardware</t>
  </si>
  <si>
    <t>Christopher Ré, Kunle Olukotun, Rodrigo Liang</t>
  </si>
  <si>
    <t>SoftBank, Walden International, Temasek, Intel, Google, GIC, Celesta, BlackRock</t>
  </si>
  <si>
    <t>GIC (Singapore)</t>
  </si>
  <si>
    <t>Celesta Capital</t>
  </si>
  <si>
    <t>Redline Capital</t>
  </si>
  <si>
    <t>Series C at 2.3B</t>
  </si>
  <si>
    <t>BlackRock, Walden International, Redline Capital, Intel, Google, Celesta</t>
  </si>
  <si>
    <t>Intel, Walden, Redline, Google, Celesta, Atlantic Bridge</t>
  </si>
  <si>
    <t>prplex (fsck.ai)</t>
  </si>
  <si>
    <t>Walden International, Google Ventures, Redline Capital, Atlantic Bridge</t>
  </si>
  <si>
    <t>Paris, France</t>
  </si>
  <si>
    <t>Jonathan Cherki</t>
  </si>
  <si>
    <t>Mati Staniszewski, Piotr Dabkowski</t>
  </si>
  <si>
    <t>Digital Experience Analytics</t>
  </si>
  <si>
    <t>Sixth Street, SoftBank, LionTree, KKR, Highland, Eurazeo, Canaan, Bpifrance, Blackrock</t>
  </si>
  <si>
    <t>www.momenta.cn</t>
  </si>
  <si>
    <t>SAIC Motor</t>
  </si>
  <si>
    <t>YF Capital</t>
  </si>
  <si>
    <t>Shunwei Capital</t>
  </si>
  <si>
    <t>Mercedes-Benz Group</t>
  </si>
  <si>
    <t>Cathay Innovation (Cathay Capital)</t>
  </si>
  <si>
    <t>General Motors</t>
  </si>
  <si>
    <t>IDG Capital</t>
  </si>
  <si>
    <t>Toyota, SAIC, Bosch, YF Capital, Tencent, Temasek, Shunwei, Mercedes-Benz, Cathay Capital, GM, IDG Capital</t>
  </si>
  <si>
    <t>120m at 880m</t>
  </si>
  <si>
    <t>Pagoda, NIO Capital, InnoVen, Tencent, China Merchants Group, CCB International</t>
  </si>
  <si>
    <t>Pagoda</t>
  </si>
  <si>
    <t>NIO Capital</t>
  </si>
  <si>
    <t>InnoVen Capital</t>
  </si>
  <si>
    <t>China Merchants Group</t>
  </si>
  <si>
    <t>NIO Capital, UnityVC, Sinovation, Shunwei, NIO, Mercedes, Cathay</t>
  </si>
  <si>
    <t>UnityVC</t>
  </si>
  <si>
    <t>Blue Lake, Shunwei, ZhenFund, Sinovation, Blue Lake</t>
  </si>
  <si>
    <t>Blue Lake Capital</t>
  </si>
  <si>
    <t>Jeffrey Kinsey, Sam Hendel, Theodore Bailey</t>
  </si>
  <si>
    <t>www.dataminr.com</t>
  </si>
  <si>
    <t>Real-time alerts for breaking news</t>
  </si>
  <si>
    <t>Alerts</t>
  </si>
  <si>
    <t>Valor Equity, Pritzker, Reinvent, MSD, Morgan Stanley, Moore, Lurra, IVP, Eldridge, Eden Global, DNS Capital, ArrowMark</t>
  </si>
  <si>
    <t>The Pritzker Organization</t>
  </si>
  <si>
    <t>Reinvent Capital</t>
  </si>
  <si>
    <t>Morgan Stanley</t>
  </si>
  <si>
    <t>Lurra Capital</t>
  </si>
  <si>
    <t>Eldridge</t>
  </si>
  <si>
    <t>Eden Global</t>
  </si>
  <si>
    <t>DNS Capital</t>
  </si>
  <si>
    <t>ArrowMark Partners</t>
  </si>
  <si>
    <t>Series E at 1200</t>
  </si>
  <si>
    <t>Vulcan, Planven, Kite, Blue Ivy, Alumni</t>
  </si>
  <si>
    <t>Vulcan Capital</t>
  </si>
  <si>
    <t>Planven Investiments</t>
  </si>
  <si>
    <t>Kite Ventures</t>
  </si>
  <si>
    <t>Blue Ivy Ventures</t>
  </si>
  <si>
    <t>Series D at 570m</t>
  </si>
  <si>
    <t>Fidelity, WorldQuant, Wellington, Venrock, Richmond Global, IVP, Glynn, FJ Labs, Credit Suisse, BoxGroup, Vikram Pandit, Thomas Glocer, Noam Gottesman, Nicolas Berggruen, Jose Marin, John Mack, Fabrice Grinda</t>
  </si>
  <si>
    <t>WorldQuant</t>
  </si>
  <si>
    <t>Venrock</t>
  </si>
  <si>
    <t>Richmond Global Ventures</t>
  </si>
  <si>
    <t>IVP, Wharton, SuRo, Deep Fork</t>
  </si>
  <si>
    <t>Wharton Equity Partners</t>
  </si>
  <si>
    <t>SuRo Capital</t>
  </si>
  <si>
    <t>Deep Fork Capital</t>
  </si>
  <si>
    <t>Wharton, Viceroy, SuRo, General Advance, Deep Fork</t>
  </si>
  <si>
    <t>Viceroy Ventures</t>
  </si>
  <si>
    <t>General Advance</t>
  </si>
  <si>
    <t>Fremont, CA</t>
  </si>
  <si>
    <t>www.pony.ai</t>
  </si>
  <si>
    <t>James Peng, Tiancheng Lou</t>
  </si>
  <si>
    <t>Ontario Teachers', Eight Roads, CITIC/CPE, ClearVue Partners, Brunei IA, 5Y Capital</t>
  </si>
  <si>
    <t>Ontario Teachers'</t>
  </si>
  <si>
    <t>ClearVue Partners</t>
  </si>
  <si>
    <t>Brunei Investment Agency</t>
  </si>
  <si>
    <t>5Y Capital</t>
  </si>
  <si>
    <t>Ontario Teachers', FAW Group, Eight Roads, ClearVue, 5Y</t>
  </si>
  <si>
    <t>FAW Group</t>
  </si>
  <si>
    <t>267 at 5000</t>
  </si>
  <si>
    <t>100 at 5200</t>
  </si>
  <si>
    <t>462 at 2.5B</t>
  </si>
  <si>
    <t>Toyota, Sequoia China, Kunlun</t>
  </si>
  <si>
    <t>Kunlun</t>
  </si>
  <si>
    <t>Eight Roads, ClearVue, Sequoia China, Redpoint, Morningside, Hongtai, Green Pine, Delong, DCM Ventures, China Merchants, 5Y Capital, Adrian Cheng</t>
  </si>
  <si>
    <t>Hongtai Capital</t>
  </si>
  <si>
    <t>Delong Capital</t>
  </si>
  <si>
    <t>DCM Ventures</t>
  </si>
  <si>
    <t>VMS Asset Management</t>
  </si>
  <si>
    <t>Silicon Valley Future Capital</t>
  </si>
  <si>
    <t>Puhua Capital</t>
  </si>
  <si>
    <t>Polaris Capital Group</t>
  </si>
  <si>
    <t>Legend Capital (including Legend Star)</t>
  </si>
  <si>
    <t>www.dataiku.com</t>
  </si>
  <si>
    <t>Clément Stenac, Florian Douetteau, Marc Batty, Thomas Cabrol</t>
  </si>
  <si>
    <t>Data Science/ML platform</t>
  </si>
  <si>
    <t>Wellington, Insight Partners, Eurazeo, Olivier Pomel</t>
  </si>
  <si>
    <t>Eurazeo</t>
  </si>
  <si>
    <t>400 at 4.2B</t>
  </si>
  <si>
    <t>Tiger, Snowflake, Lightrock, Insight, ICONIQ, FirstMark, Eurazeo, Dawn Capital, CapitalG, Battery, Olivier Pomel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</si>
</sst>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x"/>
    <numFmt numFmtId="165" formatCode="[$¥-411]#,##0"/>
    <numFmt numFmtId="166" formatCode="0.0%"/>
  </numFmts>
  <fonts count="106">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18"/>
    </font>
    <font>
      <u/>
      <sz val="11"/>
      <color theme="10"/>
      <name val="Calibri"/>
      <family val="2"/>
      <scheme val="minor"/>
    </font>
    <font>
      <u/>
      <sz val="10"/>
      <color theme="10"/>
      <name val="Arial"/>
      <family val="2"/>
    </font>
    <font>
      <i/>
      <sz val="10"/>
      <color theme="1"/>
      <name val="Arial"/>
      <family val="2"/>
    </font>
    <font>
      <b/>
      <sz val="10"/>
      <color theme="1"/>
      <name val="Arial"/>
      <family val="2"/>
    </font>
    <font>
      <b/>
      <u/>
      <sz val="10"/>
      <color theme="1"/>
      <name val="Arial"/>
      <family val="2"/>
    </font>
    <font>
      <sz val="10"/>
      <name val="Arial"/>
      <family val="2"/>
    </font>
    <font>
      <strike/>
      <sz val="10"/>
      <color theme="1"/>
      <name val="Arial"/>
      <family val="2"/>
    </font>
    <font>
      <i/>
      <strike/>
      <sz val="10"/>
      <color theme="1"/>
      <name val="Arial"/>
      <family val="2"/>
    </font>
    <font>
      <u/>
      <sz val="10"/>
      <color theme="10"/>
      <name val="Ariai"/>
    </font>
    <font>
      <sz val="10"/>
      <color rgb="FFFF0000"/>
      <name val="Arial"/>
      <family val="2"/>
    </font>
    <font>
      <b/>
      <sz val="10"/>
      <color rgb="FFFF0000"/>
      <name val="Arial"/>
      <family val="2"/>
    </font>
    <font>
      <sz val="10"/>
      <color rgb="FF000000"/>
      <name val="Arial"/>
      <family val="2"/>
    </font>
    <font>
      <b/>
      <i/>
      <sz val="10"/>
      <color theme="1"/>
      <name val="Arial"/>
      <family val="2"/>
    </font>
    <font>
      <b/>
      <sz val="10"/>
      <color rgb="FF000000"/>
      <name val="Arial"/>
      <family val="2"/>
    </font>
    <font>
      <u/>
      <sz val="10"/>
      <color theme="1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91" fillId="0" borderId="0" applyNumberFormat="0" applyFill="0" applyBorder="0" applyAlignment="0" applyProtection="0"/>
  </cellStyleXfs>
  <cellXfs count="275">
    <xf numFmtId="0" fontId="0" fillId="0" borderId="0" xfId="0"/>
    <xf numFmtId="0" fontId="90" fillId="0" borderId="0" xfId="0" applyFont="1"/>
    <xf numFmtId="2" fontId="90" fillId="0" borderId="0" xfId="0" applyNumberFormat="1" applyFont="1" applyAlignment="1">
      <alignment horizontal="right"/>
    </xf>
    <xf numFmtId="3" fontId="90" fillId="0" borderId="0" xfId="0" applyNumberFormat="1" applyFont="1" applyAlignment="1">
      <alignment horizontal="right"/>
    </xf>
    <xf numFmtId="0" fontId="90" fillId="0" borderId="0" xfId="0" applyFont="1" applyAlignment="1">
      <alignment horizontal="right"/>
    </xf>
    <xf numFmtId="0" fontId="92" fillId="0" borderId="0" xfId="1" applyFont="1"/>
    <xf numFmtId="0" fontId="89" fillId="0" borderId="0" xfId="0" applyFont="1"/>
    <xf numFmtId="3" fontId="89" fillId="0" borderId="0" xfId="0" applyNumberFormat="1" applyFont="1" applyAlignment="1">
      <alignment horizontal="right"/>
    </xf>
    <xf numFmtId="0" fontId="88" fillId="0" borderId="0" xfId="0" applyFont="1"/>
    <xf numFmtId="3" fontId="93" fillId="0" borderId="0" xfId="0" applyNumberFormat="1" applyFont="1" applyAlignment="1">
      <alignment horizontal="right"/>
    </xf>
    <xf numFmtId="0" fontId="87" fillId="0" borderId="0" xfId="0" applyFont="1"/>
    <xf numFmtId="0" fontId="86" fillId="0" borderId="0" xfId="0" applyFont="1"/>
    <xf numFmtId="0" fontId="85" fillId="0" borderId="0" xfId="0" applyFont="1"/>
    <xf numFmtId="0" fontId="84" fillId="0" borderId="3" xfId="0" applyFont="1" applyBorder="1"/>
    <xf numFmtId="0" fontId="84" fillId="0" borderId="4" xfId="0" applyFont="1" applyBorder="1"/>
    <xf numFmtId="2" fontId="84" fillId="0" borderId="4" xfId="0" applyNumberFormat="1" applyFont="1" applyBorder="1" applyAlignment="1">
      <alignment horizontal="right"/>
    </xf>
    <xf numFmtId="3" fontId="84" fillId="0" borderId="4" xfId="0" applyNumberFormat="1" applyFont="1" applyBorder="1" applyAlignment="1">
      <alignment horizontal="right"/>
    </xf>
    <xf numFmtId="0" fontId="84" fillId="0" borderId="4" xfId="0" applyFont="1" applyBorder="1" applyAlignment="1">
      <alignment horizontal="right"/>
    </xf>
    <xf numFmtId="0" fontId="84" fillId="0" borderId="4" xfId="0" applyFont="1" applyBorder="1" applyAlignment="1">
      <alignment horizontal="center"/>
    </xf>
    <xf numFmtId="0" fontId="84" fillId="0" borderId="5" xfId="0" applyFont="1" applyBorder="1" applyAlignment="1">
      <alignment horizontal="center"/>
    </xf>
    <xf numFmtId="0" fontId="84" fillId="0" borderId="0" xfId="0" applyFont="1"/>
    <xf numFmtId="2" fontId="84" fillId="0" borderId="0" xfId="0" applyNumberFormat="1" applyFont="1" applyAlignment="1">
      <alignment horizontal="right"/>
    </xf>
    <xf numFmtId="3" fontId="84" fillId="0" borderId="0" xfId="0" applyNumberFormat="1" applyFont="1" applyAlignment="1">
      <alignment horizontal="right"/>
    </xf>
    <xf numFmtId="0" fontId="84" fillId="0" borderId="0" xfId="0" applyFont="1" applyAlignment="1">
      <alignment horizontal="right"/>
    </xf>
    <xf numFmtId="0" fontId="84" fillId="0" borderId="0" xfId="0" applyFont="1" applyAlignment="1">
      <alignment horizontal="center"/>
    </xf>
    <xf numFmtId="0" fontId="84" fillId="0" borderId="1" xfId="0" applyFont="1" applyBorder="1" applyAlignment="1">
      <alignment horizontal="center"/>
    </xf>
    <xf numFmtId="0" fontId="84" fillId="0" borderId="2" xfId="0" applyFont="1" applyBorder="1" applyAlignment="1">
      <alignment horizontal="center"/>
    </xf>
    <xf numFmtId="4" fontId="84" fillId="0" borderId="0" xfId="0" applyNumberFormat="1" applyFont="1" applyAlignment="1">
      <alignment horizontal="center"/>
    </xf>
    <xf numFmtId="9" fontId="84" fillId="0" borderId="0" xfId="0" applyNumberFormat="1" applyFont="1" applyAlignment="1">
      <alignment horizontal="center"/>
    </xf>
    <xf numFmtId="164" fontId="84" fillId="0" borderId="1" xfId="0" applyNumberFormat="1" applyFont="1" applyBorder="1" applyAlignment="1">
      <alignment horizontal="center"/>
    </xf>
    <xf numFmtId="164" fontId="84" fillId="0" borderId="0" xfId="0" applyNumberFormat="1" applyFont="1" applyAlignment="1">
      <alignment horizontal="center"/>
    </xf>
    <xf numFmtId="164" fontId="84" fillId="0" borderId="2" xfId="0" applyNumberFormat="1" applyFont="1" applyBorder="1" applyAlignment="1">
      <alignment horizontal="center"/>
    </xf>
    <xf numFmtId="4" fontId="84" fillId="0" borderId="1" xfId="0" applyNumberFormat="1" applyFont="1" applyBorder="1" applyAlignment="1">
      <alignment horizontal="center"/>
    </xf>
    <xf numFmtId="4" fontId="84" fillId="0" borderId="2" xfId="0" applyNumberFormat="1" applyFont="1" applyBorder="1" applyAlignment="1">
      <alignment horizontal="center"/>
    </xf>
    <xf numFmtId="0" fontId="83" fillId="0" borderId="0" xfId="0" applyFont="1" applyAlignment="1">
      <alignment horizontal="right"/>
    </xf>
    <xf numFmtId="0" fontId="82" fillId="0" borderId="0" xfId="0" applyFont="1" applyAlignment="1">
      <alignment horizontal="right"/>
    </xf>
    <xf numFmtId="9" fontId="82" fillId="0" borderId="0" xfId="0" applyNumberFormat="1" applyFont="1" applyAlignment="1">
      <alignment horizontal="center"/>
    </xf>
    <xf numFmtId="164" fontId="84" fillId="0" borderId="6" xfId="0" applyNumberFormat="1" applyFont="1" applyBorder="1" applyAlignment="1">
      <alignment horizontal="center"/>
    </xf>
    <xf numFmtId="0" fontId="81" fillId="0" borderId="0" xfId="0" applyFont="1" applyAlignment="1">
      <alignment horizontal="right"/>
    </xf>
    <xf numFmtId="0" fontId="80" fillId="0" borderId="0" xfId="0" applyFont="1" applyAlignment="1">
      <alignment horizontal="right"/>
    </xf>
    <xf numFmtId="0" fontId="79" fillId="0" borderId="0" xfId="0" applyFont="1"/>
    <xf numFmtId="4" fontId="84" fillId="0" borderId="0" xfId="0" applyNumberFormat="1" applyFont="1" applyAlignment="1">
      <alignment horizontal="right"/>
    </xf>
    <xf numFmtId="0" fontId="78" fillId="0" borderId="4" xfId="0" applyFont="1" applyBorder="1" applyAlignment="1">
      <alignment horizontal="right"/>
    </xf>
    <xf numFmtId="14" fontId="84" fillId="0" borderId="0" xfId="0" applyNumberFormat="1" applyFont="1" applyAlignment="1">
      <alignment horizontal="right"/>
    </xf>
    <xf numFmtId="0" fontId="78" fillId="0" borderId="0" xfId="0" applyFont="1" applyAlignment="1">
      <alignment horizontal="right"/>
    </xf>
    <xf numFmtId="0" fontId="78" fillId="0" borderId="0" xfId="0" applyFont="1"/>
    <xf numFmtId="0" fontId="77" fillId="0" borderId="0" xfId="0" applyFont="1"/>
    <xf numFmtId="0" fontId="77" fillId="0" borderId="0" xfId="0" applyFont="1" applyAlignment="1">
      <alignment horizontal="right"/>
    </xf>
    <xf numFmtId="0" fontId="77" fillId="0" borderId="3" xfId="0" applyFont="1" applyBorder="1" applyAlignment="1">
      <alignment horizontal="center"/>
    </xf>
    <xf numFmtId="0" fontId="77" fillId="0" borderId="6" xfId="0" applyFont="1" applyBorder="1" applyAlignment="1">
      <alignment horizontal="center"/>
    </xf>
    <xf numFmtId="0" fontId="77" fillId="0" borderId="4" xfId="0" applyFont="1" applyBorder="1" applyAlignment="1">
      <alignment horizontal="center"/>
    </xf>
    <xf numFmtId="0" fontId="84" fillId="0" borderId="5" xfId="0" applyFont="1" applyBorder="1"/>
    <xf numFmtId="3" fontId="87" fillId="0" borderId="0" xfId="0" applyNumberFormat="1" applyFont="1"/>
    <xf numFmtId="0" fontId="76" fillId="0" borderId="0" xfId="0" applyFont="1"/>
    <xf numFmtId="0" fontId="75" fillId="0" borderId="0" xfId="0" applyFont="1" applyAlignment="1">
      <alignment horizontal="right"/>
    </xf>
    <xf numFmtId="0" fontId="74" fillId="0" borderId="0" xfId="0" applyFont="1" applyAlignment="1">
      <alignment horizontal="right"/>
    </xf>
    <xf numFmtId="0" fontId="74" fillId="0" borderId="0" xfId="0" applyFont="1"/>
    <xf numFmtId="3" fontId="90" fillId="0" borderId="0" xfId="0" applyNumberFormat="1" applyFont="1"/>
    <xf numFmtId="3" fontId="93" fillId="0" borderId="0" xfId="0" applyNumberFormat="1" applyFont="1"/>
    <xf numFmtId="3" fontId="74" fillId="0" borderId="0" xfId="0" applyNumberFormat="1" applyFont="1"/>
    <xf numFmtId="4" fontId="90" fillId="0" borderId="0" xfId="0" applyNumberFormat="1" applyFont="1" applyAlignment="1">
      <alignment horizontal="right"/>
    </xf>
    <xf numFmtId="4" fontId="93" fillId="0" borderId="0" xfId="0" applyNumberFormat="1" applyFont="1" applyAlignment="1">
      <alignment horizontal="right"/>
    </xf>
    <xf numFmtId="0" fontId="73" fillId="0" borderId="0" xfId="0" applyFont="1"/>
    <xf numFmtId="0" fontId="72" fillId="0" borderId="0" xfId="0" applyFont="1"/>
    <xf numFmtId="0" fontId="94" fillId="0" borderId="0" xfId="0" applyFont="1"/>
    <xf numFmtId="0" fontId="71" fillId="0" borderId="0" xfId="0" applyFont="1"/>
    <xf numFmtId="0" fontId="71" fillId="0" borderId="0" xfId="0" applyFont="1" applyAlignment="1">
      <alignment horizontal="right"/>
    </xf>
    <xf numFmtId="14" fontId="87" fillId="0" borderId="0" xfId="0" applyNumberFormat="1" applyFont="1"/>
    <xf numFmtId="0" fontId="87" fillId="0" borderId="0" xfId="0" applyFont="1" applyAlignment="1">
      <alignment horizontal="right"/>
    </xf>
    <xf numFmtId="4" fontId="87" fillId="0" borderId="0" xfId="0" applyNumberFormat="1" applyFont="1" applyAlignment="1">
      <alignment horizontal="right"/>
    </xf>
    <xf numFmtId="3" fontId="87" fillId="0" borderId="0" xfId="0" applyNumberFormat="1" applyFont="1" applyAlignment="1">
      <alignment horizontal="right"/>
    </xf>
    <xf numFmtId="3" fontId="70" fillId="0" borderId="0" xfId="0" applyNumberFormat="1" applyFont="1"/>
    <xf numFmtId="0" fontId="70" fillId="0" borderId="0" xfId="0" applyFont="1"/>
    <xf numFmtId="0" fontId="70" fillId="0" borderId="3" xfId="0" applyFont="1" applyBorder="1"/>
    <xf numFmtId="0" fontId="70" fillId="0" borderId="4" xfId="0" applyFont="1" applyBorder="1"/>
    <xf numFmtId="2" fontId="70" fillId="0" borderId="4" xfId="0" applyNumberFormat="1" applyFont="1" applyBorder="1" applyAlignment="1">
      <alignment horizontal="right"/>
    </xf>
    <xf numFmtId="3" fontId="70" fillId="0" borderId="4" xfId="0" applyNumberFormat="1" applyFont="1" applyBorder="1" applyAlignment="1">
      <alignment horizontal="right"/>
    </xf>
    <xf numFmtId="0" fontId="70" fillId="0" borderId="4" xfId="0" applyFont="1" applyBorder="1" applyAlignment="1">
      <alignment horizontal="right"/>
    </xf>
    <xf numFmtId="0" fontId="70" fillId="0" borderId="4" xfId="0" applyFont="1" applyBorder="1" applyAlignment="1">
      <alignment horizontal="center"/>
    </xf>
    <xf numFmtId="0" fontId="70" fillId="0" borderId="5" xfId="0" applyFont="1" applyBorder="1" applyAlignment="1">
      <alignment horizontal="center"/>
    </xf>
    <xf numFmtId="0" fontId="70" fillId="0" borderId="3" xfId="0" applyFont="1" applyBorder="1" applyAlignment="1">
      <alignment horizontal="center"/>
    </xf>
    <xf numFmtId="0" fontId="70" fillId="0" borderId="6" xfId="0" applyFont="1" applyBorder="1" applyAlignment="1">
      <alignment horizontal="center"/>
    </xf>
    <xf numFmtId="0" fontId="69" fillId="0" borderId="0" xfId="0" applyFont="1"/>
    <xf numFmtId="3" fontId="69" fillId="0" borderId="0" xfId="0" applyNumberFormat="1" applyFont="1"/>
    <xf numFmtId="3" fontId="68" fillId="0" borderId="0" xfId="0" applyNumberFormat="1" applyFont="1"/>
    <xf numFmtId="0" fontId="67" fillId="0" borderId="0" xfId="0" applyFont="1"/>
    <xf numFmtId="0" fontId="66" fillId="0" borderId="0" xfId="0" applyFont="1"/>
    <xf numFmtId="0" fontId="65" fillId="0" borderId="0" xfId="0" applyFont="1"/>
    <xf numFmtId="0" fontId="64" fillId="0" borderId="0" xfId="0" applyFont="1"/>
    <xf numFmtId="0" fontId="63" fillId="0" borderId="0" xfId="0" applyFont="1"/>
    <xf numFmtId="0" fontId="62" fillId="0" borderId="0" xfId="0" applyFont="1"/>
    <xf numFmtId="3" fontId="61" fillId="0" borderId="0" xfId="0" applyNumberFormat="1" applyFont="1"/>
    <xf numFmtId="0" fontId="61" fillId="0" borderId="0" xfId="0" applyFont="1"/>
    <xf numFmtId="3" fontId="60" fillId="0" borderId="0" xfId="0" applyNumberFormat="1" applyFont="1"/>
    <xf numFmtId="0" fontId="59" fillId="0" borderId="0" xfId="0" applyFont="1"/>
    <xf numFmtId="0" fontId="95" fillId="0" borderId="0" xfId="0" applyFont="1"/>
    <xf numFmtId="0" fontId="58" fillId="0" borderId="0" xfId="0" applyFont="1"/>
    <xf numFmtId="0" fontId="96" fillId="0" borderId="0" xfId="1" applyFont="1"/>
    <xf numFmtId="0" fontId="57" fillId="0" borderId="0" xfId="0" applyFont="1"/>
    <xf numFmtId="3" fontId="57" fillId="0" borderId="0" xfId="0" applyNumberFormat="1" applyFont="1"/>
    <xf numFmtId="0" fontId="56" fillId="0" borderId="0" xfId="0" applyFont="1" applyAlignment="1">
      <alignment horizontal="right"/>
    </xf>
    <xf numFmtId="0" fontId="55" fillId="0" borderId="0" xfId="0" applyFont="1"/>
    <xf numFmtId="0" fontId="55" fillId="0" borderId="0" xfId="0" applyFont="1" applyAlignment="1">
      <alignment horizontal="right"/>
    </xf>
    <xf numFmtId="14" fontId="70" fillId="0" borderId="0" xfId="0" applyNumberFormat="1" applyFont="1"/>
    <xf numFmtId="3" fontId="54" fillId="0" borderId="0" xfId="0" applyNumberFormat="1" applyFont="1"/>
    <xf numFmtId="0" fontId="53" fillId="0" borderId="0" xfId="0" applyFont="1"/>
    <xf numFmtId="3" fontId="53" fillId="0" borderId="0" xfId="0" applyNumberFormat="1" applyFont="1"/>
    <xf numFmtId="0" fontId="52" fillId="0" borderId="0" xfId="0" applyFont="1"/>
    <xf numFmtId="0" fontId="51" fillId="0" borderId="0" xfId="0" applyFont="1"/>
    <xf numFmtId="3" fontId="50" fillId="0" borderId="0" xfId="0" applyNumberFormat="1" applyFont="1"/>
    <xf numFmtId="0" fontId="49" fillId="0" borderId="0" xfId="0" applyFont="1"/>
    <xf numFmtId="0" fontId="48" fillId="0" borderId="0" xfId="0" applyFont="1"/>
    <xf numFmtId="3" fontId="47" fillId="0" borderId="0" xfId="0" applyNumberFormat="1" applyFont="1"/>
    <xf numFmtId="0" fontId="46" fillId="0" borderId="0" xfId="0" applyFont="1"/>
    <xf numFmtId="0" fontId="92" fillId="0" borderId="1" xfId="1" applyFont="1" applyBorder="1"/>
    <xf numFmtId="9" fontId="84" fillId="0" borderId="2" xfId="0" applyNumberFormat="1" applyFont="1" applyBorder="1" applyAlignment="1">
      <alignment horizontal="center"/>
    </xf>
    <xf numFmtId="0" fontId="59" fillId="0" borderId="0" xfId="0" applyFont="1" applyAlignment="1">
      <alignment horizontal="right"/>
    </xf>
    <xf numFmtId="0" fontId="51" fillId="0" borderId="1" xfId="0" applyFont="1" applyBorder="1"/>
    <xf numFmtId="0" fontId="81" fillId="0" borderId="0" xfId="0" applyFont="1"/>
    <xf numFmtId="0" fontId="48" fillId="0" borderId="1" xfId="0" applyFont="1" applyBorder="1"/>
    <xf numFmtId="0" fontId="84" fillId="0" borderId="1" xfId="0" applyFont="1" applyBorder="1"/>
    <xf numFmtId="0" fontId="82" fillId="0" borderId="1" xfId="0" applyFont="1" applyBorder="1"/>
    <xf numFmtId="0" fontId="82" fillId="0" borderId="0" xfId="0" applyFont="1"/>
    <xf numFmtId="0" fontId="77" fillId="0" borderId="1" xfId="0" applyFont="1" applyBorder="1"/>
    <xf numFmtId="0" fontId="84" fillId="0" borderId="7" xfId="0" applyFont="1" applyBorder="1"/>
    <xf numFmtId="0" fontId="84" fillId="0" borderId="6" xfId="0" applyFont="1" applyBorder="1"/>
    <xf numFmtId="2" fontId="84" fillId="0" borderId="6" xfId="0" applyNumberFormat="1" applyFont="1" applyBorder="1" applyAlignment="1">
      <alignment horizontal="right"/>
    </xf>
    <xf numFmtId="3" fontId="84" fillId="0" borderId="6" xfId="0" applyNumberFormat="1" applyFont="1" applyBorder="1" applyAlignment="1">
      <alignment horizontal="right"/>
    </xf>
    <xf numFmtId="0" fontId="84" fillId="0" borderId="6" xfId="0" applyFont="1" applyBorder="1" applyAlignment="1">
      <alignment horizontal="right"/>
    </xf>
    <xf numFmtId="0" fontId="84" fillId="0" borderId="6" xfId="0" applyFont="1" applyBorder="1" applyAlignment="1">
      <alignment horizontal="center"/>
    </xf>
    <xf numFmtId="0" fontId="84" fillId="0" borderId="8" xfId="0" applyFont="1" applyBorder="1" applyAlignment="1">
      <alignment horizontal="center"/>
    </xf>
    <xf numFmtId="0" fontId="46" fillId="0" borderId="0" xfId="0" applyFont="1" applyAlignment="1">
      <alignment horizontal="right"/>
    </xf>
    <xf numFmtId="0" fontId="45" fillId="0" borderId="0" xfId="0" applyFont="1"/>
    <xf numFmtId="0" fontId="44" fillId="0" borderId="0" xfId="0" applyFont="1"/>
    <xf numFmtId="0" fontId="43" fillId="0" borderId="0" xfId="0" applyFont="1"/>
    <xf numFmtId="0" fontId="42" fillId="0" borderId="0" xfId="0" applyFont="1"/>
    <xf numFmtId="0" fontId="41" fillId="0" borderId="0" xfId="0" applyFont="1"/>
    <xf numFmtId="0" fontId="40" fillId="0" borderId="0" xfId="0" applyFont="1"/>
    <xf numFmtId="0" fontId="39" fillId="0" borderId="0" xfId="0" applyFont="1" applyAlignment="1">
      <alignment horizontal="right"/>
    </xf>
    <xf numFmtId="0" fontId="39" fillId="0" borderId="0" xfId="0" applyFont="1"/>
    <xf numFmtId="0" fontId="38" fillId="0" borderId="0" xfId="0" applyFont="1" applyAlignment="1">
      <alignment horizontal="right"/>
    </xf>
    <xf numFmtId="0" fontId="37" fillId="0" borderId="0" xfId="0" applyFont="1"/>
    <xf numFmtId="0" fontId="92" fillId="0" borderId="0" xfId="1" applyFont="1" applyBorder="1"/>
    <xf numFmtId="0" fontId="36" fillId="0" borderId="0" xfId="0" applyFont="1"/>
    <xf numFmtId="0" fontId="35" fillId="0" borderId="0" xfId="0" applyFont="1" applyAlignment="1">
      <alignment horizontal="right"/>
    </xf>
    <xf numFmtId="0" fontId="34" fillId="0" borderId="0" xfId="0" applyFont="1" applyAlignment="1">
      <alignment horizontal="right"/>
    </xf>
    <xf numFmtId="0" fontId="33" fillId="0" borderId="0" xfId="0" applyFont="1"/>
    <xf numFmtId="0" fontId="33" fillId="0" borderId="0" xfId="0" applyFont="1" applyAlignment="1">
      <alignment horizontal="right"/>
    </xf>
    <xf numFmtId="3" fontId="33" fillId="0" borderId="0" xfId="0" applyNumberFormat="1" applyFont="1" applyAlignment="1">
      <alignment horizontal="right"/>
    </xf>
    <xf numFmtId="0" fontId="32" fillId="0" borderId="0" xfId="0" applyFont="1"/>
    <xf numFmtId="14" fontId="32" fillId="0" borderId="0" xfId="0" applyNumberFormat="1" applyFont="1" applyAlignment="1">
      <alignment horizontal="right"/>
    </xf>
    <xf numFmtId="0" fontId="31" fillId="0" borderId="0" xfId="0" applyFont="1" applyAlignment="1">
      <alignment horizontal="right"/>
    </xf>
    <xf numFmtId="14" fontId="90" fillId="0" borderId="0" xfId="0" applyNumberFormat="1" applyFont="1"/>
    <xf numFmtId="0" fontId="30" fillId="0" borderId="0" xfId="0" applyFont="1"/>
    <xf numFmtId="165" fontId="84" fillId="0" borderId="0" xfId="0" applyNumberFormat="1" applyFont="1" applyAlignment="1">
      <alignment horizontal="right"/>
    </xf>
    <xf numFmtId="0" fontId="30" fillId="0" borderId="0" xfId="0" applyFont="1" applyAlignment="1">
      <alignment horizontal="right"/>
    </xf>
    <xf numFmtId="0" fontId="29" fillId="0" borderId="0" xfId="0" applyFont="1" applyAlignment="1">
      <alignment horizontal="right"/>
    </xf>
    <xf numFmtId="0" fontId="28" fillId="0" borderId="0" xfId="0" applyFont="1"/>
    <xf numFmtId="0" fontId="28" fillId="0" borderId="0" xfId="0" applyFont="1" applyAlignment="1">
      <alignment horizontal="right"/>
    </xf>
    <xf numFmtId="3" fontId="28" fillId="0" borderId="0" xfId="0" applyNumberFormat="1" applyFont="1" applyAlignment="1">
      <alignment horizontal="right"/>
    </xf>
    <xf numFmtId="0" fontId="27" fillId="0" borderId="0" xfId="0" applyFont="1"/>
    <xf numFmtId="4" fontId="70" fillId="0" borderId="0" xfId="0" applyNumberFormat="1" applyFont="1"/>
    <xf numFmtId="0" fontId="26" fillId="0" borderId="0" xfId="0" applyFont="1"/>
    <xf numFmtId="0" fontId="25" fillId="0" borderId="1" xfId="0" applyFont="1" applyBorder="1"/>
    <xf numFmtId="0" fontId="25" fillId="0" borderId="0" xfId="0" applyFont="1"/>
    <xf numFmtId="0" fontId="24" fillId="0" borderId="0" xfId="0" applyFont="1"/>
    <xf numFmtId="3" fontId="97" fillId="0" borderId="0" xfId="0" applyNumberFormat="1" applyFont="1"/>
    <xf numFmtId="4" fontId="98" fillId="0" borderId="0" xfId="0" applyNumberFormat="1" applyFont="1" applyAlignment="1">
      <alignment horizontal="right"/>
    </xf>
    <xf numFmtId="3" fontId="97" fillId="0" borderId="0" xfId="0" applyNumberFormat="1" applyFont="1" applyAlignment="1">
      <alignment horizontal="right"/>
    </xf>
    <xf numFmtId="14" fontId="24" fillId="0" borderId="0" xfId="0" applyNumberFormat="1" applyFont="1" applyAlignment="1">
      <alignment horizontal="right"/>
    </xf>
    <xf numFmtId="3" fontId="72" fillId="0" borderId="0" xfId="0" applyNumberFormat="1" applyFont="1"/>
    <xf numFmtId="0" fontId="23" fillId="0" borderId="0" xfId="0" applyFont="1"/>
    <xf numFmtId="0" fontId="22" fillId="0" borderId="0" xfId="0" applyFont="1"/>
    <xf numFmtId="3" fontId="22" fillId="0" borderId="0" xfId="0" applyNumberFormat="1" applyFont="1"/>
    <xf numFmtId="3" fontId="22" fillId="2" borderId="0" xfId="0" applyNumberFormat="1" applyFont="1" applyFill="1"/>
    <xf numFmtId="0" fontId="21" fillId="0" borderId="0" xfId="0" applyFont="1" applyAlignment="1">
      <alignment horizontal="right"/>
    </xf>
    <xf numFmtId="0" fontId="21" fillId="0" borderId="0" xfId="0" applyFont="1"/>
    <xf numFmtId="3" fontId="21" fillId="0" borderId="0" xfId="0" applyNumberFormat="1" applyFont="1"/>
    <xf numFmtId="0" fontId="99" fillId="0" borderId="0" xfId="1" applyFont="1"/>
    <xf numFmtId="3" fontId="92" fillId="0" borderId="0" xfId="1" applyNumberFormat="1" applyFont="1"/>
    <xf numFmtId="3" fontId="20" fillId="0" borderId="0" xfId="0" applyNumberFormat="1" applyFont="1" applyAlignment="1">
      <alignment horizontal="right"/>
    </xf>
    <xf numFmtId="0" fontId="19" fillId="0" borderId="0" xfId="0" applyFont="1"/>
    <xf numFmtId="4" fontId="84" fillId="0" borderId="0" xfId="0" applyNumberFormat="1" applyFont="1"/>
    <xf numFmtId="4" fontId="90" fillId="0" borderId="0" xfId="0" applyNumberFormat="1" applyFont="1"/>
    <xf numFmtId="0" fontId="18" fillId="0" borderId="1" xfId="0" applyFont="1" applyBorder="1"/>
    <xf numFmtId="0" fontId="18" fillId="0" borderId="0" xfId="0" applyFont="1"/>
    <xf numFmtId="0" fontId="94" fillId="0" borderId="1" xfId="0" applyFont="1" applyBorder="1"/>
    <xf numFmtId="2" fontId="94" fillId="0" borderId="0" xfId="0" applyNumberFormat="1" applyFont="1" applyAlignment="1">
      <alignment horizontal="right"/>
    </xf>
    <xf numFmtId="3" fontId="94" fillId="0" borderId="0" xfId="0" applyNumberFormat="1" applyFont="1" applyAlignment="1">
      <alignment horizontal="right"/>
    </xf>
    <xf numFmtId="0" fontId="17" fillId="0" borderId="0" xfId="0" applyFont="1" applyAlignment="1">
      <alignment horizontal="right"/>
    </xf>
    <xf numFmtId="0" fontId="94" fillId="0" borderId="0" xfId="0" applyFont="1" applyAlignment="1">
      <alignment horizontal="center"/>
    </xf>
    <xf numFmtId="0" fontId="94" fillId="0" borderId="0" xfId="0" applyFont="1" applyAlignment="1">
      <alignment horizontal="right"/>
    </xf>
    <xf numFmtId="0" fontId="16" fillId="0" borderId="0" xfId="0" applyFont="1"/>
    <xf numFmtId="0" fontId="95" fillId="0" borderId="0" xfId="0" applyFont="1" applyAlignment="1">
      <alignment horizontal="right"/>
    </xf>
    <xf numFmtId="17" fontId="94" fillId="0" borderId="0" xfId="0" applyNumberFormat="1" applyFont="1"/>
    <xf numFmtId="17" fontId="94" fillId="0" borderId="0" xfId="0" quotePrefix="1" applyNumberFormat="1" applyFont="1" applyAlignment="1">
      <alignment horizontal="right"/>
    </xf>
    <xf numFmtId="0" fontId="100" fillId="0" borderId="0" xfId="0" applyFont="1"/>
    <xf numFmtId="0" fontId="101" fillId="0" borderId="0" xfId="0" applyFont="1"/>
    <xf numFmtId="17" fontId="100" fillId="0" borderId="0" xfId="0" applyNumberFormat="1" applyFont="1"/>
    <xf numFmtId="0" fontId="15" fillId="0" borderId="0" xfId="0" applyFont="1"/>
    <xf numFmtId="0" fontId="15" fillId="0" borderId="0" xfId="0" applyFont="1" applyAlignment="1">
      <alignment horizontal="right"/>
    </xf>
    <xf numFmtId="3" fontId="15" fillId="0" borderId="0" xfId="0" applyNumberFormat="1" applyFont="1" applyAlignment="1">
      <alignment horizontal="right"/>
    </xf>
    <xf numFmtId="14" fontId="94" fillId="0" borderId="0" xfId="0" applyNumberFormat="1" applyFont="1" applyAlignment="1">
      <alignment horizontal="right"/>
    </xf>
    <xf numFmtId="14" fontId="15" fillId="0" borderId="0" xfId="0" applyNumberFormat="1" applyFont="1" applyAlignment="1">
      <alignment horizontal="right"/>
    </xf>
    <xf numFmtId="0" fontId="94" fillId="0" borderId="0" xfId="0" applyFont="1" applyAlignment="1">
      <alignment horizontal="left"/>
    </xf>
    <xf numFmtId="14" fontId="93" fillId="0" borderId="0" xfId="0" applyNumberFormat="1" applyFont="1" applyAlignment="1">
      <alignment horizontal="right"/>
    </xf>
    <xf numFmtId="0" fontId="102" fillId="0" borderId="0" xfId="0" applyFont="1" applyAlignment="1">
      <alignment horizontal="right"/>
    </xf>
    <xf numFmtId="3" fontId="102" fillId="0" borderId="0" xfId="0" applyNumberFormat="1" applyFont="1" applyAlignment="1">
      <alignment horizontal="right"/>
    </xf>
    <xf numFmtId="14" fontId="102" fillId="0" borderId="0" xfId="0" applyNumberFormat="1" applyFont="1" applyAlignment="1">
      <alignment horizontal="right"/>
    </xf>
    <xf numFmtId="14" fontId="103" fillId="0" borderId="0" xfId="0" applyNumberFormat="1" applyFont="1" applyAlignment="1">
      <alignment horizontal="right"/>
    </xf>
    <xf numFmtId="0" fontId="14" fillId="0" borderId="0" xfId="0" applyFont="1"/>
    <xf numFmtId="0" fontId="14" fillId="0" borderId="0" xfId="0" applyFont="1" applyAlignment="1">
      <alignment horizontal="right"/>
    </xf>
    <xf numFmtId="3" fontId="15" fillId="0" borderId="0" xfId="0" applyNumberFormat="1" applyFont="1"/>
    <xf numFmtId="0" fontId="104" fillId="0" borderId="0" xfId="0" applyFont="1" applyAlignment="1">
      <alignment horizontal="right"/>
    </xf>
    <xf numFmtId="3" fontId="104" fillId="0" borderId="0" xfId="0" applyNumberFormat="1" applyFont="1" applyAlignment="1">
      <alignment horizontal="right"/>
    </xf>
    <xf numFmtId="14" fontId="104" fillId="0" borderId="0" xfId="0" applyNumberFormat="1" applyFont="1" applyAlignment="1">
      <alignment horizontal="right"/>
    </xf>
    <xf numFmtId="0" fontId="93" fillId="0" borderId="0" xfId="0" applyFont="1" applyAlignment="1">
      <alignment horizontal="right"/>
    </xf>
    <xf numFmtId="0" fontId="13" fillId="0" borderId="0" xfId="0" applyFont="1"/>
    <xf numFmtId="0" fontId="13" fillId="0" borderId="0" xfId="0" applyFont="1" applyAlignment="1">
      <alignment horizontal="right"/>
    </xf>
    <xf numFmtId="0" fontId="12" fillId="0" borderId="0" xfId="0" applyFont="1"/>
    <xf numFmtId="0" fontId="12" fillId="0" borderId="0" xfId="0" applyFont="1" applyAlignment="1">
      <alignment horizontal="right"/>
    </xf>
    <xf numFmtId="0" fontId="11" fillId="0" borderId="0" xfId="0" applyFont="1"/>
    <xf numFmtId="0" fontId="11" fillId="0" borderId="0" xfId="0" applyFont="1" applyAlignment="1">
      <alignment horizontal="right"/>
    </xf>
    <xf numFmtId="14" fontId="94" fillId="0" borderId="0" xfId="0" applyNumberFormat="1" applyFont="1"/>
    <xf numFmtId="0" fontId="10" fillId="0" borderId="0" xfId="0" applyFont="1"/>
    <xf numFmtId="0" fontId="10" fillId="0" borderId="0" xfId="0" applyFont="1" applyAlignment="1">
      <alignment horizontal="right"/>
    </xf>
    <xf numFmtId="0" fontId="94" fillId="0" borderId="0" xfId="0" quotePrefix="1" applyFont="1" applyAlignment="1">
      <alignment horizontal="right"/>
    </xf>
    <xf numFmtId="0" fontId="9" fillId="0" borderId="0" xfId="0" applyFont="1"/>
    <xf numFmtId="0" fontId="9" fillId="0" borderId="0" xfId="0" applyFont="1" applyAlignment="1">
      <alignment horizontal="right"/>
    </xf>
    <xf numFmtId="14" fontId="9" fillId="0" borderId="0" xfId="0" applyNumberFormat="1" applyFont="1" applyAlignment="1">
      <alignment horizontal="right"/>
    </xf>
    <xf numFmtId="4" fontId="15" fillId="0" borderId="0" xfId="0" applyNumberFormat="1" applyFont="1"/>
    <xf numFmtId="0" fontId="94" fillId="0" borderId="0" xfId="0" quotePrefix="1" applyFont="1"/>
    <xf numFmtId="9" fontId="15" fillId="0" borderId="0" xfId="0" applyNumberFormat="1" applyFont="1"/>
    <xf numFmtId="166" fontId="15" fillId="0" borderId="0" xfId="0" applyNumberFormat="1" applyFont="1"/>
    <xf numFmtId="10" fontId="15" fillId="0" borderId="0" xfId="0" applyNumberFormat="1" applyFont="1"/>
    <xf numFmtId="166" fontId="94" fillId="0" borderId="0" xfId="0" applyNumberFormat="1" applyFont="1"/>
    <xf numFmtId="10" fontId="94" fillId="0" borderId="0" xfId="0" applyNumberFormat="1" applyFont="1"/>
    <xf numFmtId="0" fontId="8" fillId="0" borderId="0" xfId="0" applyFont="1"/>
    <xf numFmtId="0" fontId="8" fillId="0" borderId="0" xfId="0" applyFont="1" applyAlignment="1">
      <alignment horizontal="right"/>
    </xf>
    <xf numFmtId="0" fontId="7" fillId="0" borderId="0" xfId="0" applyFont="1"/>
    <xf numFmtId="0" fontId="7" fillId="0" borderId="0" xfId="0" applyFont="1" applyAlignment="1">
      <alignment horizontal="right"/>
    </xf>
    <xf numFmtId="0" fontId="7" fillId="0" borderId="0" xfId="0" quotePrefix="1" applyFont="1"/>
    <xf numFmtId="0" fontId="6" fillId="0" borderId="0" xfId="0" applyFont="1"/>
    <xf numFmtId="0" fontId="6" fillId="0" borderId="0" xfId="0" applyFont="1" applyAlignment="1">
      <alignment horizontal="right"/>
    </xf>
    <xf numFmtId="0" fontId="5" fillId="0" borderId="0" xfId="0" applyFont="1"/>
    <xf numFmtId="0" fontId="5" fillId="0" borderId="0" xfId="0" applyFont="1" applyAlignment="1">
      <alignment horizontal="right"/>
    </xf>
    <xf numFmtId="0" fontId="4" fillId="0" borderId="0" xfId="0" applyFont="1"/>
    <xf numFmtId="0" fontId="4" fillId="0" borderId="0" xfId="0" applyFont="1" applyAlignment="1">
      <alignment horizontal="right"/>
    </xf>
    <xf numFmtId="0" fontId="3" fillId="0" borderId="0" xfId="0" applyFont="1"/>
    <xf numFmtId="0" fontId="3" fillId="0" borderId="0" xfId="0" applyFont="1" applyAlignment="1">
      <alignment horizontal="right"/>
    </xf>
    <xf numFmtId="3" fontId="3" fillId="0" borderId="0" xfId="0" applyNumberFormat="1" applyFont="1" applyAlignment="1">
      <alignment horizontal="right"/>
    </xf>
    <xf numFmtId="0" fontId="2" fillId="0" borderId="0" xfId="0" applyFont="1"/>
    <xf numFmtId="0" fontId="2" fillId="0" borderId="0" xfId="0" applyFont="1" applyAlignment="1">
      <alignment horizontal="left"/>
    </xf>
    <xf numFmtId="0" fontId="2" fillId="0" borderId="0" xfId="0" applyFont="1" applyAlignment="1">
      <alignment horizontal="right"/>
    </xf>
    <xf numFmtId="14" fontId="2" fillId="0" borderId="0" xfId="0" applyNumberFormat="1" applyFont="1" applyAlignment="1">
      <alignment horizontal="right"/>
    </xf>
    <xf numFmtId="0" fontId="2" fillId="0" borderId="0" xfId="0" applyFont="1" applyAlignment="1">
      <alignment horizontal="center"/>
    </xf>
    <xf numFmtId="3" fontId="2" fillId="0" borderId="0" xfId="0" applyNumberFormat="1" applyFont="1" applyAlignment="1">
      <alignment horizontal="right"/>
    </xf>
    <xf numFmtId="0" fontId="105" fillId="0" borderId="0" xfId="1" applyFont="1"/>
    <xf numFmtId="14" fontId="2" fillId="0" borderId="0" xfId="0" applyNumberFormat="1" applyFont="1"/>
    <xf numFmtId="17" fontId="2" fillId="0" borderId="0" xfId="0" applyNumberFormat="1" applyFont="1"/>
    <xf numFmtId="14" fontId="2" fillId="0" borderId="0" xfId="0" applyNumberFormat="1" applyFont="1" applyAlignment="1">
      <alignment horizontal="left"/>
    </xf>
    <xf numFmtId="17" fontId="2" fillId="0" borderId="0" xfId="0" quotePrefix="1" applyNumberFormat="1" applyFont="1" applyAlignment="1">
      <alignment horizontal="right"/>
    </xf>
    <xf numFmtId="14" fontId="2" fillId="0" borderId="0" xfId="0" quotePrefix="1" applyNumberFormat="1" applyFont="1" applyAlignment="1">
      <alignment horizontal="right"/>
    </xf>
    <xf numFmtId="0" fontId="2" fillId="0" borderId="0" xfId="0" quotePrefix="1" applyFont="1" applyAlignment="1">
      <alignment horizontal="right"/>
    </xf>
    <xf numFmtId="3" fontId="2" fillId="0" borderId="0" xfId="0" applyNumberFormat="1" applyFont="1" applyAlignment="1">
      <alignment horizontal="left"/>
    </xf>
    <xf numFmtId="3" fontId="2" fillId="0" borderId="0" xfId="0" applyNumberFormat="1" applyFont="1"/>
    <xf numFmtId="0" fontId="2" fillId="0" borderId="0" xfId="0" quotePrefix="1" applyFont="1"/>
    <xf numFmtId="0" fontId="2" fillId="0" borderId="1" xfId="0" applyFont="1" applyBorder="1"/>
    <xf numFmtId="0" fontId="1" fillId="0" borderId="0" xfId="0" applyFont="1"/>
    <xf numFmtId="0" fontId="1" fillId="0" borderId="0" xfId="0" applyFont="1" applyAlignment="1">
      <alignment horizontal="center"/>
    </xf>
    <xf numFmtId="3" fontId="1" fillId="0" borderId="0" xfId="0" applyNumberFormat="1" applyFont="1" applyAlignment="1">
      <alignment horizontal="right"/>
    </xf>
    <xf numFmtId="3" fontId="1" fillId="0" borderId="0" xfId="0" applyNumberFormat="1" applyFont="1" applyAlignment="1">
      <alignment horizontal="left"/>
    </xf>
    <xf numFmtId="0" fontId="1" fillId="0" borderId="0" xfId="0" applyFont="1" applyAlignment="1">
      <alignment horizontal="left"/>
    </xf>
    <xf numFmtId="0" fontId="1" fillId="0" borderId="0" xfId="0" applyFont="1" applyAlignment="1">
      <alignment horizontal="right"/>
    </xf>
    <xf numFmtId="14" fontId="1" fillId="0" borderId="0" xfId="0" applyNumberFormat="1" applyFont="1" applyAlignment="1">
      <alignment horizontal="right"/>
    </xf>
  </cellXfs>
  <cellStyles count="2">
    <cellStyle name="Hyperlink" xfId="1" builtinId="8"/>
    <cellStyle name="Normal" xfId="0" builtinId="0"/>
  </cellStyles>
  <dxfs count="0"/>
  <tableStyles count="1" defaultTableStyle="TableStyleMedium2" defaultPivotStyle="PivotStyleLight16">
    <tableStyle name="Invisible" pivot="0" table="0" count="0" xr9:uid="{606D2300-39C7-400B-8CBC-8FACFEDD77C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externalLink" Target="externalLinks/externalLink10.xml"/><Relationship Id="rId39" Type="http://schemas.openxmlformats.org/officeDocument/2006/relationships/externalLink" Target="externalLinks/externalLink23.xml"/><Relationship Id="rId21" Type="http://schemas.openxmlformats.org/officeDocument/2006/relationships/externalLink" Target="externalLinks/externalLink5.xml"/><Relationship Id="rId34" Type="http://schemas.openxmlformats.org/officeDocument/2006/relationships/externalLink" Target="externalLinks/externalLink18.xml"/><Relationship Id="rId42" Type="http://schemas.openxmlformats.org/officeDocument/2006/relationships/externalLink" Target="externalLinks/externalLink26.xml"/><Relationship Id="rId47" Type="http://schemas.openxmlformats.org/officeDocument/2006/relationships/externalLink" Target="externalLinks/externalLink31.xml"/><Relationship Id="rId50" Type="http://schemas.openxmlformats.org/officeDocument/2006/relationships/externalLink" Target="externalLinks/externalLink34.xml"/><Relationship Id="rId55" Type="http://schemas.openxmlformats.org/officeDocument/2006/relationships/externalLink" Target="externalLinks/externalLink3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3.xml"/><Relationship Id="rId11" Type="http://schemas.openxmlformats.org/officeDocument/2006/relationships/worksheet" Target="worksheets/sheet11.xml"/><Relationship Id="rId24" Type="http://schemas.openxmlformats.org/officeDocument/2006/relationships/externalLink" Target="externalLinks/externalLink8.xml"/><Relationship Id="rId32" Type="http://schemas.openxmlformats.org/officeDocument/2006/relationships/externalLink" Target="externalLinks/externalLink16.xml"/><Relationship Id="rId37" Type="http://schemas.openxmlformats.org/officeDocument/2006/relationships/externalLink" Target="externalLinks/externalLink21.xml"/><Relationship Id="rId40" Type="http://schemas.openxmlformats.org/officeDocument/2006/relationships/externalLink" Target="externalLinks/externalLink24.xml"/><Relationship Id="rId45" Type="http://schemas.openxmlformats.org/officeDocument/2006/relationships/externalLink" Target="externalLinks/externalLink29.xml"/><Relationship Id="rId53" Type="http://schemas.openxmlformats.org/officeDocument/2006/relationships/externalLink" Target="externalLinks/externalLink37.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43" Type="http://schemas.openxmlformats.org/officeDocument/2006/relationships/externalLink" Target="externalLinks/externalLink27.xml"/><Relationship Id="rId48" Type="http://schemas.openxmlformats.org/officeDocument/2006/relationships/externalLink" Target="externalLinks/externalLink32.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3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externalLink" Target="externalLinks/externalLink9.xml"/><Relationship Id="rId33" Type="http://schemas.openxmlformats.org/officeDocument/2006/relationships/externalLink" Target="externalLinks/externalLink17.xml"/><Relationship Id="rId38" Type="http://schemas.openxmlformats.org/officeDocument/2006/relationships/externalLink" Target="externalLinks/externalLink22.xml"/><Relationship Id="rId46" Type="http://schemas.openxmlformats.org/officeDocument/2006/relationships/externalLink" Target="externalLinks/externalLink30.xml"/><Relationship Id="rId59" Type="http://schemas.openxmlformats.org/officeDocument/2006/relationships/sheetMetadata" Target="metadata.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54" Type="http://schemas.openxmlformats.org/officeDocument/2006/relationships/externalLink" Target="externalLinks/externalLink38.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36" Type="http://schemas.openxmlformats.org/officeDocument/2006/relationships/externalLink" Target="externalLinks/externalLink20.xml"/><Relationship Id="rId49" Type="http://schemas.openxmlformats.org/officeDocument/2006/relationships/externalLink" Target="externalLinks/externalLink33.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externalLink" Target="externalLinks/externalLink15.xml"/><Relationship Id="rId44" Type="http://schemas.openxmlformats.org/officeDocument/2006/relationships/externalLink" Target="externalLinks/externalLink28.xml"/><Relationship Id="rId52" Type="http://schemas.openxmlformats.org/officeDocument/2006/relationships/externalLink" Target="externalLinks/externalLink36.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kre/code/models/MSFT.xlsx" TargetMode="External"/><Relationship Id="rId1" Type="http://schemas.openxmlformats.org/officeDocument/2006/relationships/externalLinkPath" Target="MSF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shkre/code/models/GOOG.xlsx" TargetMode="External"/><Relationship Id="rId1" Type="http://schemas.openxmlformats.org/officeDocument/2006/relationships/externalLinkPath" Target="GOOG.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shkre/code/models/CSU%20CN.xlsx" TargetMode="External"/><Relationship Id="rId1" Type="http://schemas.openxmlformats.org/officeDocument/2006/relationships/externalLinkPath" Target="CSU%20CN.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shkre/code/models/HEXA.xlsx" TargetMode="External"/><Relationship Id="rId1" Type="http://schemas.openxmlformats.org/officeDocument/2006/relationships/externalLinkPath" Target="HEX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BIDU.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shkre/code/models/AMZN.xlsx" TargetMode="External"/><Relationship Id="rId1" Type="http://schemas.openxmlformats.org/officeDocument/2006/relationships/externalLinkPath" Target="AMZN.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shkre/code/models/ORCL.xlsx" TargetMode="External"/><Relationship Id="rId1" Type="http://schemas.openxmlformats.org/officeDocument/2006/relationships/externalLinkPath" Target="ORCL.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shkre/code/models/IBM.xlsx" TargetMode="External"/><Relationship Id="rId1" Type="http://schemas.openxmlformats.org/officeDocument/2006/relationships/externalLinkPath" Target="IBM.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shkre/code/models/CRM.xlsx" TargetMode="External"/><Relationship Id="rId1" Type="http://schemas.openxmlformats.org/officeDocument/2006/relationships/externalLinkPath" Target="CRM.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shkre/code/models/SAP.xlsx" TargetMode="External"/><Relationship Id="rId1" Type="http://schemas.openxmlformats.org/officeDocument/2006/relationships/externalLinkPath" Target="S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NOW.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VMW.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shkre/code/models/TEAM.xlsx" TargetMode="External"/><Relationship Id="rId1" Type="http://schemas.openxmlformats.org/officeDocument/2006/relationships/externalLinkPath" Target="TEAM.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shkre/code/models/WDAY.xlsx" TargetMode="External"/><Relationship Id="rId1" Type="http://schemas.openxmlformats.org/officeDocument/2006/relationships/externalLinkPath" Target="WDAY.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SNOW.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VEEV.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DDOG.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PLTR.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OKTA.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shkre/code/models/FB.xlsx" TargetMode="External"/><Relationship Id="rId1" Type="http://schemas.openxmlformats.org/officeDocument/2006/relationships/externalLinkPath" Target="FB.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700%20HK.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shkre/code/models/SNAP.xlsx" TargetMode="External"/><Relationship Id="rId1" Type="http://schemas.openxmlformats.org/officeDocument/2006/relationships/externalLinkPath" Target="SNAP.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SNPS.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DSY%20FP.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CDNS.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ADSK.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ANSS.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file:///C:/Users/shkre/code/models/ADBE.xlsx" TargetMode="External"/><Relationship Id="rId1" Type="http://schemas.openxmlformats.org/officeDocument/2006/relationships/externalLinkPath" Target="ADBE.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file:///C:/Users/shkre/code/models/SONY.xlsx" TargetMode="External"/><Relationship Id="rId1" Type="http://schemas.openxmlformats.org/officeDocument/2006/relationships/externalLinkPath" Target="SONY.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file:///C:/Users/shkre/code/models/ATVI.xlsx" TargetMode="External"/><Relationship Id="rId1" Type="http://schemas.openxmlformats.org/officeDocument/2006/relationships/externalLinkPath" Target="ATVI.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EA.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file:///C:/Users/shkre/code/models/RBLX.xlsx" TargetMode="External"/><Relationship Id="rId1" Type="http://schemas.openxmlformats.org/officeDocument/2006/relationships/externalLinkPath" Target="RBLX.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https://d.docs.live.net/9ffda80931a57275/Models%20Backup/SPOT.xlsx"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INTU.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file:///C:/Users/shkre/code/models/PYPL.xlsx" TargetMode="External"/><Relationship Id="rId1" Type="http://schemas.openxmlformats.org/officeDocument/2006/relationships/externalLinkPath" Target="PYPL.xlsx"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BABA.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file:///C:/Users/shkre/code/models/ABNB.xlsx" TargetMode="External"/><Relationship Id="rId1" Type="http://schemas.openxmlformats.org/officeDocument/2006/relationships/externalLinkPath" Target="ABNB.xlsx"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SHOP.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file:///C:/Users/shkre/code/models/RDFN.xlsx" TargetMode="External"/><Relationship Id="rId1" Type="http://schemas.openxmlformats.org/officeDocument/2006/relationships/externalLinkPath" Target="RDF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Legacy"/>
    </sheetNames>
    <sheetDataSet>
      <sheetData sheetId="0">
        <row r="3">
          <cell r="L3">
            <v>7473</v>
          </cell>
        </row>
        <row r="5">
          <cell r="L5">
            <v>106605</v>
          </cell>
        </row>
        <row r="6">
          <cell r="L6">
            <v>48116</v>
          </cell>
        </row>
      </sheetData>
      <sheetData sheetId="1">
        <row r="32">
          <cell r="BE32">
            <v>9.6463099263974534</v>
          </cell>
          <cell r="BF32">
            <v>9.8726994311717835</v>
          </cell>
          <cell r="BG32">
            <v>11.225772564777602</v>
          </cell>
          <cell r="BH32">
            <v>12.540877369501043</v>
          </cell>
        </row>
        <row r="34">
          <cell r="BP34">
            <v>0</v>
          </cell>
        </row>
        <row r="35">
          <cell r="BP35">
            <v>7.0000000000000007E-2</v>
          </cell>
        </row>
        <row r="36">
          <cell r="BP36">
            <v>0.01</v>
          </cell>
        </row>
        <row r="39">
          <cell r="BP39">
            <v>269.58547667575527</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12947</v>
          </cell>
        </row>
        <row r="5">
          <cell r="L5">
            <v>144254</v>
          </cell>
        </row>
        <row r="6">
          <cell r="L6">
            <v>14701</v>
          </cell>
        </row>
      </sheetData>
      <sheetData sheetId="1">
        <row r="24">
          <cell r="AJ24">
            <v>4.5799964361174039</v>
          </cell>
          <cell r="AK24">
            <v>5.6080380594150139</v>
          </cell>
          <cell r="AL24">
            <v>6.6491005248224839</v>
          </cell>
          <cell r="AM24">
            <v>7.778431207897734</v>
          </cell>
        </row>
        <row r="27">
          <cell r="AU27">
            <v>-0.01</v>
          </cell>
        </row>
        <row r="28">
          <cell r="AU28">
            <v>0.08</v>
          </cell>
        </row>
        <row r="29">
          <cell r="AU29">
            <v>0.01</v>
          </cell>
        </row>
        <row r="31">
          <cell r="AU31">
            <v>164.8676811657561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O3">
            <v>21.19153</v>
          </cell>
        </row>
        <row r="5">
          <cell r="O5">
            <v>811</v>
          </cell>
        </row>
        <row r="6">
          <cell r="O6">
            <v>1974</v>
          </cell>
        </row>
      </sheetData>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s"/>
    </sheetNames>
    <sheetDataSet>
      <sheetData sheetId="0">
        <row r="3">
          <cell r="L3">
            <v>2706.2939999999999</v>
          </cell>
        </row>
        <row r="5">
          <cell r="L5">
            <v>486.29999999999995</v>
          </cell>
        </row>
        <row r="6">
          <cell r="L6">
            <v>3842.6</v>
          </cell>
        </row>
      </sheetData>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345.875</v>
          </cell>
        </row>
        <row r="5">
          <cell r="L5">
            <v>255226</v>
          </cell>
        </row>
        <row r="6">
          <cell r="L6">
            <v>83627</v>
          </cell>
        </row>
      </sheetData>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10331</v>
          </cell>
        </row>
        <row r="5">
          <cell r="K5">
            <v>58662</v>
          </cell>
        </row>
        <row r="6">
          <cell r="K6">
            <v>58919</v>
          </cell>
        </row>
      </sheetData>
      <sheetData sheetId="1">
        <row r="33">
          <cell r="BA33">
            <v>0.51665847665847664</v>
          </cell>
          <cell r="BB33">
            <v>1.6399777191456466</v>
          </cell>
          <cell r="BC33">
            <v>2.0086947796859072</v>
          </cell>
          <cell r="BD33">
            <v>3.4976216660564408</v>
          </cell>
        </row>
        <row r="44">
          <cell r="BL44">
            <v>0.08</v>
          </cell>
        </row>
        <row r="45">
          <cell r="BL45">
            <v>0.01</v>
          </cell>
        </row>
        <row r="46">
          <cell r="BL46">
            <v>0</v>
          </cell>
        </row>
        <row r="48">
          <cell r="BL48">
            <v>127.46157686951391</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G3">
            <v>2776</v>
          </cell>
        </row>
        <row r="5">
          <cell r="G5">
            <v>8769</v>
          </cell>
        </row>
        <row r="6">
          <cell r="G6">
            <v>91811</v>
          </cell>
        </row>
      </sheetData>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908.04541400000005</v>
          </cell>
        </row>
        <row r="5">
          <cell r="M5">
            <v>17592</v>
          </cell>
        </row>
        <row r="6">
          <cell r="M6">
            <v>53826</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1000</v>
          </cell>
        </row>
        <row r="5">
          <cell r="M5">
            <v>17042</v>
          </cell>
        </row>
        <row r="6">
          <cell r="M6">
            <v>10600</v>
          </cell>
        </row>
      </sheetData>
      <sheetData sheetId="1">
        <row r="35">
          <cell r="Z35">
            <v>0.01</v>
          </cell>
        </row>
        <row r="36">
          <cell r="Z36">
            <v>0.08</v>
          </cell>
        </row>
        <row r="38">
          <cell r="Z38">
            <v>159.2157215866865</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1180</v>
          </cell>
        </row>
        <row r="5">
          <cell r="L5">
            <v>18083</v>
          </cell>
        </row>
        <row r="6">
          <cell r="L6">
            <v>17213</v>
          </cell>
        </row>
      </sheetData>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200</v>
          </cell>
        </row>
        <row r="5">
          <cell r="L5">
            <v>5498</v>
          </cell>
        </row>
        <row r="6">
          <cell r="L6">
            <v>1572</v>
          </cell>
        </row>
      </sheetData>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421.445382</v>
          </cell>
        </row>
        <row r="5">
          <cell r="M5">
            <v>3719</v>
          </cell>
        </row>
        <row r="6">
          <cell r="M6">
            <v>11926</v>
          </cell>
        </row>
      </sheetData>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253.72300000000001</v>
          </cell>
        </row>
        <row r="5">
          <cell r="L5">
            <v>1431.7740000000001</v>
          </cell>
        </row>
        <row r="6">
          <cell r="L6">
            <v>999.375</v>
          </cell>
        </row>
      </sheetData>
      <sheetData sheetId="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P3">
            <v>252</v>
          </cell>
        </row>
        <row r="5">
          <cell r="P5">
            <v>6255</v>
          </cell>
        </row>
        <row r="6">
          <cell r="P6">
            <v>4121</v>
          </cell>
        </row>
      </sheetData>
      <sheetData sheetId="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314.36099999999999</v>
          </cell>
        </row>
        <row r="5">
          <cell r="M5">
            <v>5027.4579999999996</v>
          </cell>
        </row>
        <row r="6">
          <cell r="M6">
            <v>0</v>
          </cell>
        </row>
      </sheetData>
      <sheetData sheetId="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154.847005</v>
          </cell>
        </row>
        <row r="5">
          <cell r="M5">
            <v>2838.5529999999999</v>
          </cell>
        </row>
        <row r="6">
          <cell r="M6">
            <v>0</v>
          </cell>
        </row>
      </sheetData>
      <sheetData sheetId="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O3">
            <v>315</v>
          </cell>
        </row>
        <row r="5">
          <cell r="O5">
            <v>1707</v>
          </cell>
        </row>
        <row r="6">
          <cell r="O6">
            <v>737</v>
          </cell>
        </row>
      </sheetData>
      <sheetData sheetId="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2036</v>
          </cell>
        </row>
        <row r="5">
          <cell r="L5">
            <v>2585</v>
          </cell>
        </row>
        <row r="6">
          <cell r="L6">
            <v>0</v>
          </cell>
        </row>
      </sheetData>
      <sheetData sheetId="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P3">
            <v>157</v>
          </cell>
        </row>
        <row r="5">
          <cell r="P5">
            <v>2477</v>
          </cell>
        </row>
        <row r="6">
          <cell r="P6">
            <v>2195</v>
          </cell>
        </row>
      </sheetData>
      <sheetData sheetId="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IP"/>
    </sheetNames>
    <sheetDataSet>
      <sheetData sheetId="0">
        <row r="3">
          <cell r="M3">
            <v>2651.5486740000001</v>
          </cell>
        </row>
        <row r="5">
          <cell r="M5">
            <v>48304</v>
          </cell>
        </row>
        <row r="6">
          <cell r="M6">
            <v>9922</v>
          </cell>
        </row>
      </sheetData>
      <sheetData sheetId="1">
        <row r="50">
          <cell r="AX50">
            <v>0.08</v>
          </cell>
        </row>
        <row r="51">
          <cell r="AX51">
            <v>-0.05</v>
          </cell>
        </row>
        <row r="52">
          <cell r="AX52">
            <v>0.02</v>
          </cell>
        </row>
        <row r="53">
          <cell r="AX53">
            <v>215.87667010339968</v>
          </cell>
        </row>
      </sheetData>
      <sheetData sheetId="2"/>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9.6720000000000006</v>
          </cell>
        </row>
        <row r="5">
          <cell r="L5">
            <v>989</v>
          </cell>
        </row>
        <row r="6">
          <cell r="L6">
            <v>346</v>
          </cell>
        </row>
      </sheetData>
      <sheetData sheetId="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1613.101071</v>
          </cell>
        </row>
        <row r="5">
          <cell r="L5">
            <v>4428.9520000000002</v>
          </cell>
        </row>
        <row r="6">
          <cell r="L6">
            <v>3740.8040000000001</v>
          </cell>
        </row>
      </sheetData>
      <sheetData sheetId="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152.970249</v>
          </cell>
        </row>
        <row r="5">
          <cell r="N5">
            <v>1720.521</v>
          </cell>
        </row>
        <row r="6">
          <cell r="N6">
            <v>23.774999999999999</v>
          </cell>
        </row>
      </sheetData>
      <sheetData sheetId="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1322.7</v>
          </cell>
        </row>
        <row r="5">
          <cell r="L5">
            <v>3157</v>
          </cell>
        </row>
        <row r="6">
          <cell r="L6">
            <v>3642.4</v>
          </cell>
        </row>
      </sheetData>
      <sheetData sheetId="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s>
    <sheetDataSet>
      <sheetData sheetId="0">
        <row r="3">
          <cell r="K3">
            <v>277.33600000000001</v>
          </cell>
        </row>
        <row r="5">
          <cell r="K5">
            <v>1088.94</v>
          </cell>
        </row>
        <row r="6">
          <cell r="K6">
            <v>347.58800000000002</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217.27220500000001</v>
          </cell>
        </row>
        <row r="5">
          <cell r="L5">
            <v>1624</v>
          </cell>
        </row>
        <row r="6">
          <cell r="L6">
            <v>2629</v>
          </cell>
        </row>
      </sheetData>
      <sheetData sheetId="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87.068664999999996</v>
          </cell>
        </row>
        <row r="5">
          <cell r="M5">
            <v>517.63499999999999</v>
          </cell>
        </row>
        <row r="6">
          <cell r="M6">
            <v>753.40200000000004</v>
          </cell>
        </row>
      </sheetData>
      <sheetData sheetId="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N3">
            <v>472.5</v>
          </cell>
        </row>
        <row r="5">
          <cell r="N5">
            <v>5299</v>
          </cell>
        </row>
        <row r="6">
          <cell r="N6">
            <v>4126</v>
          </cell>
        </row>
      </sheetData>
      <sheetData sheetId="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4">
          <cell r="O4">
            <v>1238.413</v>
          </cell>
        </row>
        <row r="7">
          <cell r="O7">
            <v>1886413</v>
          </cell>
        </row>
        <row r="8">
          <cell r="O8">
            <v>1455438</v>
          </cell>
        </row>
      </sheetData>
      <sheetData sheetId="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J3">
            <v>782.62531899999999</v>
          </cell>
        </row>
        <row r="5">
          <cell r="J5">
            <v>10688</v>
          </cell>
        </row>
        <row r="6">
          <cell r="J6">
            <v>3610</v>
          </cell>
        </row>
      </sheetData>
      <sheetData sheetId="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281</v>
          </cell>
        </row>
        <row r="5">
          <cell r="N5">
            <v>2416</v>
          </cell>
        </row>
        <row r="6">
          <cell r="N6">
            <v>1878</v>
          </cell>
        </row>
      </sheetData>
      <sheetData sheetId="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605.13542000000007</v>
          </cell>
        </row>
        <row r="5">
          <cell r="L5">
            <v>2977</v>
          </cell>
        </row>
        <row r="6">
          <cell r="L6">
            <v>989</v>
          </cell>
        </row>
      </sheetData>
      <sheetData sheetId="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K3">
            <v>197.07725600000001</v>
          </cell>
        </row>
        <row r="5">
          <cell r="K5">
            <v>4301</v>
          </cell>
        </row>
        <row r="6">
          <cell r="K6">
            <v>1146</v>
          </cell>
        </row>
      </sheetData>
      <sheetData sheetId="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281.86987900000003</v>
          </cell>
        </row>
        <row r="5">
          <cell r="L5">
            <v>4002</v>
          </cell>
        </row>
        <row r="6">
          <cell r="L6">
            <v>6853</v>
          </cell>
        </row>
      </sheetData>
      <sheetData sheetId="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1144</v>
          </cell>
        </row>
        <row r="5">
          <cell r="M5">
            <v>15886</v>
          </cell>
        </row>
        <row r="6">
          <cell r="M6">
            <v>10417</v>
          </cell>
        </row>
      </sheetData>
      <sheetData sheetId="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2675.125</v>
          </cell>
        </row>
        <row r="5">
          <cell r="L5">
            <v>956062</v>
          </cell>
        </row>
        <row r="6">
          <cell r="L6">
            <v>149153</v>
          </cell>
        </row>
      </sheetData>
      <sheetData sheetId="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633.17718300000001</v>
          </cell>
        </row>
        <row r="5">
          <cell r="L5">
            <v>9629.1059999999998</v>
          </cell>
        </row>
        <row r="6">
          <cell r="L6">
            <v>1985.6590000000001</v>
          </cell>
        </row>
      </sheetData>
      <sheetData sheetId="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1260</v>
          </cell>
        </row>
        <row r="5">
          <cell r="M5">
            <v>7246.6900000000005</v>
          </cell>
        </row>
        <row r="6">
          <cell r="M6">
            <v>911.54899999999998</v>
          </cell>
        </row>
      </sheetData>
      <sheetData sheetId="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108.748718</v>
          </cell>
        </row>
        <row r="5">
          <cell r="K5">
            <v>555.70900000000006</v>
          </cell>
        </row>
        <row r="6">
          <cell r="K6">
            <v>1719</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75" dT="2023-06-28T22:40:44.43" personId="{00000000-0000-0000-0000-000000000000}" id="{7C1EDB1D-26F3-4F99-8930-0D6731320806}">
    <text>Amplify Partners V, Amplify Select (6/13/22)</text>
  </threadedComment>
  <threadedComment ref="I404" dT="2023-06-28T22:44:58.89" personId="{00000000-0000-0000-0000-000000000000}" id="{EC8BF999-2174-4EA9-BB40-29C22C304290}">
    <text>Radical Ventures II (5/7/19)</text>
  </threadedComment>
</ThreadedComments>
</file>

<file path=xl/threadedComments/threadedComment2.xml><?xml version="1.0" encoding="utf-8"?>
<ThreadedComments xmlns="http://schemas.microsoft.com/office/spreadsheetml/2018/threadedcomments" xmlns:x="http://schemas.openxmlformats.org/spreadsheetml/2006/main">
  <threadedComment ref="I21" dT="2023-06-15T00:22:32.88" personId="{00000000-0000-0000-0000-000000000000}" id="{8D32030C-E7C6-654F-8763-F83B4645B655}">
    <text>Tom Built GPT-3</text>
  </threadedComment>
  <threadedComment ref="D116" dT="2023-06-15T16:14:28.15" personId="{00000000-0000-0000-0000-000000000000}" id="{31E15604-D972-2C48-8C95-6B04D469FE75}">
    <text>https://techcrunch.com/2022/11/10/ai-powered-note-taking-app-mem-raises-23-5m-openai/</text>
  </threadedComment>
</ThreadedComments>
</file>

<file path=xl/threadedComments/threadedComment3.xml><?xml version="1.0" encoding="utf-8"?>
<ThreadedComments xmlns="http://schemas.microsoft.com/office/spreadsheetml/2018/threadedcomments" xmlns:x="http://schemas.openxmlformats.org/spreadsheetml/2006/main">
  <threadedComment ref="E30" dT="2022-08-24T01:15:21.27" personId="{00000000-0000-0000-0000-000000000000}" id="{9A7BDD87-4728-4B2C-A2F9-F452DF1FAEF5}">
    <text>Series A with ARod, Thrive, Tiger, Marc Lore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CSU%20CN.xlsx" TargetMode="External"/><Relationship Id="rId2" Type="http://schemas.openxmlformats.org/officeDocument/2006/relationships/hyperlink" Target="BIDU.xlsx" TargetMode="External"/><Relationship Id="rId1" Type="http://schemas.openxmlformats.org/officeDocument/2006/relationships/hyperlink" Target="GOOG.xlsx" TargetMode="External"/><Relationship Id="rId6" Type="http://schemas.openxmlformats.org/officeDocument/2006/relationships/printerSettings" Target="../printerSettings/printerSettings2.bin"/><Relationship Id="rId5" Type="http://schemas.openxmlformats.org/officeDocument/2006/relationships/hyperlink" Target="HEXA.xlsx" TargetMode="External"/><Relationship Id="rId4" Type="http://schemas.openxmlformats.org/officeDocument/2006/relationships/hyperlink" Target="MSFT.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SNOW.xlsx" TargetMode="External"/><Relationship Id="rId13" Type="http://schemas.openxmlformats.org/officeDocument/2006/relationships/hyperlink" Target="PLTR.xlsx" TargetMode="External"/><Relationship Id="rId3" Type="http://schemas.openxmlformats.org/officeDocument/2006/relationships/hyperlink" Target="SAP.xlsx" TargetMode="External"/><Relationship Id="rId7" Type="http://schemas.openxmlformats.org/officeDocument/2006/relationships/hyperlink" Target="WDAY.xlsx" TargetMode="External"/><Relationship Id="rId12" Type="http://schemas.openxmlformats.org/officeDocument/2006/relationships/hyperlink" Target="AMZN.xlsx" TargetMode="External"/><Relationship Id="rId2" Type="http://schemas.openxmlformats.org/officeDocument/2006/relationships/hyperlink" Target="CRM.xlsx" TargetMode="External"/><Relationship Id="rId1" Type="http://schemas.openxmlformats.org/officeDocument/2006/relationships/hyperlink" Target="ORCL.xlsx" TargetMode="External"/><Relationship Id="rId6" Type="http://schemas.openxmlformats.org/officeDocument/2006/relationships/hyperlink" Target="TEAM.xlsx" TargetMode="External"/><Relationship Id="rId11" Type="http://schemas.openxmlformats.org/officeDocument/2006/relationships/hyperlink" Target="VEEV.xlsx" TargetMode="External"/><Relationship Id="rId5" Type="http://schemas.openxmlformats.org/officeDocument/2006/relationships/hyperlink" Target="VMW.xlsx" TargetMode="External"/><Relationship Id="rId15" Type="http://schemas.openxmlformats.org/officeDocument/2006/relationships/printerSettings" Target="../printerSettings/printerSettings3.bin"/><Relationship Id="rId10" Type="http://schemas.openxmlformats.org/officeDocument/2006/relationships/hyperlink" Target="DDOG.xlsx" TargetMode="External"/><Relationship Id="rId4" Type="http://schemas.openxmlformats.org/officeDocument/2006/relationships/hyperlink" Target="NOW.xlsx" TargetMode="External"/><Relationship Id="rId9" Type="http://schemas.openxmlformats.org/officeDocument/2006/relationships/hyperlink" Target="OKTA.xlsx" TargetMode="External"/><Relationship Id="rId14" Type="http://schemas.openxmlformats.org/officeDocument/2006/relationships/hyperlink" Target="IBM.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035420%20KS%20Naver.xlsx" TargetMode="External"/><Relationship Id="rId2" Type="http://schemas.openxmlformats.org/officeDocument/2006/relationships/hyperlink" Target="700%20HK.xlsx" TargetMode="External"/><Relationship Id="rId1" Type="http://schemas.openxmlformats.org/officeDocument/2006/relationships/hyperlink" Target="META.xlsx" TargetMode="External"/><Relationship Id="rId5" Type="http://schemas.openxmlformats.org/officeDocument/2006/relationships/printerSettings" Target="../printerSettings/printerSettings4.bin"/><Relationship Id="rId4" Type="http://schemas.openxmlformats.org/officeDocument/2006/relationships/hyperlink" Target="SNAP.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CDNS.xlsx" TargetMode="External"/><Relationship Id="rId2" Type="http://schemas.openxmlformats.org/officeDocument/2006/relationships/hyperlink" Target="ADSK.xlsx" TargetMode="External"/><Relationship Id="rId1" Type="http://schemas.openxmlformats.org/officeDocument/2006/relationships/hyperlink" Target="DSY%20FP.xlsx" TargetMode="External"/><Relationship Id="rId6" Type="http://schemas.openxmlformats.org/officeDocument/2006/relationships/printerSettings" Target="../printerSettings/printerSettings5.bin"/><Relationship Id="rId5" Type="http://schemas.openxmlformats.org/officeDocument/2006/relationships/hyperlink" Target="ANSS.xlsx" TargetMode="External"/><Relationship Id="rId4" Type="http://schemas.openxmlformats.org/officeDocument/2006/relationships/hyperlink" Target="SNPS.xlsx"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8" Type="http://schemas.openxmlformats.org/officeDocument/2006/relationships/hyperlink" Target="http://www.syllable.ai/" TargetMode="External"/><Relationship Id="rId13" Type="http://schemas.openxmlformats.org/officeDocument/2006/relationships/hyperlink" Target="http://www.nuro.ai/" TargetMode="External"/><Relationship Id="rId18" Type="http://schemas.openxmlformats.org/officeDocument/2006/relationships/hyperlink" Target="http://www.momenta.cn/" TargetMode="External"/><Relationship Id="rId3" Type="http://schemas.openxmlformats.org/officeDocument/2006/relationships/hyperlink" Target="https://huggingface.co/OpenAssistant/oasst-sft-6-llama-30b-xor" TargetMode="External"/><Relationship Id="rId21" Type="http://schemas.openxmlformats.org/officeDocument/2006/relationships/hyperlink" Target="http://www.dataiku.com/" TargetMode="External"/><Relationship Id="rId7" Type="http://schemas.openxmlformats.org/officeDocument/2006/relationships/hyperlink" Target="http://www.coachvox.ai/" TargetMode="External"/><Relationship Id="rId12" Type="http://schemas.openxmlformats.org/officeDocument/2006/relationships/hyperlink" Target="http://www.getbravo.io/" TargetMode="External"/><Relationship Id="rId17" Type="http://schemas.openxmlformats.org/officeDocument/2006/relationships/hyperlink" Target="http://www.sambanova.ai/" TargetMode="External"/><Relationship Id="rId25" Type="http://schemas.microsoft.com/office/2017/10/relationships/threadedComment" Target="../threadedComments/threadedComment2.xml"/><Relationship Id="rId2" Type="http://schemas.openxmlformats.org/officeDocument/2006/relationships/hyperlink" Target="https://docs.nomic.ai/" TargetMode="External"/><Relationship Id="rId16" Type="http://schemas.openxmlformats.org/officeDocument/2006/relationships/hyperlink" Target="http://www.4paradigm.com/" TargetMode="External"/><Relationship Id="rId20" Type="http://schemas.openxmlformats.org/officeDocument/2006/relationships/hyperlink" Target="http://www.pony.ai/" TargetMode="External"/><Relationship Id="rId1" Type="http://schemas.openxmlformats.org/officeDocument/2006/relationships/hyperlink" Target="https://docs.ai21.com/reference/j2-complete-api-ref" TargetMode="External"/><Relationship Id="rId6" Type="http://schemas.openxmlformats.org/officeDocument/2006/relationships/hyperlink" Target="http://www.intrinsic.ai/" TargetMode="External"/><Relationship Id="rId11" Type="http://schemas.openxmlformats.org/officeDocument/2006/relationships/hyperlink" Target="http://www.openspace.ai/" TargetMode="External"/><Relationship Id="rId24" Type="http://schemas.openxmlformats.org/officeDocument/2006/relationships/comments" Target="../comments2.xml"/><Relationship Id="rId5" Type="http://schemas.openxmlformats.org/officeDocument/2006/relationships/hyperlink" Target="https://www.nvidia.com/en-us/startups/" TargetMode="External"/><Relationship Id="rId15" Type="http://schemas.openxmlformats.org/officeDocument/2006/relationships/hyperlink" Target="http://www.megvii.com/" TargetMode="External"/><Relationship Id="rId23" Type="http://schemas.openxmlformats.org/officeDocument/2006/relationships/vmlDrawing" Target="../drawings/vmlDrawing2.vml"/><Relationship Id="rId10" Type="http://schemas.openxmlformats.org/officeDocument/2006/relationships/hyperlink" Target="https://www.datrics.ai/" TargetMode="External"/><Relationship Id="rId19" Type="http://schemas.openxmlformats.org/officeDocument/2006/relationships/hyperlink" Target="http://www.dataminr.com/" TargetMode="External"/><Relationship Id="rId4" Type="http://schemas.openxmlformats.org/officeDocument/2006/relationships/hyperlink" Target="https://docs.google.com/spreadsheets/d/1rMs69QO4UJKueNS2w784KpJlsdsK_ERmuq8qnCMmGUA/edit?pli=1" TargetMode="External"/><Relationship Id="rId9" Type="http://schemas.openxmlformats.org/officeDocument/2006/relationships/hyperlink" Target="https://www.ambirobotics.com/" TargetMode="External"/><Relationship Id="rId14" Type="http://schemas.openxmlformats.org/officeDocument/2006/relationships/hyperlink" Target="http://www.ubtrobot.com/" TargetMode="External"/><Relationship Id="rId22"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8" Type="http://schemas.openxmlformats.org/officeDocument/2006/relationships/hyperlink" Target="SONY.xlsx" TargetMode="External"/><Relationship Id="rId3" Type="http://schemas.openxmlformats.org/officeDocument/2006/relationships/hyperlink" Target="700%20HK.xlsx" TargetMode="External"/><Relationship Id="rId7" Type="http://schemas.openxmlformats.org/officeDocument/2006/relationships/hyperlink" Target="ATVI.xlsx" TargetMode="External"/><Relationship Id="rId2" Type="http://schemas.openxmlformats.org/officeDocument/2006/relationships/hyperlink" Target="MSFT.xlsx" TargetMode="External"/><Relationship Id="rId1" Type="http://schemas.openxmlformats.org/officeDocument/2006/relationships/hyperlink" Target="RBLX.xlsx" TargetMode="External"/><Relationship Id="rId6" Type="http://schemas.openxmlformats.org/officeDocument/2006/relationships/hyperlink" Target="../../../OneDrive/Models%20Backup/SPOT.xlsx" TargetMode="External"/><Relationship Id="rId5" Type="http://schemas.openxmlformats.org/officeDocument/2006/relationships/hyperlink" Target="ADBE.xlsx" TargetMode="External"/><Relationship Id="rId10" Type="http://schemas.openxmlformats.org/officeDocument/2006/relationships/printerSettings" Target="../printerSettings/printerSettings8.bin"/><Relationship Id="rId4" Type="http://schemas.openxmlformats.org/officeDocument/2006/relationships/hyperlink" Target="EA.xlsx" TargetMode="External"/><Relationship Id="rId9" Type="http://schemas.openxmlformats.org/officeDocument/2006/relationships/hyperlink" Target="SONY.xlsx"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PYPL.xlsx" TargetMode="External"/><Relationship Id="rId1" Type="http://schemas.openxmlformats.org/officeDocument/2006/relationships/hyperlink" Target="INTU.xlsx"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hyperlink" Target="SHOP.xlsx" TargetMode="External"/><Relationship Id="rId7" Type="http://schemas.openxmlformats.org/officeDocument/2006/relationships/printerSettings" Target="../printerSettings/printerSettings9.bin"/><Relationship Id="rId2" Type="http://schemas.openxmlformats.org/officeDocument/2006/relationships/hyperlink" Target="AMZN.xlsx" TargetMode="External"/><Relationship Id="rId1" Type="http://schemas.openxmlformats.org/officeDocument/2006/relationships/hyperlink" Target="BABA.xlsx" TargetMode="External"/><Relationship Id="rId6" Type="http://schemas.openxmlformats.org/officeDocument/2006/relationships/hyperlink" Target="ABNB.xlsx" TargetMode="External"/><Relationship Id="rId5" Type="http://schemas.openxmlformats.org/officeDocument/2006/relationships/hyperlink" Target="RDFN.xlsx" TargetMode="External"/><Relationship Id="rId4" Type="http://schemas.openxmlformats.org/officeDocument/2006/relationships/hyperlink" Target="BABA.xlsx"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F021-B9D2-4E87-AC34-DE48FE1C4298}">
  <dimension ref="A1"/>
  <sheetViews>
    <sheetView workbookViewId="0"/>
  </sheetViews>
  <sheetFormatPr baseColWidth="10" defaultColWidth="8.83203125"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44C1-F876-4F6A-A905-60D0CF343544}">
  <dimension ref="A1:C12"/>
  <sheetViews>
    <sheetView workbookViewId="0">
      <selection activeCell="F5" sqref="F5"/>
    </sheetView>
  </sheetViews>
  <sheetFormatPr baseColWidth="10" defaultColWidth="9.1640625" defaultRowHeight="13"/>
  <cols>
    <col min="1" max="1" width="5" style="137" bestFit="1" customWidth="1"/>
    <col min="2" max="16384" width="9.1640625" style="137"/>
  </cols>
  <sheetData>
    <row r="1" spans="1:3">
      <c r="A1" s="5" t="s">
        <v>146</v>
      </c>
    </row>
    <row r="2" spans="1:3">
      <c r="A2" s="5"/>
      <c r="B2" s="137" t="s">
        <v>19</v>
      </c>
    </row>
    <row r="3" spans="1:3">
      <c r="B3" s="137" t="s">
        <v>347</v>
      </c>
      <c r="C3" s="137" t="s">
        <v>348</v>
      </c>
    </row>
    <row r="4" spans="1:3">
      <c r="B4" s="137" t="s">
        <v>349</v>
      </c>
      <c r="C4" s="137" t="s">
        <v>350</v>
      </c>
    </row>
    <row r="5" spans="1:3">
      <c r="B5" s="137" t="s">
        <v>351</v>
      </c>
    </row>
    <row r="6" spans="1:3">
      <c r="B6" s="137" t="s">
        <v>344</v>
      </c>
    </row>
    <row r="7" spans="1:3">
      <c r="B7" s="137" t="s">
        <v>342</v>
      </c>
    </row>
    <row r="8" spans="1:3">
      <c r="B8" s="137" t="s">
        <v>346</v>
      </c>
    </row>
    <row r="9" spans="1:3">
      <c r="B9" s="137" t="s">
        <v>343</v>
      </c>
    </row>
    <row r="10" spans="1:3">
      <c r="B10" s="137" t="s">
        <v>352</v>
      </c>
    </row>
    <row r="11" spans="1:3">
      <c r="B11" s="137" t="s">
        <v>353</v>
      </c>
    </row>
    <row r="12" spans="1:3">
      <c r="B12" s="137" t="s">
        <v>345</v>
      </c>
    </row>
  </sheetData>
  <hyperlinks>
    <hyperlink ref="A1" location="Main!A1" display="Main" xr:uid="{6883381D-CC78-420C-B33D-9D88ACC7CFD7}"/>
  </hyperlink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D91D0-A718-45C3-9EF2-C01D7940E5D3}">
  <dimension ref="A1:C15"/>
  <sheetViews>
    <sheetView zoomScale="175" zoomScaleNormal="175" workbookViewId="0"/>
  </sheetViews>
  <sheetFormatPr baseColWidth="10" defaultColWidth="9.1640625" defaultRowHeight="13"/>
  <cols>
    <col min="1" max="1" width="5" style="137" bestFit="1" customWidth="1"/>
    <col min="2" max="2" width="10.5" style="137" customWidth="1"/>
    <col min="3" max="16384" width="9.1640625" style="137"/>
  </cols>
  <sheetData>
    <row r="1" spans="1:3">
      <c r="A1" s="5" t="s">
        <v>146</v>
      </c>
    </row>
    <row r="2" spans="1:3">
      <c r="A2" s="5"/>
      <c r="B2" s="176" t="s">
        <v>489</v>
      </c>
    </row>
    <row r="3" spans="1:3">
      <c r="A3" s="5"/>
      <c r="B3" s="176" t="s">
        <v>485</v>
      </c>
    </row>
    <row r="4" spans="1:3">
      <c r="A4" s="5"/>
      <c r="B4" s="176" t="s">
        <v>488</v>
      </c>
    </row>
    <row r="5" spans="1:3">
      <c r="A5" s="5"/>
      <c r="B5" s="176" t="s">
        <v>486</v>
      </c>
    </row>
    <row r="6" spans="1:3">
      <c r="A6" s="5"/>
      <c r="B6" s="176" t="s">
        <v>490</v>
      </c>
    </row>
    <row r="7" spans="1:3">
      <c r="A7" s="5"/>
      <c r="B7" s="176" t="s">
        <v>487</v>
      </c>
    </row>
    <row r="8" spans="1:3">
      <c r="A8" s="5"/>
      <c r="B8" s="176"/>
    </row>
    <row r="9" spans="1:3">
      <c r="A9" s="5"/>
      <c r="B9" s="176"/>
    </row>
    <row r="10" spans="1:3">
      <c r="A10" s="5"/>
      <c r="B10" s="137" t="s">
        <v>358</v>
      </c>
    </row>
    <row r="11" spans="1:3">
      <c r="B11" s="137" t="s">
        <v>354</v>
      </c>
    </row>
    <row r="12" spans="1:3">
      <c r="B12" s="137" t="s">
        <v>355</v>
      </c>
      <c r="C12" s="137" t="s">
        <v>356</v>
      </c>
    </row>
    <row r="13" spans="1:3">
      <c r="B13" s="137" t="s">
        <v>357</v>
      </c>
    </row>
    <row r="14" spans="1:3">
      <c r="B14" s="172" t="s">
        <v>481</v>
      </c>
      <c r="C14" s="172" t="s">
        <v>482</v>
      </c>
    </row>
    <row r="15" spans="1:3">
      <c r="B15" s="172" t="s">
        <v>483</v>
      </c>
    </row>
  </sheetData>
  <hyperlinks>
    <hyperlink ref="A1" location="Main!A1" display="Main" xr:uid="{33E3E6A7-4E0D-4E42-A768-3040828B041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65A7-531A-484D-A1B8-5616406C41D1}">
  <dimension ref="A2:X47"/>
  <sheetViews>
    <sheetView zoomScale="160" zoomScaleNormal="160" zoomScaleSheetLayoutView="100" workbookViewId="0">
      <pane xSplit="3" ySplit="3" topLeftCell="D4" activePane="bottomRight" state="frozen"/>
      <selection pane="topRight" activeCell="D1" sqref="D1"/>
      <selection pane="bottomLeft" activeCell="A30" sqref="A30"/>
      <selection pane="bottomRight" activeCell="D4" sqref="D4"/>
    </sheetView>
  </sheetViews>
  <sheetFormatPr baseColWidth="10" defaultColWidth="8.5" defaultRowHeight="13"/>
  <cols>
    <col min="1" max="1" width="1.5" style="20" customWidth="1"/>
    <col min="2" max="2" width="16.5" style="20" customWidth="1"/>
    <col min="3" max="3" width="10.6640625" style="20" customWidth="1"/>
    <col min="4" max="4" width="8.6640625" style="21" customWidth="1"/>
    <col min="5" max="5" width="10.33203125" style="22" customWidth="1"/>
    <col min="6" max="10" width="9.5" style="23" customWidth="1"/>
    <col min="11" max="15" width="8.5" style="24"/>
    <col min="16" max="16" width="8.5" style="25"/>
    <col min="17" max="18" width="8.5" style="24"/>
    <col min="19" max="19" width="8.5" style="26"/>
    <col min="20" max="20" width="8.5" style="25"/>
    <col min="21" max="22" width="8.5" style="24"/>
    <col min="23" max="23" width="8.5" style="26"/>
    <col min="24" max="16384" width="8.5" style="20"/>
  </cols>
  <sheetData>
    <row r="2" spans="1:24">
      <c r="L2" s="28">
        <f>AVERAGE(L4:L5)</f>
        <v>0.20041740331883851</v>
      </c>
      <c r="P2" s="29">
        <f>AVERAGE(P4:P5)</f>
        <v>26.242629111540076</v>
      </c>
      <c r="Q2" s="37">
        <f>AVERAGE(Q4:Q5)</f>
        <v>23.921213842707509</v>
      </c>
      <c r="R2" s="37">
        <f>AVERAGE(R4:R5)</f>
        <v>20.722347204381379</v>
      </c>
      <c r="S2" s="30">
        <f>AVERAGE(S4:S5)</f>
        <v>18.251491495442547</v>
      </c>
    </row>
    <row r="3" spans="1:24">
      <c r="B3" s="13" t="s">
        <v>0</v>
      </c>
      <c r="C3" s="14" t="s">
        <v>1</v>
      </c>
      <c r="D3" s="15" t="s">
        <v>2</v>
      </c>
      <c r="E3" s="16" t="s">
        <v>3</v>
      </c>
      <c r="F3" s="17" t="s">
        <v>4</v>
      </c>
      <c r="G3" s="17" t="s">
        <v>5</v>
      </c>
      <c r="H3" s="17" t="s">
        <v>221</v>
      </c>
      <c r="I3" s="17" t="s">
        <v>6</v>
      </c>
      <c r="J3" s="42" t="s">
        <v>232</v>
      </c>
      <c r="K3" s="18" t="s">
        <v>216</v>
      </c>
      <c r="L3" s="18" t="s">
        <v>220</v>
      </c>
      <c r="M3" s="18" t="s">
        <v>217</v>
      </c>
      <c r="N3" s="18" t="s">
        <v>218</v>
      </c>
      <c r="O3" s="19" t="s">
        <v>219</v>
      </c>
      <c r="P3" s="48" t="s">
        <v>237</v>
      </c>
      <c r="Q3" s="49" t="s">
        <v>238</v>
      </c>
      <c r="R3" s="49" t="s">
        <v>239</v>
      </c>
      <c r="S3" s="19">
        <v>2025</v>
      </c>
      <c r="T3" s="48" t="s">
        <v>236</v>
      </c>
      <c r="U3" s="18">
        <v>2023</v>
      </c>
      <c r="V3" s="18">
        <v>2024</v>
      </c>
      <c r="W3" s="19">
        <v>2025</v>
      </c>
      <c r="X3" s="20" t="s">
        <v>222</v>
      </c>
    </row>
    <row r="4" spans="1:24">
      <c r="A4" s="72" t="s">
        <v>261</v>
      </c>
      <c r="B4" s="114" t="s">
        <v>7</v>
      </c>
      <c r="C4" s="20" t="s">
        <v>8</v>
      </c>
      <c r="D4" s="21">
        <v>307.26</v>
      </c>
      <c r="E4" s="22">
        <f>D4*[1]Main!$L$3</f>
        <v>2296153.98</v>
      </c>
      <c r="F4" s="22">
        <f>[1]Main!$L$5-[1]Main!$L$6</f>
        <v>58489</v>
      </c>
      <c r="G4" s="22">
        <f>+E4-F4</f>
        <v>2237664.98</v>
      </c>
      <c r="H4" s="22">
        <f>+[1]Main!$L$3</f>
        <v>7473</v>
      </c>
      <c r="I4" s="175" t="s">
        <v>484</v>
      </c>
      <c r="J4" s="169">
        <v>45041</v>
      </c>
      <c r="K4" s="27">
        <f>+[1]Model!$BP$39</f>
        <v>269.58547667575527</v>
      </c>
      <c r="L4" s="28">
        <f>K4/D4-1</f>
        <v>-0.12261447413996196</v>
      </c>
      <c r="M4" s="28">
        <f>+[1]Model!$BP$35</f>
        <v>7.0000000000000007E-2</v>
      </c>
      <c r="N4" s="28">
        <f>+[1]Model!$BP$34</f>
        <v>0</v>
      </c>
      <c r="O4" s="115">
        <f>+[1]Model!$BP$36</f>
        <v>0.01</v>
      </c>
      <c r="P4" s="29">
        <f>+$G$4/$H$4/T4</f>
        <v>31.041226416860436</v>
      </c>
      <c r="Q4" s="30">
        <f t="shared" ref="Q4:S4" si="0">+$G$4/$H$4/U4</f>
        <v>30.329424348429917</v>
      </c>
      <c r="R4" s="30">
        <f t="shared" si="0"/>
        <v>26.673735708135101</v>
      </c>
      <c r="S4" s="31">
        <f t="shared" si="0"/>
        <v>23.876582290862881</v>
      </c>
      <c r="T4" s="32">
        <f>+[1]Model!$BE$32</f>
        <v>9.6463099263974534</v>
      </c>
      <c r="U4" s="27">
        <f>+[1]Model!$BF$32</f>
        <v>9.8726994311717835</v>
      </c>
      <c r="V4" s="27">
        <f>+[1]Model!$BG$32</f>
        <v>11.225772564777602</v>
      </c>
      <c r="W4" s="33">
        <f>+[1]Model!$BH$32</f>
        <v>12.540877369501043</v>
      </c>
      <c r="X4" s="20">
        <v>1975</v>
      </c>
    </row>
    <row r="5" spans="1:24">
      <c r="A5" s="72" t="s">
        <v>261</v>
      </c>
      <c r="B5" s="114" t="s">
        <v>9</v>
      </c>
      <c r="C5" s="20" t="s">
        <v>10</v>
      </c>
      <c r="D5" s="21">
        <v>108.22</v>
      </c>
      <c r="E5" s="22">
        <f>D5*[2]Main!$L$3</f>
        <v>1401124.34</v>
      </c>
      <c r="F5" s="22">
        <f>[2]Main!$L$5-[2]Main!$L$6</f>
        <v>129553</v>
      </c>
      <c r="G5" s="22">
        <f>+E5-F5</f>
        <v>1271571.3400000001</v>
      </c>
      <c r="H5" s="22">
        <f>[2]Main!$L$3</f>
        <v>12947</v>
      </c>
      <c r="I5" s="175" t="s">
        <v>484</v>
      </c>
      <c r="J5" s="43">
        <v>45041</v>
      </c>
      <c r="K5" s="27">
        <f>[2]Model!$AU$31</f>
        <v>164.8676811657561</v>
      </c>
      <c r="L5" s="28">
        <f>K5/D5-1</f>
        <v>0.52344928077763897</v>
      </c>
      <c r="M5" s="28">
        <f>[2]Model!$AU$28</f>
        <v>0.08</v>
      </c>
      <c r="N5" s="28">
        <f>[2]Model!$AU$27</f>
        <v>-0.01</v>
      </c>
      <c r="O5" s="115">
        <f>[2]Model!$AU$29</f>
        <v>0.01</v>
      </c>
      <c r="P5" s="29">
        <f>+$G$5/$H$5/T5</f>
        <v>21.444031806219719</v>
      </c>
      <c r="Q5" s="30">
        <f>+$G$5/$H$5/U5</f>
        <v>17.513003336985097</v>
      </c>
      <c r="R5" s="30">
        <f>+$G$5/$H$5/V5</f>
        <v>14.770958700627652</v>
      </c>
      <c r="S5" s="30">
        <f>+$G$5/$H$5/W5</f>
        <v>12.626400700022211</v>
      </c>
      <c r="T5" s="32">
        <f>[2]Model!$AJ$24</f>
        <v>4.5799964361174039</v>
      </c>
      <c r="U5" s="27">
        <f>[2]Model!$AK$24</f>
        <v>5.6080380594150139</v>
      </c>
      <c r="V5" s="27">
        <f>[2]Model!$AL$24</f>
        <v>6.6491005248224839</v>
      </c>
      <c r="W5" s="33">
        <f>[2]Model!$AM$24</f>
        <v>7.778431207897734</v>
      </c>
      <c r="X5" s="20">
        <v>1998</v>
      </c>
    </row>
    <row r="6" spans="1:24">
      <c r="A6" s="107" t="s">
        <v>261</v>
      </c>
      <c r="B6" s="114" t="s">
        <v>180</v>
      </c>
      <c r="C6" s="20" t="s">
        <v>181</v>
      </c>
      <c r="D6" s="41">
        <v>2651</v>
      </c>
      <c r="E6" s="22">
        <f>D6*H6/CAD</f>
        <v>43241.029887623161</v>
      </c>
      <c r="F6" s="22">
        <f>[3]Main!$O$5-[3]Main!$O$6</f>
        <v>-1163</v>
      </c>
      <c r="G6" s="22">
        <f>E6-F6</f>
        <v>44404.029887623161</v>
      </c>
      <c r="H6" s="22">
        <f>+[3]Main!$O$3</f>
        <v>21.19153</v>
      </c>
      <c r="I6" s="175" t="s">
        <v>390</v>
      </c>
      <c r="J6" s="43">
        <v>45047</v>
      </c>
      <c r="O6" s="26"/>
      <c r="X6" s="20">
        <v>1995</v>
      </c>
    </row>
    <row r="7" spans="1:24">
      <c r="A7" s="108" t="s">
        <v>261</v>
      </c>
      <c r="B7" s="114" t="s">
        <v>227</v>
      </c>
      <c r="C7" s="118" t="s">
        <v>228</v>
      </c>
      <c r="D7" s="21">
        <v>114.75</v>
      </c>
      <c r="E7" s="22">
        <f>D7*H7/SEK</f>
        <v>30022.838684416602</v>
      </c>
      <c r="F7" s="22">
        <f>([4]Main!$L$5-[4]Main!$L$6)*EUR</f>
        <v>-3389.8630000000003</v>
      </c>
      <c r="G7" s="22">
        <f>E7-F7</f>
        <v>33412.701684416599</v>
      </c>
      <c r="H7" s="22">
        <f>[4]Main!$L$3</f>
        <v>2706.2939999999999</v>
      </c>
      <c r="I7" s="189" t="s">
        <v>390</v>
      </c>
      <c r="J7" s="43">
        <v>45056</v>
      </c>
      <c r="O7" s="26"/>
      <c r="X7" s="20">
        <v>1992</v>
      </c>
    </row>
    <row r="8" spans="1:24">
      <c r="A8" s="90" t="s">
        <v>261</v>
      </c>
      <c r="B8" s="114" t="s">
        <v>38</v>
      </c>
      <c r="C8" s="20" t="s">
        <v>39</v>
      </c>
      <c r="D8" s="21">
        <v>120.61</v>
      </c>
      <c r="E8" s="22">
        <f>+D8*[5]Main!$L$3</f>
        <v>41715.983749999999</v>
      </c>
      <c r="F8" s="22">
        <f>([5]Main!$L$5-[5]Main!$L$6)/RMB</f>
        <v>25459.792284866468</v>
      </c>
      <c r="G8" s="22">
        <f>E8-F8</f>
        <v>16256.191465133532</v>
      </c>
      <c r="H8" s="22">
        <f>+[5]Main!$L$3</f>
        <v>345.875</v>
      </c>
      <c r="I8" s="23" t="s">
        <v>14</v>
      </c>
      <c r="O8" s="26"/>
      <c r="X8" s="20">
        <v>2000</v>
      </c>
    </row>
    <row r="9" spans="1:24">
      <c r="B9" s="120" t="s">
        <v>79</v>
      </c>
      <c r="C9" s="20" t="s">
        <v>182</v>
      </c>
      <c r="D9" s="21">
        <v>113.23</v>
      </c>
      <c r="E9" s="22">
        <v>33330</v>
      </c>
      <c r="O9" s="26"/>
      <c r="X9" s="20">
        <v>2007</v>
      </c>
    </row>
    <row r="10" spans="1:24">
      <c r="B10" s="120" t="s">
        <v>56</v>
      </c>
      <c r="C10" s="20" t="s">
        <v>57</v>
      </c>
      <c r="D10" s="21">
        <v>54.71</v>
      </c>
      <c r="E10" s="22">
        <v>28410</v>
      </c>
      <c r="O10" s="26"/>
      <c r="X10" s="20">
        <v>2009</v>
      </c>
    </row>
    <row r="11" spans="1:24">
      <c r="A11" s="111" t="s">
        <v>261</v>
      </c>
      <c r="B11" s="119" t="s">
        <v>321</v>
      </c>
      <c r="C11" s="111" t="s">
        <v>322</v>
      </c>
      <c r="D11" s="21">
        <v>46.37</v>
      </c>
      <c r="E11" s="22">
        <v>20860</v>
      </c>
      <c r="O11" s="26"/>
      <c r="X11" s="20">
        <v>1987</v>
      </c>
    </row>
    <row r="12" spans="1:24">
      <c r="B12" s="186" t="s">
        <v>69</v>
      </c>
      <c r="C12" s="64" t="s">
        <v>70</v>
      </c>
      <c r="D12" s="187">
        <v>360.34</v>
      </c>
      <c r="E12" s="188">
        <v>18140</v>
      </c>
      <c r="O12" s="26"/>
      <c r="X12" s="20">
        <v>2006</v>
      </c>
    </row>
    <row r="13" spans="1:24">
      <c r="B13" s="184" t="s">
        <v>515</v>
      </c>
      <c r="C13" s="185" t="s">
        <v>516</v>
      </c>
      <c r="O13" s="26"/>
    </row>
    <row r="14" spans="1:24">
      <c r="B14" s="184" t="s">
        <v>517</v>
      </c>
      <c r="C14" s="185" t="s">
        <v>518</v>
      </c>
      <c r="O14" s="26"/>
    </row>
    <row r="15" spans="1:24">
      <c r="B15" s="120" t="s">
        <v>73</v>
      </c>
      <c r="C15" s="20" t="s">
        <v>74</v>
      </c>
      <c r="D15" s="21">
        <v>43.75</v>
      </c>
      <c r="E15" s="22">
        <v>17180</v>
      </c>
      <c r="O15" s="26"/>
      <c r="X15" s="20">
        <v>2012</v>
      </c>
    </row>
    <row r="16" spans="1:24">
      <c r="B16" s="120" t="s">
        <v>79</v>
      </c>
      <c r="C16" s="20" t="s">
        <v>80</v>
      </c>
      <c r="D16" s="21">
        <v>40.44</v>
      </c>
      <c r="E16" s="22">
        <v>16810</v>
      </c>
      <c r="O16" s="26"/>
      <c r="X16" s="20">
        <v>2007</v>
      </c>
    </row>
    <row r="17" spans="2:24">
      <c r="B17" s="184" t="s">
        <v>540</v>
      </c>
      <c r="C17" s="185" t="s">
        <v>541</v>
      </c>
      <c r="O17" s="26"/>
    </row>
    <row r="18" spans="2:24">
      <c r="B18" s="120" t="s">
        <v>85</v>
      </c>
      <c r="C18" s="20" t="s">
        <v>86</v>
      </c>
      <c r="D18" s="21">
        <v>363.45</v>
      </c>
      <c r="E18" s="22">
        <v>15250</v>
      </c>
      <c r="O18" s="26"/>
      <c r="X18" s="20">
        <v>1966</v>
      </c>
    </row>
    <row r="19" spans="2:24">
      <c r="B19" s="120" t="s">
        <v>102</v>
      </c>
      <c r="C19" s="20" t="s">
        <v>103</v>
      </c>
      <c r="D19" s="21">
        <v>408.48</v>
      </c>
      <c r="E19" s="22">
        <v>10570</v>
      </c>
      <c r="O19" s="26"/>
    </row>
    <row r="20" spans="2:24">
      <c r="B20" s="120" t="s">
        <v>106</v>
      </c>
      <c r="C20" s="20" t="s">
        <v>107</v>
      </c>
      <c r="D20" s="21">
        <v>80.52</v>
      </c>
      <c r="E20" s="22">
        <v>10310</v>
      </c>
      <c r="O20" s="26"/>
      <c r="X20" s="20">
        <v>2007</v>
      </c>
    </row>
    <row r="21" spans="2:24">
      <c r="B21" s="120" t="s">
        <v>111</v>
      </c>
      <c r="C21" s="20" t="s">
        <v>112</v>
      </c>
      <c r="D21" s="21">
        <v>8.17</v>
      </c>
      <c r="E21" s="22">
        <v>9320</v>
      </c>
      <c r="O21" s="26"/>
    </row>
    <row r="22" spans="2:24">
      <c r="B22" s="120" t="s">
        <v>115</v>
      </c>
      <c r="C22" s="20" t="s">
        <v>116</v>
      </c>
      <c r="D22" s="21">
        <v>56.9</v>
      </c>
      <c r="E22" s="22">
        <v>9000</v>
      </c>
      <c r="O22" s="26"/>
    </row>
    <row r="23" spans="2:24">
      <c r="B23" s="120" t="s">
        <v>117</v>
      </c>
      <c r="C23" s="20" t="s">
        <v>118</v>
      </c>
      <c r="D23" s="21">
        <v>203.42</v>
      </c>
      <c r="E23" s="22">
        <v>8580</v>
      </c>
      <c r="O23" s="26"/>
      <c r="X23" s="20">
        <v>2003</v>
      </c>
    </row>
    <row r="24" spans="2:24">
      <c r="B24" s="120" t="s">
        <v>120</v>
      </c>
      <c r="C24" s="20" t="s">
        <v>121</v>
      </c>
      <c r="D24" s="21">
        <v>126.81</v>
      </c>
      <c r="E24" s="22">
        <v>8200</v>
      </c>
      <c r="O24" s="26"/>
    </row>
    <row r="25" spans="2:24">
      <c r="B25" s="120" t="s">
        <v>122</v>
      </c>
      <c r="C25" s="20" t="s">
        <v>123</v>
      </c>
      <c r="D25" s="21">
        <v>50.35</v>
      </c>
      <c r="E25" s="22">
        <v>8150</v>
      </c>
      <c r="O25" s="26"/>
    </row>
    <row r="26" spans="2:24">
      <c r="B26" s="120" t="s">
        <v>125</v>
      </c>
      <c r="C26" s="20" t="s">
        <v>126</v>
      </c>
      <c r="D26" s="21">
        <v>88.7</v>
      </c>
      <c r="E26" s="22">
        <v>7910</v>
      </c>
      <c r="O26" s="26"/>
    </row>
    <row r="27" spans="2:24">
      <c r="B27" s="120" t="s">
        <v>127</v>
      </c>
      <c r="C27" s="20" t="s">
        <v>128</v>
      </c>
      <c r="D27" s="21">
        <v>78.3</v>
      </c>
      <c r="E27" s="22">
        <v>7580</v>
      </c>
      <c r="O27" s="26"/>
      <c r="X27" s="20">
        <v>2012</v>
      </c>
    </row>
    <row r="28" spans="2:24">
      <c r="B28" s="120" t="s">
        <v>129</v>
      </c>
      <c r="C28" s="20" t="s">
        <v>130</v>
      </c>
      <c r="D28" s="21">
        <v>50.36</v>
      </c>
      <c r="E28" s="22">
        <v>7140</v>
      </c>
      <c r="O28" s="26"/>
    </row>
    <row r="29" spans="2:24">
      <c r="B29" s="120" t="s">
        <v>131</v>
      </c>
      <c r="C29" s="20" t="s">
        <v>132</v>
      </c>
      <c r="D29" s="21">
        <v>80.58</v>
      </c>
      <c r="E29" s="22">
        <v>6930</v>
      </c>
      <c r="O29" s="26"/>
    </row>
    <row r="30" spans="2:24">
      <c r="B30" s="120" t="s">
        <v>133</v>
      </c>
      <c r="C30" s="20" t="s">
        <v>134</v>
      </c>
      <c r="D30" s="21">
        <v>32.869999999999997</v>
      </c>
      <c r="E30" s="22">
        <v>6880</v>
      </c>
      <c r="O30" s="26"/>
    </row>
    <row r="31" spans="2:24">
      <c r="B31" s="120" t="s">
        <v>137</v>
      </c>
      <c r="C31" s="20" t="s">
        <v>138</v>
      </c>
      <c r="D31" s="21">
        <v>54.6</v>
      </c>
      <c r="E31" s="22">
        <v>6370</v>
      </c>
      <c r="O31" s="26"/>
    </row>
    <row r="32" spans="2:24">
      <c r="B32" s="120" t="s">
        <v>139</v>
      </c>
      <c r="C32" s="20" t="s">
        <v>140</v>
      </c>
      <c r="D32" s="21">
        <v>62.59</v>
      </c>
      <c r="E32" s="22">
        <v>6350</v>
      </c>
      <c r="O32" s="26"/>
    </row>
    <row r="33" spans="2:15">
      <c r="B33" s="120" t="s">
        <v>141</v>
      </c>
      <c r="C33" s="20" t="s">
        <v>141</v>
      </c>
      <c r="D33" s="21">
        <v>62.71</v>
      </c>
      <c r="E33" s="22">
        <v>3603</v>
      </c>
      <c r="O33" s="26"/>
    </row>
    <row r="34" spans="2:15">
      <c r="B34" s="120" t="s">
        <v>142</v>
      </c>
      <c r="C34" s="20" t="s">
        <v>143</v>
      </c>
      <c r="D34" s="21">
        <v>21.19</v>
      </c>
      <c r="E34" s="22">
        <v>2965</v>
      </c>
      <c r="O34" s="26"/>
    </row>
    <row r="35" spans="2:15">
      <c r="B35" s="120" t="s">
        <v>147</v>
      </c>
      <c r="C35" s="20" t="s">
        <v>148</v>
      </c>
      <c r="D35" s="21">
        <v>26.99</v>
      </c>
      <c r="E35" s="22">
        <v>1400</v>
      </c>
      <c r="O35" s="26"/>
    </row>
    <row r="36" spans="2:15">
      <c r="B36" s="121" t="s">
        <v>223</v>
      </c>
      <c r="C36" s="122" t="s">
        <v>224</v>
      </c>
      <c r="D36" s="21">
        <v>13.95</v>
      </c>
      <c r="E36" s="22">
        <v>2030</v>
      </c>
      <c r="O36" s="26"/>
    </row>
    <row r="37" spans="2:15">
      <c r="B37" s="121" t="s">
        <v>225</v>
      </c>
      <c r="C37" s="122" t="s">
        <v>226</v>
      </c>
      <c r="D37" s="21">
        <v>19.95</v>
      </c>
      <c r="E37" s="22">
        <v>2560</v>
      </c>
      <c r="O37" s="26"/>
    </row>
    <row r="38" spans="2:15">
      <c r="B38" s="123" t="s">
        <v>234</v>
      </c>
      <c r="C38" s="46" t="s">
        <v>235</v>
      </c>
      <c r="O38" s="26"/>
    </row>
    <row r="39" spans="2:15">
      <c r="B39" s="163" t="s">
        <v>406</v>
      </c>
      <c r="O39" s="26"/>
    </row>
    <row r="40" spans="2:15">
      <c r="B40" s="163" t="s">
        <v>407</v>
      </c>
      <c r="O40" s="26"/>
    </row>
    <row r="41" spans="2:15">
      <c r="B41" s="120"/>
      <c r="O41" s="26"/>
    </row>
    <row r="42" spans="2:15">
      <c r="B42" s="120"/>
      <c r="O42" s="26"/>
    </row>
    <row r="43" spans="2:15">
      <c r="B43" s="120"/>
      <c r="O43" s="26"/>
    </row>
    <row r="44" spans="2:15">
      <c r="B44" s="120"/>
      <c r="O44" s="26"/>
    </row>
    <row r="45" spans="2:15">
      <c r="B45" s="120"/>
      <c r="O45" s="26"/>
    </row>
    <row r="46" spans="2:15">
      <c r="B46" s="120"/>
      <c r="O46" s="26"/>
    </row>
    <row r="47" spans="2:15">
      <c r="B47" s="124"/>
      <c r="C47" s="125"/>
      <c r="D47" s="126"/>
      <c r="E47" s="127"/>
      <c r="F47" s="128"/>
      <c r="G47" s="128"/>
      <c r="H47" s="128"/>
      <c r="I47" s="128"/>
      <c r="J47" s="128"/>
      <c r="K47" s="129"/>
      <c r="L47" s="129"/>
      <c r="M47" s="129"/>
      <c r="N47" s="129"/>
      <c r="O47" s="130"/>
    </row>
  </sheetData>
  <hyperlinks>
    <hyperlink ref="B5" r:id="rId1" xr:uid="{3019DEB6-D8CA-4815-8BF6-407E9419A3F9}"/>
    <hyperlink ref="B8" r:id="rId2" xr:uid="{831B52E7-EF7A-4831-8425-59EAD7D0F934}"/>
    <hyperlink ref="B6" r:id="rId3" xr:uid="{BF4E9546-147A-4F10-92B1-A91E9292F4F6}"/>
    <hyperlink ref="B4" r:id="rId4" xr:uid="{8FE2D0E7-8B55-451A-A95B-7A06B5C1BDA4}"/>
    <hyperlink ref="B7" r:id="rId5" xr:uid="{B1E63D77-7B2A-465F-96ED-98ACEF7D4A6C}"/>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0FE3-503A-448B-BE6E-F545711F1B98}">
  <dimension ref="A1:X41"/>
  <sheetViews>
    <sheetView zoomScale="175" zoomScaleNormal="175" workbookViewId="0">
      <pane xSplit="2" ySplit="2" topLeftCell="C30" activePane="bottomRight" state="frozen"/>
      <selection pane="topRight" activeCell="C1" sqref="C1"/>
      <selection pane="bottomLeft" activeCell="A3" sqref="A3"/>
      <selection pane="bottomRight" activeCell="I38" sqref="I38"/>
    </sheetView>
  </sheetViews>
  <sheetFormatPr baseColWidth="10" defaultColWidth="9.1640625" defaultRowHeight="13"/>
  <cols>
    <col min="1" max="1" width="5" style="72" bestFit="1" customWidth="1"/>
    <col min="2" max="2" width="11" style="72" customWidth="1"/>
    <col min="3" max="4" width="9.1640625" style="72"/>
    <col min="5" max="5" width="10" style="72" customWidth="1"/>
    <col min="6" max="6" width="9.1640625" style="72"/>
    <col min="7" max="7" width="10.1640625" style="72" customWidth="1"/>
    <col min="8" max="9" width="9.1640625" style="72"/>
    <col min="10" max="10" width="10.83203125" style="72" customWidth="1"/>
    <col min="11" max="16384" width="9.1640625" style="72"/>
  </cols>
  <sheetData>
    <row r="1" spans="1:24">
      <c r="A1" s="5" t="s">
        <v>146</v>
      </c>
    </row>
    <row r="2" spans="1:24">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s="20" customFormat="1">
      <c r="A3" s="72" t="s">
        <v>261</v>
      </c>
      <c r="B3" s="114" t="s">
        <v>11</v>
      </c>
      <c r="C3" s="20" t="s">
        <v>12</v>
      </c>
      <c r="D3" s="21">
        <v>105.45</v>
      </c>
      <c r="E3" s="22">
        <f>+D3*[6]Main!$K$3</f>
        <v>1089403.95</v>
      </c>
      <c r="F3" s="22">
        <f>[6]Main!$K$5-[6]Main!$K$6</f>
        <v>-257</v>
      </c>
      <c r="G3" s="22">
        <f>+E3-F3</f>
        <v>1089660.95</v>
      </c>
      <c r="H3" s="22">
        <f>+[6]Main!$K$3</f>
        <v>10331</v>
      </c>
      <c r="I3" s="175" t="s">
        <v>484</v>
      </c>
      <c r="J3" s="43">
        <v>45047</v>
      </c>
      <c r="K3" s="27">
        <f>+[6]Model!$BL$48</f>
        <v>127.46157686951391</v>
      </c>
      <c r="L3" s="28">
        <f>K3/D3-1</f>
        <v>0.20873946770520524</v>
      </c>
      <c r="M3" s="36">
        <f>+[6]Model!$BL$44</f>
        <v>0.08</v>
      </c>
      <c r="N3" s="28">
        <f>+[6]Model!$BL$46</f>
        <v>0</v>
      </c>
      <c r="O3" s="115">
        <f>+[6]Model!$BL$45</f>
        <v>0.01</v>
      </c>
      <c r="P3" s="29">
        <f>+($G3/$H3)/T3</f>
        <v>204.14815850346861</v>
      </c>
      <c r="Q3" s="30">
        <f>+($G3/$H3)/U3</f>
        <v>64.314822911120359</v>
      </c>
      <c r="R3" s="30">
        <f>+($G3/$H3)/V3</f>
        <v>52.509160501491465</v>
      </c>
      <c r="S3" s="31">
        <f>+($G3/$H3)/W3</f>
        <v>30.15617086566083</v>
      </c>
      <c r="T3" s="32">
        <f>+[6]Model!$BA$33</f>
        <v>0.51665847665847664</v>
      </c>
      <c r="U3" s="27">
        <f>+[6]Model!$BB$33</f>
        <v>1.6399777191456466</v>
      </c>
      <c r="V3" s="27">
        <f>+[6]Model!$BC$33</f>
        <v>2.0086947796859072</v>
      </c>
      <c r="W3" s="33">
        <f>+[6]Model!$BD$33</f>
        <v>3.4976216660564408</v>
      </c>
      <c r="X3" s="20">
        <v>1994</v>
      </c>
    </row>
    <row r="4" spans="1:24" s="20" customFormat="1">
      <c r="A4" s="72" t="s">
        <v>261</v>
      </c>
      <c r="B4" s="5" t="s">
        <v>23</v>
      </c>
      <c r="C4" s="20" t="s">
        <v>24</v>
      </c>
      <c r="D4" s="21">
        <v>79.58</v>
      </c>
      <c r="E4" s="22">
        <f>+D4*[7]Main!$G$3</f>
        <v>220914.08</v>
      </c>
      <c r="F4" s="22">
        <f>+[7]Main!$G$5-[7]Main!$G$6</f>
        <v>-83042</v>
      </c>
      <c r="G4" s="22">
        <f>+E4-F4</f>
        <v>303956.07999999996</v>
      </c>
      <c r="H4" s="22">
        <f>+[7]Main!$G$3</f>
        <v>2776</v>
      </c>
      <c r="I4" s="140" t="s">
        <v>359</v>
      </c>
      <c r="J4" s="43">
        <v>44913</v>
      </c>
      <c r="K4" s="24"/>
      <c r="L4" s="24"/>
      <c r="M4" s="24"/>
      <c r="N4" s="24"/>
      <c r="O4" s="24"/>
      <c r="P4" s="25"/>
      <c r="Q4" s="24"/>
      <c r="R4" s="24"/>
      <c r="S4" s="26"/>
      <c r="T4" s="25"/>
      <c r="U4" s="24"/>
      <c r="V4" s="24"/>
      <c r="W4" s="26"/>
      <c r="X4" s="20">
        <v>1977</v>
      </c>
    </row>
    <row r="5" spans="1:24">
      <c r="A5" s="82" t="s">
        <v>261</v>
      </c>
      <c r="B5" s="5" t="s">
        <v>264</v>
      </c>
      <c r="C5" s="82" t="s">
        <v>264</v>
      </c>
      <c r="D5" s="161">
        <v>122</v>
      </c>
      <c r="E5" s="71">
        <f>D5*H5</f>
        <v>110781.54050800001</v>
      </c>
      <c r="F5" s="71">
        <f>[8]Main!$M$5-[8]Main!$M$6</f>
        <v>-36234</v>
      </c>
      <c r="G5" s="22">
        <f>E5-F5</f>
        <v>147015.54050800001</v>
      </c>
      <c r="H5" s="71">
        <f>[8]Main!$M$3</f>
        <v>908.04541400000005</v>
      </c>
      <c r="I5" s="189" t="s">
        <v>484</v>
      </c>
      <c r="J5" s="103">
        <v>45056</v>
      </c>
      <c r="X5" s="72">
        <v>1911</v>
      </c>
    </row>
    <row r="6" spans="1:24" s="20" customFormat="1">
      <c r="A6" s="82" t="s">
        <v>261</v>
      </c>
      <c r="B6" s="5" t="s">
        <v>21</v>
      </c>
      <c r="C6" s="20" t="s">
        <v>22</v>
      </c>
      <c r="D6" s="21">
        <v>146.88</v>
      </c>
      <c r="E6" s="22">
        <f>+D6*[9]Main!$M$3</f>
        <v>146880</v>
      </c>
      <c r="F6" s="22">
        <f>+[9]Main!$M$5-[9]Main!$M$6</f>
        <v>6442</v>
      </c>
      <c r="G6" s="22">
        <f t="shared" ref="G6:G9" si="0">E6-F6</f>
        <v>140438</v>
      </c>
      <c r="H6" s="22">
        <f>+[9]Main!$M$3</f>
        <v>1000</v>
      </c>
      <c r="I6" s="145" t="s">
        <v>359</v>
      </c>
      <c r="J6" s="43">
        <v>44946</v>
      </c>
      <c r="K6" s="27">
        <f>+[9]Model!$Z$38</f>
        <v>159.2157215866865</v>
      </c>
      <c r="L6" s="28">
        <f>+K6/D6-1</f>
        <v>8.3985032589096509E-2</v>
      </c>
      <c r="M6" s="28">
        <f>+[9]Model!$Z$36</f>
        <v>0.08</v>
      </c>
      <c r="N6" s="28">
        <f>+[9]Model!$Z$35</f>
        <v>0.01</v>
      </c>
      <c r="O6" s="28">
        <v>0</v>
      </c>
      <c r="P6" s="25"/>
      <c r="Q6" s="24"/>
      <c r="R6" s="24"/>
      <c r="S6" s="26"/>
      <c r="T6" s="25"/>
      <c r="U6" s="24"/>
      <c r="V6" s="24"/>
      <c r="W6" s="26"/>
      <c r="X6" s="20">
        <v>1999</v>
      </c>
    </row>
    <row r="7" spans="1:24" s="20" customFormat="1">
      <c r="A7" s="82" t="s">
        <v>261</v>
      </c>
      <c r="B7" s="5" t="s">
        <v>25</v>
      </c>
      <c r="C7" s="20" t="s">
        <v>25</v>
      </c>
      <c r="D7" s="21">
        <v>99.86</v>
      </c>
      <c r="E7" s="22">
        <f>+D7*[10]Main!$L$3</f>
        <v>117834.8</v>
      </c>
      <c r="F7" s="22">
        <f>+[10]Main!$L$5-[10]Main!$L$6</f>
        <v>870</v>
      </c>
      <c r="G7" s="22">
        <f t="shared" si="0"/>
        <v>116964.8</v>
      </c>
      <c r="H7" s="22"/>
      <c r="I7" s="23" t="s">
        <v>14</v>
      </c>
      <c r="J7" s="23"/>
      <c r="K7" s="24"/>
      <c r="L7" s="24"/>
      <c r="M7" s="24"/>
      <c r="N7" s="24"/>
      <c r="O7" s="24"/>
      <c r="P7" s="25"/>
      <c r="Q7" s="24"/>
      <c r="R7" s="24"/>
      <c r="S7" s="26"/>
      <c r="T7" s="25"/>
      <c r="U7" s="24"/>
      <c r="V7" s="24"/>
      <c r="W7" s="26"/>
      <c r="X7" s="20">
        <v>1972</v>
      </c>
    </row>
    <row r="8" spans="1:24" s="20" customFormat="1">
      <c r="A8" s="82" t="s">
        <v>261</v>
      </c>
      <c r="B8" s="5" t="s">
        <v>29</v>
      </c>
      <c r="C8" s="20" t="s">
        <v>30</v>
      </c>
      <c r="D8" s="21">
        <v>440</v>
      </c>
      <c r="E8" s="22">
        <f>+D8*[11]Main!$L$3</f>
        <v>88000</v>
      </c>
      <c r="F8" s="22">
        <f>+[11]Main!$L$5-[11]Main!$L$6</f>
        <v>3926</v>
      </c>
      <c r="G8" s="22">
        <f t="shared" si="0"/>
        <v>84074</v>
      </c>
      <c r="H8" s="22"/>
      <c r="I8" s="23" t="s">
        <v>14</v>
      </c>
      <c r="J8" s="23"/>
      <c r="K8" s="24"/>
      <c r="L8" s="24"/>
      <c r="M8" s="24"/>
      <c r="N8" s="24"/>
      <c r="O8" s="24"/>
      <c r="P8" s="25"/>
      <c r="Q8" s="24"/>
      <c r="R8" s="24"/>
      <c r="S8" s="26"/>
      <c r="T8" s="25"/>
      <c r="U8" s="24"/>
      <c r="V8" s="24"/>
      <c r="W8" s="26"/>
      <c r="X8" s="20">
        <v>2004</v>
      </c>
    </row>
    <row r="9" spans="1:24" s="20" customFormat="1">
      <c r="A9" s="94" t="s">
        <v>261</v>
      </c>
      <c r="B9" s="5" t="s">
        <v>185</v>
      </c>
      <c r="C9" s="20" t="s">
        <v>186</v>
      </c>
      <c r="D9" s="21">
        <v>122.42</v>
      </c>
      <c r="E9" s="22">
        <f>+D9*H9</f>
        <v>51593.343664439999</v>
      </c>
      <c r="F9" s="22">
        <f>+[12]Main!$M$5-[12]Main!$M$6</f>
        <v>-8207</v>
      </c>
      <c r="G9" s="22">
        <f t="shared" si="0"/>
        <v>59800.343664439999</v>
      </c>
      <c r="H9" s="22">
        <f>+[12]Main!$M$3</f>
        <v>421.445382</v>
      </c>
      <c r="I9" s="47" t="s">
        <v>14</v>
      </c>
      <c r="J9" s="23"/>
      <c r="K9" s="24"/>
      <c r="L9" s="24"/>
      <c r="M9" s="24"/>
      <c r="N9" s="24"/>
      <c r="O9" s="24"/>
      <c r="P9" s="25"/>
      <c r="Q9" s="24"/>
      <c r="R9" s="24"/>
      <c r="S9" s="26"/>
      <c r="T9" s="25"/>
      <c r="U9" s="24"/>
      <c r="V9" s="24"/>
      <c r="W9" s="26"/>
      <c r="X9" s="20">
        <v>1998</v>
      </c>
    </row>
    <row r="10" spans="1:24">
      <c r="A10" s="89" t="s">
        <v>261</v>
      </c>
      <c r="B10" s="5" t="s">
        <v>40</v>
      </c>
      <c r="C10" s="20" t="s">
        <v>41</v>
      </c>
      <c r="D10" s="21">
        <v>200.8</v>
      </c>
      <c r="E10" s="22">
        <f>+D10*[13]Main!$L$3</f>
        <v>50947.578400000006</v>
      </c>
      <c r="F10" s="22">
        <f>+[13]Main!$L$5-[13]Main!$L$6</f>
        <v>432.39900000000011</v>
      </c>
      <c r="G10" s="22">
        <f t="shared" ref="G10:G15" si="1">E10-F10</f>
        <v>50515.179400000008</v>
      </c>
      <c r="H10" s="22">
        <f>+[13]Main!$L$3</f>
        <v>253.72300000000001</v>
      </c>
      <c r="I10" s="34" t="s">
        <v>14</v>
      </c>
      <c r="J10" s="103">
        <v>45003</v>
      </c>
      <c r="X10" s="72">
        <v>2002</v>
      </c>
    </row>
    <row r="11" spans="1:24">
      <c r="A11" s="98" t="s">
        <v>261</v>
      </c>
      <c r="B11" s="5" t="s">
        <v>50</v>
      </c>
      <c r="C11" s="20" t="s">
        <v>51</v>
      </c>
      <c r="D11" s="21">
        <v>190</v>
      </c>
      <c r="E11" s="22">
        <f>+D11*H11</f>
        <v>47880</v>
      </c>
      <c r="F11" s="22">
        <f>+[14]Main!$P$5-[14]Main!$P$6</f>
        <v>2134</v>
      </c>
      <c r="G11" s="22">
        <f t="shared" si="1"/>
        <v>45746</v>
      </c>
      <c r="H11" s="23">
        <f>+[14]Main!$P$3</f>
        <v>252</v>
      </c>
      <c r="I11" s="156" t="s">
        <v>390</v>
      </c>
      <c r="J11" s="43">
        <v>45006</v>
      </c>
      <c r="X11" s="72">
        <v>2005</v>
      </c>
    </row>
    <row r="12" spans="1:24">
      <c r="A12" s="89" t="s">
        <v>261</v>
      </c>
      <c r="B12" s="5" t="s">
        <v>44</v>
      </c>
      <c r="C12" s="20" t="s">
        <v>45</v>
      </c>
      <c r="D12" s="21">
        <v>135.57</v>
      </c>
      <c r="E12" s="22">
        <f>+D12*[15]Main!$M$3</f>
        <v>42617.920769999997</v>
      </c>
      <c r="F12" s="22">
        <f>+[15]Main!$M$5-[15]Main!$M$6</f>
        <v>5027.4579999999996</v>
      </c>
      <c r="G12" s="22">
        <f t="shared" si="1"/>
        <v>37590.462769999998</v>
      </c>
      <c r="H12" s="22">
        <f>+[15]Main!$M$3</f>
        <v>314.36099999999999</v>
      </c>
      <c r="I12" s="35" t="s">
        <v>14</v>
      </c>
      <c r="X12" s="72">
        <v>2012</v>
      </c>
    </row>
    <row r="13" spans="1:24">
      <c r="A13" s="101" t="s">
        <v>261</v>
      </c>
      <c r="B13" s="5" t="s">
        <v>178</v>
      </c>
      <c r="C13" s="20" t="s">
        <v>179</v>
      </c>
      <c r="D13" s="21">
        <v>228.96</v>
      </c>
      <c r="E13" s="22">
        <f>+D13*H13</f>
        <v>35453.770264799998</v>
      </c>
      <c r="F13" s="22">
        <f>+[16]Main!$M$5-[16]Main!$M$6</f>
        <v>2838.5529999999999</v>
      </c>
      <c r="G13" s="22">
        <f t="shared" si="1"/>
        <v>32615.217264799998</v>
      </c>
      <c r="H13" s="22">
        <f>+[16]Main!$M$3</f>
        <v>154.847005</v>
      </c>
      <c r="I13" s="54" t="s">
        <v>14</v>
      </c>
      <c r="J13" s="43">
        <v>44794</v>
      </c>
      <c r="X13" s="72">
        <v>2007</v>
      </c>
    </row>
    <row r="14" spans="1:24">
      <c r="A14" s="105" t="s">
        <v>261</v>
      </c>
      <c r="B14" s="97" t="s">
        <v>304</v>
      </c>
      <c r="C14" s="105" t="s">
        <v>182</v>
      </c>
      <c r="D14" s="21">
        <v>70.599999999999994</v>
      </c>
      <c r="E14" s="22">
        <v>20740</v>
      </c>
      <c r="F14" s="22"/>
      <c r="G14" s="22"/>
      <c r="H14" s="22"/>
      <c r="I14" s="54"/>
      <c r="J14" s="43"/>
      <c r="X14" s="72">
        <v>2011</v>
      </c>
    </row>
    <row r="15" spans="1:24">
      <c r="A15" s="105" t="s">
        <v>261</v>
      </c>
      <c r="B15" s="5" t="s">
        <v>52</v>
      </c>
      <c r="C15" s="20" t="s">
        <v>53</v>
      </c>
      <c r="D15" s="21">
        <v>97</v>
      </c>
      <c r="E15" s="22">
        <f>+D15*H15</f>
        <v>30555</v>
      </c>
      <c r="F15" s="71">
        <f>+[17]Main!$O$5-[17]Main!$O$6</f>
        <v>970</v>
      </c>
      <c r="G15" s="22">
        <f t="shared" si="1"/>
        <v>29585</v>
      </c>
      <c r="H15" s="71">
        <f>+[17]Main!$O$3</f>
        <v>315</v>
      </c>
      <c r="I15" s="102" t="s">
        <v>208</v>
      </c>
      <c r="J15" s="103">
        <v>44805</v>
      </c>
      <c r="X15" s="72">
        <v>2010</v>
      </c>
    </row>
    <row r="16" spans="1:24">
      <c r="A16" s="105"/>
      <c r="B16" s="185" t="s">
        <v>523</v>
      </c>
      <c r="C16" s="185" t="s">
        <v>524</v>
      </c>
      <c r="D16" s="21"/>
      <c r="E16" s="22"/>
      <c r="F16" s="71"/>
      <c r="G16" s="22"/>
      <c r="H16" s="71"/>
      <c r="I16" s="102"/>
      <c r="J16" s="103"/>
    </row>
    <row r="17" spans="1:24">
      <c r="A17" s="105"/>
      <c r="B17" s="114" t="s">
        <v>152</v>
      </c>
      <c r="C17" s="20" t="s">
        <v>153</v>
      </c>
      <c r="D17" s="21">
        <v>9.35</v>
      </c>
      <c r="E17" s="22">
        <f>D17*[18]Main!$L$3</f>
        <v>19036.599999999999</v>
      </c>
      <c r="F17" s="22">
        <f>[18]Main!$L$5-[18]Main!$L$6</f>
        <v>2585</v>
      </c>
      <c r="G17" s="22">
        <f>E17-F17</f>
        <v>16451.599999999999</v>
      </c>
      <c r="H17" s="22"/>
      <c r="I17" s="23" t="s">
        <v>14</v>
      </c>
      <c r="J17" s="103"/>
    </row>
    <row r="18" spans="1:24">
      <c r="A18" s="105"/>
      <c r="B18" s="185" t="s">
        <v>525</v>
      </c>
      <c r="C18" s="185" t="s">
        <v>526</v>
      </c>
      <c r="D18" s="21"/>
      <c r="E18" s="22"/>
      <c r="F18" s="22"/>
      <c r="G18" s="22"/>
      <c r="H18" s="22"/>
      <c r="I18" s="23"/>
      <c r="J18" s="103"/>
    </row>
    <row r="19" spans="1:24" s="20" customFormat="1">
      <c r="B19" s="20" t="s">
        <v>67</v>
      </c>
      <c r="C19" s="20" t="s">
        <v>68</v>
      </c>
      <c r="D19" s="21">
        <v>90.1</v>
      </c>
      <c r="E19" s="22">
        <v>18840</v>
      </c>
      <c r="F19" s="23"/>
      <c r="G19" s="23"/>
      <c r="H19" s="23"/>
      <c r="I19" s="23"/>
      <c r="J19" s="23"/>
      <c r="K19" s="24"/>
      <c r="L19" s="24"/>
      <c r="M19" s="24"/>
      <c r="N19" s="24"/>
      <c r="O19" s="26"/>
      <c r="P19" s="25"/>
      <c r="Q19" s="24"/>
      <c r="R19" s="24"/>
      <c r="S19" s="26"/>
      <c r="T19" s="25"/>
      <c r="U19" s="24"/>
      <c r="V19" s="24"/>
      <c r="W19" s="26"/>
      <c r="X19" s="20">
        <v>2003</v>
      </c>
    </row>
    <row r="20" spans="1:24" s="20" customFormat="1">
      <c r="B20" s="142" t="s">
        <v>199</v>
      </c>
      <c r="C20" s="20" t="s">
        <v>200</v>
      </c>
      <c r="D20" s="21">
        <v>84</v>
      </c>
      <c r="E20" s="22">
        <f>+D20*H20</f>
        <v>13188</v>
      </c>
      <c r="F20" s="22">
        <f>+[19]Main!$P$5-[19]Main!$P$6</f>
        <v>282</v>
      </c>
      <c r="G20" s="22">
        <f>+E20-F20</f>
        <v>12906</v>
      </c>
      <c r="H20" s="22">
        <f>+[19]Main!$P$3</f>
        <v>157</v>
      </c>
      <c r="I20" s="100" t="s">
        <v>208</v>
      </c>
      <c r="J20" s="43">
        <v>44805</v>
      </c>
      <c r="K20" s="24"/>
      <c r="L20" s="24"/>
      <c r="M20" s="24"/>
      <c r="N20" s="24"/>
      <c r="O20" s="24"/>
      <c r="P20" s="25"/>
      <c r="Q20" s="24"/>
      <c r="R20" s="24"/>
      <c r="S20" s="26"/>
      <c r="T20" s="25"/>
      <c r="U20" s="24"/>
      <c r="V20" s="24"/>
      <c r="W20" s="26"/>
      <c r="X20" s="20">
        <v>2009</v>
      </c>
    </row>
    <row r="21" spans="1:24" s="20" customFormat="1">
      <c r="B21" s="20" t="s">
        <v>191</v>
      </c>
      <c r="C21" s="20" t="s">
        <v>192</v>
      </c>
      <c r="D21" s="21">
        <v>375.92</v>
      </c>
      <c r="E21" s="22">
        <v>25610</v>
      </c>
      <c r="F21" s="23"/>
      <c r="G21" s="23"/>
      <c r="H21" s="23"/>
      <c r="I21" s="23"/>
      <c r="J21" s="23"/>
      <c r="K21" s="24"/>
      <c r="L21" s="24"/>
      <c r="M21" s="24"/>
      <c r="N21" s="24"/>
      <c r="O21" s="26"/>
      <c r="P21" s="25"/>
      <c r="Q21" s="24"/>
      <c r="R21" s="24"/>
      <c r="S21" s="26"/>
      <c r="T21" s="25"/>
      <c r="U21" s="24"/>
      <c r="V21" s="24"/>
      <c r="W21" s="26"/>
      <c r="X21" s="20">
        <v>2007</v>
      </c>
    </row>
    <row r="22" spans="1:24" s="20" customFormat="1">
      <c r="B22" s="164" t="s">
        <v>408</v>
      </c>
      <c r="D22" s="21"/>
      <c r="E22" s="22">
        <v>7120</v>
      </c>
      <c r="F22" s="23"/>
      <c r="G22" s="23"/>
      <c r="H22" s="23"/>
      <c r="I22" s="23"/>
      <c r="J22" s="23"/>
      <c r="K22" s="24"/>
      <c r="L22" s="24"/>
      <c r="M22" s="24"/>
      <c r="N22" s="24"/>
      <c r="O22" s="24"/>
      <c r="P22" s="24"/>
      <c r="Q22" s="24"/>
      <c r="R22" s="24"/>
      <c r="S22" s="24"/>
      <c r="T22" s="24"/>
      <c r="U22" s="24"/>
      <c r="V22" s="24"/>
      <c r="W22" s="24"/>
    </row>
    <row r="23" spans="1:24">
      <c r="B23" s="133" t="s">
        <v>337</v>
      </c>
      <c r="C23" s="141" t="s">
        <v>384</v>
      </c>
      <c r="D23" s="72">
        <v>25.54</v>
      </c>
      <c r="E23" s="71">
        <v>4800</v>
      </c>
      <c r="X23" s="72">
        <v>2012</v>
      </c>
    </row>
    <row r="24" spans="1:24">
      <c r="B24" s="160" t="s">
        <v>397</v>
      </c>
      <c r="C24" s="160" t="s">
        <v>398</v>
      </c>
      <c r="D24" s="72">
        <v>10.88</v>
      </c>
      <c r="E24" s="71">
        <v>3000</v>
      </c>
    </row>
    <row r="25" spans="1:24">
      <c r="B25" s="120" t="s">
        <v>193</v>
      </c>
      <c r="C25" s="20" t="s">
        <v>194</v>
      </c>
      <c r="D25" s="21">
        <v>114.84</v>
      </c>
      <c r="E25" s="22">
        <v>17930</v>
      </c>
    </row>
    <row r="26" spans="1:24">
      <c r="B26" s="120" t="s">
        <v>95</v>
      </c>
      <c r="C26" s="20" t="s">
        <v>96</v>
      </c>
      <c r="D26" s="21">
        <v>43.77</v>
      </c>
      <c r="E26" s="22">
        <v>12660</v>
      </c>
    </row>
    <row r="27" spans="1:24">
      <c r="B27" s="120" t="s">
        <v>201</v>
      </c>
      <c r="C27" s="20" t="s">
        <v>202</v>
      </c>
      <c r="D27" s="21">
        <v>97.08</v>
      </c>
      <c r="E27" s="22">
        <v>15070</v>
      </c>
    </row>
    <row r="28" spans="1:24">
      <c r="B28" s="120" t="s">
        <v>94</v>
      </c>
      <c r="C28" s="20" t="s">
        <v>94</v>
      </c>
      <c r="D28" s="21">
        <v>206.68</v>
      </c>
      <c r="E28" s="22">
        <v>12990</v>
      </c>
    </row>
    <row r="29" spans="1:24">
      <c r="B29" s="120" t="s">
        <v>100</v>
      </c>
      <c r="C29" s="20" t="s">
        <v>101</v>
      </c>
      <c r="D29" s="21">
        <v>40.369999999999997</v>
      </c>
      <c r="E29" s="22">
        <v>11000</v>
      </c>
    </row>
    <row r="30" spans="1:24">
      <c r="B30" s="120" t="s">
        <v>113</v>
      </c>
      <c r="C30" s="20" t="s">
        <v>114</v>
      </c>
      <c r="D30" s="21">
        <v>14.73</v>
      </c>
      <c r="E30" s="22">
        <v>9140</v>
      </c>
    </row>
    <row r="31" spans="1:24">
      <c r="B31" s="185" t="s">
        <v>533</v>
      </c>
      <c r="C31" s="185" t="s">
        <v>534</v>
      </c>
      <c r="D31" s="21"/>
      <c r="E31" s="22"/>
    </row>
    <row r="32" spans="1:24">
      <c r="B32" s="185" t="s">
        <v>535</v>
      </c>
      <c r="C32" s="185" t="s">
        <v>536</v>
      </c>
      <c r="D32" s="21"/>
      <c r="E32" s="22"/>
    </row>
    <row r="33" spans="2:9">
      <c r="B33" s="185" t="s">
        <v>537</v>
      </c>
      <c r="C33" s="185" t="s">
        <v>90</v>
      </c>
      <c r="D33" s="21"/>
      <c r="E33" s="22"/>
    </row>
    <row r="34" spans="2:9">
      <c r="B34" s="120" t="s">
        <v>195</v>
      </c>
      <c r="C34" s="20" t="s">
        <v>196</v>
      </c>
      <c r="D34" s="21">
        <v>87.46</v>
      </c>
      <c r="E34" s="22">
        <v>16020</v>
      </c>
    </row>
    <row r="35" spans="2:9">
      <c r="B35" s="185"/>
      <c r="C35" s="20"/>
      <c r="D35" s="21"/>
      <c r="E35" s="22"/>
    </row>
    <row r="36" spans="2:9">
      <c r="B36" s="95" t="s">
        <v>256</v>
      </c>
      <c r="I36" s="165" t="s">
        <v>222</v>
      </c>
    </row>
    <row r="37" spans="2:9">
      <c r="B37" s="165" t="s">
        <v>426</v>
      </c>
      <c r="E37" s="72">
        <v>30000</v>
      </c>
      <c r="I37" s="219" t="s">
        <v>1817</v>
      </c>
    </row>
    <row r="38" spans="2:9">
      <c r="B38" s="165" t="s">
        <v>469</v>
      </c>
      <c r="E38" s="72">
        <v>10000</v>
      </c>
      <c r="F38" s="165" t="s">
        <v>471</v>
      </c>
      <c r="G38" s="165" t="s">
        <v>470</v>
      </c>
      <c r="H38" s="165" t="s">
        <v>472</v>
      </c>
      <c r="I38" s="72">
        <v>2013</v>
      </c>
    </row>
    <row r="39" spans="2:9">
      <c r="B39" s="165" t="s">
        <v>124</v>
      </c>
      <c r="E39" s="72">
        <v>10000</v>
      </c>
      <c r="F39" s="165"/>
      <c r="G39" s="165"/>
      <c r="H39" s="165"/>
    </row>
    <row r="40" spans="2:9">
      <c r="B40" s="185" t="s">
        <v>99</v>
      </c>
      <c r="E40" s="72">
        <v>12000</v>
      </c>
    </row>
    <row r="41" spans="2:9">
      <c r="B41" s="94" t="s">
        <v>284</v>
      </c>
      <c r="E41" s="72">
        <v>107</v>
      </c>
    </row>
  </sheetData>
  <hyperlinks>
    <hyperlink ref="A1" location="Main!A1" display="Main" xr:uid="{0503292A-659C-4A72-B97D-834713EC5785}"/>
    <hyperlink ref="B4" r:id="rId1" xr:uid="{8490DBEA-18EF-431F-AAE9-5080FB55647A}"/>
    <hyperlink ref="B6" r:id="rId2" xr:uid="{82160796-EF8E-4F69-8090-C97619BD3BC8}"/>
    <hyperlink ref="B7" r:id="rId3" xr:uid="{2964D309-6110-46D1-A6FF-CEF55CE8C8F6}"/>
    <hyperlink ref="B8" r:id="rId4" xr:uid="{BEBE7C2C-69F7-4F68-A1A3-433A555515CF}"/>
    <hyperlink ref="B9" r:id="rId5" xr:uid="{79E0FB94-7B29-4FC8-9D4A-2DAAB02B450C}"/>
    <hyperlink ref="B10" r:id="rId6" xr:uid="{1647F4E6-0995-4C11-AEA1-85BE3B2789D3}"/>
    <hyperlink ref="B11" r:id="rId7" xr:uid="{11F6BC32-0B71-4C3C-92D4-6F1D15C6FCA5}"/>
    <hyperlink ref="B12" r:id="rId8" xr:uid="{BF5095B8-6956-4116-AD45-B06C94DC5EDF}"/>
    <hyperlink ref="B20" r:id="rId9" xr:uid="{1147CFA9-6647-443A-9626-FE00F78AE9FF}"/>
    <hyperlink ref="B15" r:id="rId10" xr:uid="{EE794379-CBE0-4BE4-963F-4A3EB8F86626}"/>
    <hyperlink ref="B13" r:id="rId11" xr:uid="{6424F2CF-2B61-4808-95C3-62B06E9F6361}"/>
    <hyperlink ref="B3" r:id="rId12" xr:uid="{D0A6A308-9256-4523-8FDF-BCE2AFB11B6E}"/>
    <hyperlink ref="B17" r:id="rId13" xr:uid="{5A1A0BF1-1F9D-453A-8615-32812BE41A68}"/>
    <hyperlink ref="B5" r:id="rId14" xr:uid="{8D7A6B6F-FFD2-4631-8D7D-1F8872005ED8}"/>
  </hyperlinks>
  <pageMargins left="0.7" right="0.7" top="0.75" bottom="0.75" header="0.3" footer="0.3"/>
  <pageSetup orientation="portrait" horizontalDpi="1200" verticalDpi="1200"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F58CA-3A5E-4A8C-A323-FDAA45D59D23}">
  <dimension ref="A1:Z54"/>
  <sheetViews>
    <sheetView zoomScale="220" zoomScaleNormal="220"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9.1640625" defaultRowHeight="13"/>
  <cols>
    <col min="1" max="1" width="5" style="63" bestFit="1" customWidth="1"/>
    <col min="2" max="2" width="12" style="63" customWidth="1"/>
    <col min="3" max="3" width="11.6640625" style="63" customWidth="1"/>
    <col min="4" max="9" width="9.1640625" style="63"/>
    <col min="10" max="10" width="10.83203125" style="63" customWidth="1"/>
    <col min="11" max="16384" width="9.1640625" style="63"/>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49" t="s">
        <v>238</v>
      </c>
      <c r="R2" s="49" t="s">
        <v>239</v>
      </c>
      <c r="S2" s="19">
        <v>2025</v>
      </c>
      <c r="T2" s="48" t="s">
        <v>236</v>
      </c>
      <c r="U2" s="18">
        <v>2023</v>
      </c>
      <c r="V2" s="18">
        <v>2024</v>
      </c>
      <c r="W2" s="19">
        <v>2025</v>
      </c>
      <c r="X2" s="20" t="s">
        <v>222</v>
      </c>
      <c r="Y2" s="181" t="s">
        <v>511</v>
      </c>
      <c r="Z2" s="181" t="s">
        <v>512</v>
      </c>
    </row>
    <row r="3" spans="1:26" s="20" customFormat="1">
      <c r="A3" s="72" t="s">
        <v>261</v>
      </c>
      <c r="B3" s="5" t="s">
        <v>13</v>
      </c>
      <c r="C3" s="20" t="s">
        <v>203</v>
      </c>
      <c r="D3" s="21">
        <v>210</v>
      </c>
      <c r="E3" s="22">
        <f>+D3*[20]Main!$M$3</f>
        <v>556825.22154000006</v>
      </c>
      <c r="F3" s="22">
        <f>+[20]Main!$M$5-[20]Main!$M$6</f>
        <v>38382</v>
      </c>
      <c r="G3" s="22">
        <f t="shared" ref="G3:G4" si="0">+E3-F3</f>
        <v>518443.22154000006</v>
      </c>
      <c r="H3" s="22">
        <f>+[20]Main!$M$3</f>
        <v>2651.5486740000001</v>
      </c>
      <c r="I3" s="138" t="s">
        <v>359</v>
      </c>
      <c r="J3" s="43">
        <v>44959</v>
      </c>
      <c r="K3" s="27">
        <f>+[20]Model!$AX$53</f>
        <v>215.87667010339968</v>
      </c>
      <c r="L3" s="28">
        <f>K3/D3-1</f>
        <v>2.7984143349522261E-2</v>
      </c>
      <c r="M3" s="28">
        <f>+[20]Model!$AX$50</f>
        <v>0.08</v>
      </c>
      <c r="N3" s="28">
        <f>+[20]Model!$AX$51</f>
        <v>-0.05</v>
      </c>
      <c r="O3" s="28">
        <f>+[20]Model!$AX$52</f>
        <v>0.02</v>
      </c>
      <c r="P3" s="25"/>
      <c r="Q3" s="24"/>
      <c r="R3" s="24"/>
      <c r="S3" s="26"/>
      <c r="T3" s="25"/>
      <c r="U3" s="24"/>
      <c r="V3" s="24"/>
      <c r="W3" s="26"/>
      <c r="X3" s="20">
        <v>2004</v>
      </c>
      <c r="Y3" s="20">
        <v>3810</v>
      </c>
      <c r="Z3" s="182">
        <f>G3/Y3</f>
        <v>136.07433636220475</v>
      </c>
    </row>
    <row r="4" spans="1:26" s="20" customFormat="1">
      <c r="A4" s="72" t="s">
        <v>261</v>
      </c>
      <c r="B4" s="5" t="s">
        <v>15</v>
      </c>
      <c r="C4" s="20" t="s">
        <v>16</v>
      </c>
      <c r="D4" s="21">
        <v>277.39999999999998</v>
      </c>
      <c r="E4" s="22">
        <f>+D4*[21]Main!$L$3*1000/HKD</f>
        <v>341793.77818543144</v>
      </c>
      <c r="F4" s="22">
        <f>([21]Main!$L$5-[21]Main!$L$6)/HKD*1000</f>
        <v>81912.914978725574</v>
      </c>
      <c r="G4" s="22">
        <f t="shared" si="0"/>
        <v>259880.86320670586</v>
      </c>
      <c r="H4" s="22">
        <f>+[21]Main!$L$3*1000</f>
        <v>9672</v>
      </c>
      <c r="I4" s="116" t="s">
        <v>208</v>
      </c>
      <c r="J4" s="43">
        <v>44802</v>
      </c>
      <c r="K4" s="24"/>
      <c r="L4" s="24"/>
      <c r="M4" s="24"/>
      <c r="N4" s="24"/>
      <c r="O4" s="24"/>
      <c r="P4" s="25"/>
      <c r="Q4" s="24"/>
      <c r="R4" s="24"/>
      <c r="S4" s="26"/>
      <c r="T4" s="25"/>
      <c r="U4" s="24"/>
      <c r="V4" s="24"/>
      <c r="W4" s="26"/>
      <c r="X4" s="20">
        <v>1998</v>
      </c>
    </row>
    <row r="5" spans="1:26" s="20" customFormat="1">
      <c r="A5" s="96" t="s">
        <v>261</v>
      </c>
      <c r="B5" s="97" t="s">
        <v>289</v>
      </c>
      <c r="C5" s="96" t="s">
        <v>290</v>
      </c>
      <c r="D5" s="21"/>
      <c r="E5" s="22"/>
      <c r="F5" s="22"/>
      <c r="G5" s="22"/>
      <c r="H5" s="22"/>
      <c r="I5" s="23"/>
      <c r="J5" s="23"/>
      <c r="K5" s="24"/>
      <c r="L5" s="24"/>
      <c r="M5" s="24"/>
      <c r="N5" s="24"/>
      <c r="O5" s="24"/>
      <c r="P5" s="25"/>
      <c r="Q5" s="24"/>
      <c r="R5" s="24"/>
      <c r="S5" s="26"/>
      <c r="T5" s="25"/>
      <c r="U5" s="24"/>
      <c r="V5" s="24"/>
      <c r="W5" s="26"/>
      <c r="X5" s="20">
        <v>2011</v>
      </c>
    </row>
    <row r="6" spans="1:26" s="20" customFormat="1">
      <c r="A6" s="135" t="s">
        <v>261</v>
      </c>
      <c r="B6" s="135" t="s">
        <v>338</v>
      </c>
      <c r="C6" s="135" t="s">
        <v>339</v>
      </c>
      <c r="D6" s="21"/>
      <c r="E6" s="22"/>
      <c r="F6" s="23"/>
      <c r="G6" s="23"/>
      <c r="H6" s="23"/>
      <c r="I6" s="23"/>
      <c r="J6" s="23"/>
      <c r="K6" s="24"/>
      <c r="L6" s="24"/>
      <c r="M6" s="24"/>
      <c r="N6" s="24"/>
      <c r="O6" s="24"/>
      <c r="P6" s="24"/>
      <c r="Q6" s="24"/>
      <c r="R6" s="24"/>
      <c r="S6" s="24"/>
      <c r="T6" s="24"/>
      <c r="U6" s="24"/>
      <c r="V6" s="24"/>
      <c r="W6" s="24"/>
      <c r="X6" s="20">
        <v>2010</v>
      </c>
    </row>
    <row r="7" spans="1:26" s="20" customFormat="1">
      <c r="A7" s="107" t="s">
        <v>261</v>
      </c>
      <c r="B7" s="142" t="s">
        <v>307</v>
      </c>
      <c r="C7" s="107" t="s">
        <v>308</v>
      </c>
      <c r="D7" s="22">
        <v>193500</v>
      </c>
      <c r="E7" s="22">
        <v>33330</v>
      </c>
      <c r="F7" s="22"/>
      <c r="G7" s="22">
        <f>E7-F7</f>
        <v>33330</v>
      </c>
      <c r="H7" s="22"/>
      <c r="I7" s="23"/>
      <c r="J7" s="43"/>
      <c r="K7" s="24"/>
      <c r="L7" s="24"/>
      <c r="M7" s="24"/>
      <c r="N7" s="24"/>
      <c r="O7" s="26"/>
      <c r="P7" s="25"/>
      <c r="Q7" s="24"/>
      <c r="R7" s="24"/>
      <c r="S7" s="26"/>
      <c r="T7" s="25"/>
      <c r="U7" s="24"/>
      <c r="V7" s="24"/>
      <c r="W7" s="26"/>
      <c r="X7" s="20">
        <v>1999</v>
      </c>
    </row>
    <row r="8" spans="1:26" s="20" customFormat="1">
      <c r="A8" s="143" t="s">
        <v>261</v>
      </c>
      <c r="B8" s="142" t="s">
        <v>385</v>
      </c>
      <c r="C8" s="143" t="s">
        <v>386</v>
      </c>
      <c r="D8" s="21">
        <v>12</v>
      </c>
      <c r="E8" s="22">
        <f>+D8*H8</f>
        <v>19357.212852000001</v>
      </c>
      <c r="F8" s="148">
        <f>+[22]Main!$L$5-[22]Main!$L$6</f>
        <v>688.14800000000014</v>
      </c>
      <c r="G8" s="22">
        <f>E8-F8</f>
        <v>18669.064852</v>
      </c>
      <c r="H8" s="22">
        <f>+[22]Main!$L$3</f>
        <v>1613.101071</v>
      </c>
      <c r="I8" s="147" t="s">
        <v>208</v>
      </c>
      <c r="J8" s="43">
        <v>44802</v>
      </c>
      <c r="K8" s="24"/>
      <c r="L8" s="24"/>
      <c r="M8" s="24"/>
      <c r="N8" s="24"/>
      <c r="O8" s="24"/>
      <c r="P8" s="24"/>
      <c r="Q8" s="24"/>
      <c r="R8" s="24"/>
      <c r="S8" s="24"/>
      <c r="T8" s="24"/>
      <c r="U8" s="24"/>
      <c r="V8" s="24"/>
      <c r="W8" s="24"/>
      <c r="Y8" s="20">
        <v>375</v>
      </c>
      <c r="Z8" s="182">
        <f>G8/Y8</f>
        <v>49.784172938666664</v>
      </c>
    </row>
    <row r="9" spans="1:26" s="20" customFormat="1">
      <c r="B9" s="96" t="s">
        <v>287</v>
      </c>
      <c r="C9" s="96" t="s">
        <v>288</v>
      </c>
      <c r="D9" s="21"/>
      <c r="E9" s="22"/>
      <c r="F9" s="23"/>
      <c r="G9" s="23"/>
      <c r="H9" s="23"/>
      <c r="I9" s="23"/>
      <c r="J9" s="23"/>
      <c r="K9" s="24"/>
      <c r="L9" s="24"/>
      <c r="M9" s="24"/>
      <c r="N9" s="24"/>
      <c r="O9" s="24"/>
      <c r="P9" s="24"/>
      <c r="Q9" s="24"/>
      <c r="R9" s="24"/>
      <c r="S9" s="24"/>
      <c r="T9" s="24"/>
      <c r="U9" s="24"/>
      <c r="V9" s="24"/>
      <c r="W9" s="24"/>
      <c r="X9" s="20">
        <v>2008</v>
      </c>
    </row>
    <row r="10" spans="1:26" s="20" customFormat="1">
      <c r="B10" s="96" t="s">
        <v>291</v>
      </c>
      <c r="C10" s="96" t="s">
        <v>292</v>
      </c>
      <c r="D10" s="21"/>
      <c r="E10" s="22"/>
      <c r="F10" s="23"/>
      <c r="G10" s="23"/>
      <c r="H10" s="23"/>
      <c r="I10" s="23"/>
      <c r="J10" s="23"/>
      <c r="K10" s="24"/>
      <c r="L10" s="24"/>
      <c r="M10" s="24"/>
      <c r="N10" s="24"/>
      <c r="O10" s="24"/>
      <c r="P10" s="24"/>
      <c r="Q10" s="24"/>
      <c r="R10" s="24"/>
      <c r="S10" s="24"/>
      <c r="T10" s="24"/>
      <c r="U10" s="24"/>
      <c r="V10" s="24"/>
      <c r="W10" s="24"/>
      <c r="X10" s="20">
        <v>2009</v>
      </c>
    </row>
    <row r="11" spans="1:26" s="20" customFormat="1">
      <c r="B11" s="181" t="s">
        <v>77</v>
      </c>
      <c r="C11" s="96"/>
      <c r="D11" s="21"/>
      <c r="E11" s="22"/>
      <c r="F11" s="23"/>
      <c r="G11" s="23"/>
      <c r="H11" s="23"/>
      <c r="I11" s="23"/>
      <c r="J11" s="23"/>
      <c r="K11" s="24"/>
      <c r="L11" s="24"/>
      <c r="M11" s="24"/>
      <c r="N11" s="24"/>
      <c r="O11" s="24"/>
      <c r="P11" s="24"/>
      <c r="Q11" s="24"/>
      <c r="R11" s="24"/>
      <c r="S11" s="24"/>
      <c r="T11" s="24"/>
      <c r="U11" s="24"/>
      <c r="V11" s="24"/>
      <c r="W11" s="24"/>
    </row>
    <row r="12" spans="1:26" s="20" customFormat="1">
      <c r="B12" s="132" t="s">
        <v>327</v>
      </c>
      <c r="C12" s="132" t="s">
        <v>328</v>
      </c>
      <c r="D12" s="21"/>
      <c r="E12" s="22"/>
      <c r="F12" s="23"/>
      <c r="G12" s="23"/>
      <c r="H12" s="23"/>
      <c r="I12" s="23"/>
      <c r="J12" s="23"/>
      <c r="K12" s="24"/>
      <c r="L12" s="24"/>
      <c r="M12" s="24"/>
      <c r="N12" s="24"/>
      <c r="O12" s="24"/>
      <c r="P12" s="24"/>
      <c r="Q12" s="24"/>
      <c r="R12" s="24"/>
      <c r="S12" s="24"/>
      <c r="T12" s="24"/>
      <c r="U12" s="24"/>
      <c r="V12" s="24"/>
      <c r="W12" s="24"/>
    </row>
    <row r="13" spans="1:26" s="20" customFormat="1">
      <c r="B13" s="132" t="s">
        <v>133</v>
      </c>
      <c r="C13" s="132" t="s">
        <v>134</v>
      </c>
      <c r="D13" s="21"/>
      <c r="E13" s="22"/>
      <c r="F13" s="23"/>
      <c r="G13" s="23"/>
      <c r="H13" s="23"/>
      <c r="I13" s="23"/>
      <c r="J13" s="23"/>
      <c r="K13" s="24"/>
      <c r="L13" s="24"/>
      <c r="M13" s="24"/>
      <c r="N13" s="24"/>
      <c r="O13" s="24"/>
      <c r="P13" s="24"/>
      <c r="Q13" s="24"/>
      <c r="R13" s="24"/>
      <c r="S13" s="24"/>
      <c r="T13" s="24"/>
      <c r="U13" s="24"/>
      <c r="V13" s="24"/>
      <c r="W13" s="24"/>
    </row>
    <row r="14" spans="1:26" s="20" customFormat="1">
      <c r="B14" s="139" t="s">
        <v>368</v>
      </c>
      <c r="C14" s="132"/>
      <c r="D14" s="21"/>
      <c r="E14" s="22"/>
      <c r="F14" s="23"/>
      <c r="G14" s="23"/>
      <c r="H14" s="23"/>
      <c r="I14" s="23"/>
      <c r="J14" s="23"/>
      <c r="K14" s="24"/>
      <c r="L14" s="24"/>
      <c r="M14" s="24"/>
      <c r="N14" s="24"/>
      <c r="O14" s="24"/>
      <c r="P14" s="24"/>
      <c r="Q14" s="24"/>
      <c r="R14" s="24"/>
      <c r="S14" s="24"/>
      <c r="T14" s="24"/>
      <c r="U14" s="24"/>
      <c r="V14" s="24"/>
      <c r="W14" s="24"/>
    </row>
    <row r="15" spans="1:26">
      <c r="B15" s="132" t="s">
        <v>332</v>
      </c>
      <c r="C15" s="132" t="s">
        <v>333</v>
      </c>
    </row>
    <row r="16" spans="1:26" s="20" customFormat="1">
      <c r="B16" s="5"/>
      <c r="D16" s="21"/>
      <c r="E16" s="22"/>
      <c r="F16" s="22"/>
      <c r="G16" s="22"/>
      <c r="H16" s="22"/>
      <c r="I16" s="23"/>
      <c r="J16" s="23"/>
      <c r="K16" s="24"/>
      <c r="L16" s="24"/>
      <c r="M16" s="24"/>
      <c r="N16" s="24"/>
      <c r="O16" s="24"/>
      <c r="P16" s="24"/>
      <c r="Q16" s="24"/>
      <c r="R16" s="24"/>
      <c r="S16" s="24"/>
      <c r="T16" s="24"/>
      <c r="U16" s="24"/>
      <c r="V16" s="24"/>
      <c r="W16" s="24"/>
    </row>
    <row r="17" spans="2:8">
      <c r="B17" s="64" t="s">
        <v>256</v>
      </c>
      <c r="F17" s="193" t="s">
        <v>222</v>
      </c>
    </row>
    <row r="18" spans="2:8">
      <c r="B18" s="96" t="s">
        <v>286</v>
      </c>
      <c r="E18" s="170">
        <v>400000</v>
      </c>
    </row>
    <row r="19" spans="2:8">
      <c r="B19" s="63" t="s">
        <v>255</v>
      </c>
      <c r="E19" s="170">
        <v>30000</v>
      </c>
    </row>
    <row r="20" spans="2:8">
      <c r="B20" s="20" t="s">
        <v>169</v>
      </c>
      <c r="C20" s="20" t="s">
        <v>170</v>
      </c>
      <c r="D20" s="21">
        <v>44.5</v>
      </c>
      <c r="E20" s="22">
        <v>34050</v>
      </c>
    </row>
    <row r="21" spans="2:8">
      <c r="B21" s="132" t="s">
        <v>326</v>
      </c>
      <c r="E21" s="170">
        <v>14500</v>
      </c>
      <c r="F21" s="63">
        <v>2015</v>
      </c>
      <c r="H21" s="192" t="s">
        <v>608</v>
      </c>
    </row>
    <row r="22" spans="2:8">
      <c r="B22" s="192" t="s">
        <v>330</v>
      </c>
      <c r="E22" s="170">
        <v>10000</v>
      </c>
    </row>
    <row r="23" spans="2:8">
      <c r="B23" s="192" t="s">
        <v>601</v>
      </c>
      <c r="E23" s="170"/>
      <c r="F23" s="63">
        <v>2021</v>
      </c>
    </row>
    <row r="24" spans="2:8">
      <c r="B24" s="192" t="s">
        <v>607</v>
      </c>
      <c r="E24" s="63">
        <v>1000</v>
      </c>
      <c r="H24" s="192" t="s">
        <v>609</v>
      </c>
    </row>
    <row r="25" spans="2:8">
      <c r="B25" s="63" t="s">
        <v>254</v>
      </c>
      <c r="E25" s="63">
        <v>200</v>
      </c>
    </row>
    <row r="26" spans="2:8">
      <c r="B26" s="132" t="s">
        <v>329</v>
      </c>
    </row>
    <row r="27" spans="2:8">
      <c r="B27" s="132" t="s">
        <v>331</v>
      </c>
    </row>
    <row r="28" spans="2:8">
      <c r="B28" s="132" t="s">
        <v>334</v>
      </c>
    </row>
    <row r="29" spans="2:8">
      <c r="B29" s="132" t="s">
        <v>335</v>
      </c>
    </row>
    <row r="30" spans="2:8">
      <c r="B30" s="132" t="s">
        <v>336</v>
      </c>
    </row>
    <row r="31" spans="2:8">
      <c r="B31" s="139" t="s">
        <v>360</v>
      </c>
    </row>
    <row r="32" spans="2:8">
      <c r="B32" s="63" t="s">
        <v>253</v>
      </c>
    </row>
    <row r="33" spans="2:2">
      <c r="B33" s="139" t="s">
        <v>361</v>
      </c>
    </row>
    <row r="34" spans="2:2">
      <c r="B34" s="171" t="s">
        <v>477</v>
      </c>
    </row>
    <row r="35" spans="2:2">
      <c r="B35" s="139" t="s">
        <v>362</v>
      </c>
    </row>
    <row r="36" spans="2:2">
      <c r="B36" s="139" t="s">
        <v>363</v>
      </c>
    </row>
    <row r="37" spans="2:2">
      <c r="B37" s="139" t="s">
        <v>304</v>
      </c>
    </row>
    <row r="38" spans="2:2">
      <c r="B38" s="139" t="s">
        <v>364</v>
      </c>
    </row>
    <row r="39" spans="2:2">
      <c r="B39" s="139" t="s">
        <v>365</v>
      </c>
    </row>
    <row r="40" spans="2:2">
      <c r="B40" s="139" t="s">
        <v>366</v>
      </c>
    </row>
    <row r="41" spans="2:2">
      <c r="B41" s="139" t="s">
        <v>367</v>
      </c>
    </row>
    <row r="42" spans="2:2">
      <c r="B42" s="139" t="s">
        <v>369</v>
      </c>
    </row>
    <row r="43" spans="2:2">
      <c r="B43" s="139" t="s">
        <v>370</v>
      </c>
    </row>
    <row r="44" spans="2:2">
      <c r="B44" s="139" t="s">
        <v>371</v>
      </c>
    </row>
    <row r="45" spans="2:2">
      <c r="B45" s="139" t="s">
        <v>372</v>
      </c>
    </row>
    <row r="46" spans="2:2">
      <c r="B46" s="139" t="s">
        <v>373</v>
      </c>
    </row>
    <row r="47" spans="2:2">
      <c r="B47" s="139" t="s">
        <v>374</v>
      </c>
    </row>
    <row r="48" spans="2:2">
      <c r="B48" s="139" t="s">
        <v>375</v>
      </c>
    </row>
    <row r="49" spans="2:2">
      <c r="B49" s="139" t="s">
        <v>376</v>
      </c>
    </row>
    <row r="50" spans="2:2">
      <c r="B50" s="139" t="s">
        <v>377</v>
      </c>
    </row>
    <row r="51" spans="2:2">
      <c r="B51" s="139" t="s">
        <v>378</v>
      </c>
    </row>
    <row r="52" spans="2:2">
      <c r="B52" s="139" t="s">
        <v>379</v>
      </c>
    </row>
    <row r="53" spans="2:2">
      <c r="B53" s="139" t="s">
        <v>380</v>
      </c>
    </row>
    <row r="54" spans="2:2">
      <c r="B54" s="139" t="s">
        <v>381</v>
      </c>
    </row>
  </sheetData>
  <hyperlinks>
    <hyperlink ref="B3" r:id="rId1" xr:uid="{06D5809E-72A9-41D7-974F-FA58D1ED15C4}"/>
    <hyperlink ref="B4" r:id="rId2" xr:uid="{29919CCF-0924-4FDD-BCCD-7B5AA19C4B1D}"/>
    <hyperlink ref="A1" location="Main!A1" display="Main" xr:uid="{62A13976-8B3C-42C8-B6D0-AD7B6C4E3241}"/>
    <hyperlink ref="B7" r:id="rId3" xr:uid="{FD70E649-2E6A-4E67-ACA2-AB99C8053558}"/>
    <hyperlink ref="B8" r:id="rId4" xr:uid="{E0C00157-A29D-4089-A301-263D6806A443}"/>
  </hyperlinks>
  <pageMargins left="0.7" right="0.7" top="0.75" bottom="0.75" header="0.3" footer="0.3"/>
  <pageSetup orientation="portrait" horizontalDpi="1200" verticalDpi="120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2437-B4E9-44AF-8552-EF0FF979C92B}">
  <dimension ref="A1:X23"/>
  <sheetViews>
    <sheetView zoomScale="190" zoomScaleNormal="190"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9.1640625" defaultRowHeight="13"/>
  <cols>
    <col min="1" max="1" width="5" style="113" bestFit="1" customWidth="1"/>
    <col min="2" max="2" width="15" style="113" customWidth="1"/>
    <col min="3" max="16384" width="9.1640625" style="113"/>
  </cols>
  <sheetData>
    <row r="1" spans="1:24">
      <c r="A1" s="5" t="s">
        <v>146</v>
      </c>
    </row>
    <row r="2" spans="1:24">
      <c r="A2" s="5"/>
      <c r="B2" s="157" t="s">
        <v>0</v>
      </c>
      <c r="C2" s="157" t="s">
        <v>1</v>
      </c>
      <c r="D2" s="158" t="s">
        <v>2</v>
      </c>
      <c r="E2" s="159" t="s">
        <v>3</v>
      </c>
      <c r="F2" s="158" t="s">
        <v>395</v>
      </c>
      <c r="G2" s="158" t="s">
        <v>5</v>
      </c>
      <c r="H2" s="158" t="s">
        <v>221</v>
      </c>
      <c r="I2" s="158" t="s">
        <v>396</v>
      </c>
      <c r="J2" s="158" t="s">
        <v>232</v>
      </c>
    </row>
    <row r="3" spans="1:24" s="20" customFormat="1">
      <c r="A3" s="89" t="s">
        <v>261</v>
      </c>
      <c r="B3" s="5" t="s">
        <v>187</v>
      </c>
      <c r="C3" s="20" t="s">
        <v>188</v>
      </c>
      <c r="D3" s="21">
        <v>375.71</v>
      </c>
      <c r="E3" s="22">
        <f>+D3*H3</f>
        <v>57472.452251789997</v>
      </c>
      <c r="F3" s="22">
        <f>+[23]Main!$N$5-[23]Main!$N$6</f>
        <v>1696.7459999999999</v>
      </c>
      <c r="G3" s="22">
        <f>E3-F3</f>
        <v>55775.706251789998</v>
      </c>
      <c r="H3" s="22">
        <f>+[23]Main!$N$3</f>
        <v>152.970249</v>
      </c>
      <c r="I3" s="44" t="s">
        <v>14</v>
      </c>
      <c r="J3" s="43">
        <v>44783</v>
      </c>
      <c r="K3" s="24"/>
      <c r="L3" s="24"/>
      <c r="M3" s="24"/>
      <c r="N3" s="24"/>
      <c r="O3" s="24"/>
      <c r="P3" s="25"/>
      <c r="Q3" s="24"/>
      <c r="R3" s="24"/>
      <c r="S3" s="26"/>
      <c r="T3" s="25"/>
      <c r="U3" s="24"/>
      <c r="V3" s="24"/>
      <c r="W3" s="26"/>
    </row>
    <row r="4" spans="1:24" s="20" customFormat="1">
      <c r="A4" s="89" t="s">
        <v>261</v>
      </c>
      <c r="B4" s="5" t="s">
        <v>183</v>
      </c>
      <c r="C4" s="20" t="s">
        <v>184</v>
      </c>
      <c r="D4" s="21">
        <v>39.74</v>
      </c>
      <c r="E4" s="22">
        <f>+D4*[24]Main!$L$3*EUR</f>
        <v>53089.738980000009</v>
      </c>
      <c r="F4" s="22">
        <f>+([24]Main!$L$5-[24]Main!$L$6)*EUR</f>
        <v>-490.25400000000008</v>
      </c>
      <c r="G4" s="22">
        <f>E4-F4</f>
        <v>53579.99298000001</v>
      </c>
      <c r="H4" s="22"/>
      <c r="I4" s="23" t="s">
        <v>208</v>
      </c>
      <c r="J4" s="23"/>
      <c r="K4" s="24"/>
      <c r="L4" s="24"/>
      <c r="M4" s="24"/>
      <c r="N4" s="24"/>
      <c r="O4" s="24"/>
      <c r="P4" s="25"/>
      <c r="Q4" s="24"/>
      <c r="R4" s="24"/>
      <c r="S4" s="26"/>
      <c r="T4" s="25"/>
      <c r="U4" s="24"/>
      <c r="V4" s="24"/>
      <c r="W4" s="26"/>
    </row>
    <row r="5" spans="1:24" s="20" customFormat="1">
      <c r="A5" s="89" t="s">
        <v>261</v>
      </c>
      <c r="B5" s="5" t="s">
        <v>48</v>
      </c>
      <c r="C5" s="20" t="s">
        <v>49</v>
      </c>
      <c r="D5" s="21">
        <v>186</v>
      </c>
      <c r="E5" s="22">
        <f>+D5*H5</f>
        <v>51584.495999999999</v>
      </c>
      <c r="F5" s="22">
        <f>+[25]Main!$K$5-[25]Main!$K$6</f>
        <v>741.35200000000009</v>
      </c>
      <c r="G5" s="22">
        <f>E5-F5</f>
        <v>50843.144</v>
      </c>
      <c r="H5" s="22">
        <f>+[25]Main!$K$3</f>
        <v>277.33600000000001</v>
      </c>
      <c r="I5" s="39" t="s">
        <v>229</v>
      </c>
      <c r="J5" s="39"/>
      <c r="K5" s="24"/>
      <c r="L5" s="24"/>
      <c r="M5" s="24"/>
      <c r="N5" s="24"/>
      <c r="O5" s="24"/>
      <c r="P5" s="25"/>
      <c r="Q5" s="24"/>
      <c r="R5" s="24"/>
      <c r="S5" s="26"/>
      <c r="T5" s="25"/>
      <c r="U5" s="24"/>
      <c r="V5" s="24"/>
      <c r="W5" s="26"/>
    </row>
    <row r="6" spans="1:24" s="20" customFormat="1">
      <c r="A6" s="92" t="s">
        <v>261</v>
      </c>
      <c r="B6" s="5" t="s">
        <v>46</v>
      </c>
      <c r="C6" s="20" t="s">
        <v>47</v>
      </c>
      <c r="D6" s="21">
        <v>203.73</v>
      </c>
      <c r="E6" s="22">
        <f>+D6*H6</f>
        <v>44264.86632465</v>
      </c>
      <c r="F6" s="22">
        <f>+[26]Main!$L$5-[26]Main!$L$6</f>
        <v>-1005</v>
      </c>
      <c r="G6" s="22">
        <f>E6-F6</f>
        <v>45269.86632465</v>
      </c>
      <c r="H6" s="22">
        <f>+[26]Main!$L$3</f>
        <v>217.27220500000001</v>
      </c>
      <c r="I6" s="38" t="s">
        <v>14</v>
      </c>
      <c r="J6" s="38"/>
      <c r="K6" s="24"/>
      <c r="L6" s="24"/>
      <c r="M6" s="24"/>
      <c r="N6" s="24"/>
      <c r="O6" s="24"/>
      <c r="P6" s="25"/>
      <c r="Q6" s="24"/>
      <c r="R6" s="24"/>
      <c r="S6" s="26"/>
      <c r="T6" s="25"/>
      <c r="U6" s="24"/>
      <c r="V6" s="24"/>
      <c r="W6" s="26"/>
      <c r="X6" s="20">
        <v>1982</v>
      </c>
    </row>
    <row r="7" spans="1:24" s="20" customFormat="1">
      <c r="B7" s="5" t="s">
        <v>62</v>
      </c>
      <c r="C7" s="20" t="s">
        <v>63</v>
      </c>
      <c r="D7" s="21">
        <v>236.61</v>
      </c>
      <c r="E7" s="22">
        <f>+D7*H7</f>
        <v>20601.316825649999</v>
      </c>
      <c r="F7" s="22">
        <f>+[27]Main!$M$5-[27]Main!$M$6</f>
        <v>-235.76700000000005</v>
      </c>
      <c r="G7" s="22">
        <f>E7-F7</f>
        <v>20837.083825649999</v>
      </c>
      <c r="H7" s="22">
        <f>+[27]Main!$M$3</f>
        <v>87.068664999999996</v>
      </c>
      <c r="I7" s="55" t="s">
        <v>208</v>
      </c>
      <c r="J7" s="43">
        <v>44795</v>
      </c>
      <c r="K7" s="24"/>
      <c r="L7" s="24"/>
      <c r="M7" s="24"/>
      <c r="N7" s="24"/>
      <c r="O7" s="24"/>
      <c r="P7" s="25"/>
      <c r="Q7" s="24"/>
      <c r="R7" s="24"/>
      <c r="S7" s="26"/>
      <c r="T7" s="25"/>
      <c r="U7" s="24"/>
      <c r="V7" s="24"/>
      <c r="W7" s="26"/>
    </row>
    <row r="8" spans="1:24" s="20" customFormat="1">
      <c r="B8" s="40" t="s">
        <v>230</v>
      </c>
      <c r="C8" s="40" t="s">
        <v>231</v>
      </c>
      <c r="D8" s="41">
        <v>31.44</v>
      </c>
      <c r="E8" s="22">
        <v>2220</v>
      </c>
      <c r="F8" s="23"/>
      <c r="G8" s="23"/>
      <c r="H8" s="23"/>
      <c r="I8" s="23"/>
      <c r="J8" s="23"/>
      <c r="K8" s="24"/>
      <c r="L8" s="24"/>
      <c r="M8" s="24"/>
      <c r="N8" s="24"/>
      <c r="O8" s="24"/>
      <c r="P8" s="25"/>
      <c r="Q8" s="24"/>
      <c r="R8" s="24"/>
      <c r="S8" s="26"/>
      <c r="T8" s="25"/>
      <c r="U8" s="24"/>
      <c r="V8" s="24"/>
      <c r="W8" s="26"/>
    </row>
    <row r="9" spans="1:24">
      <c r="B9" s="113" t="s">
        <v>324</v>
      </c>
      <c r="C9" s="141" t="s">
        <v>382</v>
      </c>
      <c r="D9" s="131"/>
      <c r="E9" s="131"/>
      <c r="F9" s="131"/>
      <c r="G9" s="131"/>
      <c r="H9" s="131"/>
      <c r="I9" s="131"/>
      <c r="J9" s="131"/>
    </row>
    <row r="10" spans="1:24">
      <c r="B10" s="113" t="s">
        <v>325</v>
      </c>
      <c r="D10" s="131"/>
      <c r="E10" s="131"/>
      <c r="F10" s="131"/>
      <c r="G10" s="131"/>
      <c r="H10" s="131"/>
      <c r="I10" s="131"/>
      <c r="J10" s="131"/>
    </row>
    <row r="11" spans="1:24">
      <c r="B11" s="120" t="s">
        <v>93</v>
      </c>
      <c r="C11" s="20" t="s">
        <v>93</v>
      </c>
      <c r="D11" s="21">
        <v>115.52</v>
      </c>
      <c r="E11" s="22">
        <v>13640</v>
      </c>
    </row>
    <row r="12" spans="1:24">
      <c r="B12" s="185" t="s">
        <v>108</v>
      </c>
      <c r="C12" s="185" t="s">
        <v>109</v>
      </c>
    </row>
    <row r="13" spans="1:24">
      <c r="B13" s="120" t="s">
        <v>91</v>
      </c>
      <c r="C13" s="20" t="s">
        <v>92</v>
      </c>
      <c r="D13" s="21">
        <v>206.61</v>
      </c>
      <c r="E13" s="22">
        <v>13880</v>
      </c>
    </row>
    <row r="14" spans="1:24">
      <c r="B14" s="185" t="s">
        <v>539</v>
      </c>
      <c r="C14" s="185" t="s">
        <v>538</v>
      </c>
    </row>
    <row r="17" spans="2:5">
      <c r="B17" s="95" t="s">
        <v>256</v>
      </c>
    </row>
    <row r="18" spans="2:5">
      <c r="B18" s="165" t="s">
        <v>476</v>
      </c>
      <c r="C18" s="72"/>
      <c r="D18" s="72"/>
      <c r="E18" s="72">
        <v>2400</v>
      </c>
    </row>
    <row r="19" spans="2:5">
      <c r="B19" s="157" t="s">
        <v>392</v>
      </c>
      <c r="E19" s="113">
        <v>1500</v>
      </c>
    </row>
    <row r="20" spans="2:5">
      <c r="B20" s="157" t="s">
        <v>394</v>
      </c>
      <c r="E20" s="113">
        <v>1000</v>
      </c>
    </row>
    <row r="21" spans="2:5">
      <c r="B21" s="165" t="s">
        <v>475</v>
      </c>
      <c r="E21" s="113">
        <v>1000</v>
      </c>
    </row>
    <row r="22" spans="2:5">
      <c r="B22" s="141" t="s">
        <v>383</v>
      </c>
    </row>
    <row r="23" spans="2:5">
      <c r="B23" s="157" t="s">
        <v>393</v>
      </c>
    </row>
  </sheetData>
  <hyperlinks>
    <hyperlink ref="B4" r:id="rId1" xr:uid="{A7E983F7-BC7A-4B3D-8444-6070EF708DDF}"/>
    <hyperlink ref="B6" r:id="rId2" xr:uid="{C691107C-F03A-4EB9-887D-F480D084DC80}"/>
    <hyperlink ref="B5" r:id="rId3" xr:uid="{C9E770CD-C0F9-437F-A1F8-A5EC0DD0B08B}"/>
    <hyperlink ref="B3" r:id="rId4" xr:uid="{8CA64543-CFB9-4EFA-93C4-C766402037C3}"/>
    <hyperlink ref="A1" location="Main!A1" display="Main" xr:uid="{69B9600D-1FE1-4411-8DDE-BF8E78812291}"/>
    <hyperlink ref="B7" r:id="rId5" xr:uid="{3FA63595-4D83-4815-90B6-28C534796235}"/>
  </hyperlinks>
  <pageMargins left="0.7" right="0.7" top="0.75" bottom="0.75" header="0.3" footer="0.3"/>
  <pageSetup orientation="portrait" horizontalDpi="1200" verticalDpi="1200" r:id="rId6"/>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D8E66-21A8-4B81-97DC-0749384A1CA5}">
  <dimension ref="A1:S2326"/>
  <sheetViews>
    <sheetView tabSelected="1" zoomScale="145" zoomScaleNormal="145" workbookViewId="0">
      <pane xSplit="2" ySplit="2" topLeftCell="C78" activePane="bottomRight" state="frozen"/>
      <selection pane="topRight" activeCell="C1" sqref="C1"/>
      <selection pane="bottomLeft" activeCell="A3" sqref="A3"/>
      <selection pane="bottomRight" activeCell="C106" sqref="C106"/>
    </sheetView>
  </sheetViews>
  <sheetFormatPr baseColWidth="10" defaultColWidth="9.1640625" defaultRowHeight="13"/>
  <cols>
    <col min="1" max="1" width="5" style="199" bestFit="1" customWidth="1"/>
    <col min="2" max="2" width="28.6640625" style="199" customWidth="1"/>
    <col min="3" max="3" width="11.1640625" style="200" customWidth="1"/>
    <col min="4" max="4" width="25" style="200" customWidth="1"/>
    <col min="5" max="5" width="9.1640625" style="201"/>
    <col min="6" max="6" width="10.83203125" style="201" bestFit="1" customWidth="1"/>
    <col min="7" max="7" width="11.5" style="200" customWidth="1"/>
    <col min="8" max="12" width="9.1640625" style="199"/>
    <col min="13" max="18" width="9.1640625" style="200"/>
    <col min="19" max="16384" width="9.1640625" style="199"/>
  </cols>
  <sheetData>
    <row r="1" spans="1:19">
      <c r="A1" s="199" t="s">
        <v>146</v>
      </c>
    </row>
    <row r="2" spans="1:19">
      <c r="B2" s="199" t="s">
        <v>748</v>
      </c>
      <c r="C2" s="200" t="s">
        <v>749</v>
      </c>
      <c r="D2" s="200" t="s">
        <v>750</v>
      </c>
      <c r="E2" s="201" t="s">
        <v>752</v>
      </c>
      <c r="F2" s="250" t="s">
        <v>412</v>
      </c>
      <c r="G2" s="200" t="s">
        <v>753</v>
      </c>
      <c r="I2" s="227" t="s">
        <v>2703</v>
      </c>
      <c r="J2" s="227" t="s">
        <v>2704</v>
      </c>
      <c r="K2" s="227" t="s">
        <v>222</v>
      </c>
      <c r="L2" s="248" t="s">
        <v>3188</v>
      </c>
      <c r="M2" s="249" t="s">
        <v>669</v>
      </c>
      <c r="N2" s="249" t="s">
        <v>549</v>
      </c>
      <c r="O2" s="249" t="s">
        <v>544</v>
      </c>
      <c r="P2" s="249" t="s">
        <v>402</v>
      </c>
      <c r="Q2" s="249" t="s">
        <v>565</v>
      </c>
      <c r="R2" s="249" t="s">
        <v>3072</v>
      </c>
      <c r="S2" s="248" t="s">
        <v>429</v>
      </c>
    </row>
    <row r="3" spans="1:19">
      <c r="B3" s="64" t="s">
        <v>883</v>
      </c>
      <c r="C3" s="191" t="s">
        <v>491</v>
      </c>
      <c r="D3" s="191" t="s">
        <v>759</v>
      </c>
      <c r="E3" s="188"/>
      <c r="F3" s="188">
        <f>SUM(F4:F12)</f>
        <v>1489</v>
      </c>
      <c r="G3" s="202">
        <f>+G6</f>
        <v>44663</v>
      </c>
      <c r="I3" s="204" t="s">
        <v>496</v>
      </c>
      <c r="J3" s="191" t="s">
        <v>496</v>
      </c>
      <c r="K3" s="191" t="s">
        <v>496</v>
      </c>
    </row>
    <row r="4" spans="1:19">
      <c r="C4" s="200" t="s">
        <v>402</v>
      </c>
      <c r="D4" s="200" t="s">
        <v>610</v>
      </c>
      <c r="E4" s="201">
        <v>140</v>
      </c>
      <c r="F4" s="201">
        <v>100</v>
      </c>
      <c r="G4" s="203">
        <v>44363</v>
      </c>
    </row>
    <row r="5" spans="1:19">
      <c r="C5" s="222" t="s">
        <v>549</v>
      </c>
      <c r="D5" s="222" t="s">
        <v>724</v>
      </c>
      <c r="E5" s="201">
        <v>3</v>
      </c>
      <c r="F5" s="201">
        <v>1</v>
      </c>
      <c r="G5" s="203">
        <v>44539</v>
      </c>
    </row>
    <row r="6" spans="1:19">
      <c r="C6" s="225" t="s">
        <v>565</v>
      </c>
      <c r="D6" s="225" t="s">
        <v>442</v>
      </c>
      <c r="E6" s="201">
        <v>125</v>
      </c>
      <c r="F6" s="201">
        <v>50</v>
      </c>
      <c r="G6" s="203">
        <v>44663</v>
      </c>
    </row>
    <row r="7" spans="1:19">
      <c r="C7" s="228" t="s">
        <v>549</v>
      </c>
      <c r="D7" s="228" t="s">
        <v>1286</v>
      </c>
      <c r="E7" s="201">
        <v>7</v>
      </c>
      <c r="F7" s="201">
        <v>1.5</v>
      </c>
      <c r="G7" s="203">
        <v>44602</v>
      </c>
    </row>
    <row r="8" spans="1:19">
      <c r="C8" s="228" t="s">
        <v>402</v>
      </c>
      <c r="D8" s="228" t="s">
        <v>1332</v>
      </c>
      <c r="E8" s="201">
        <v>93</v>
      </c>
      <c r="F8" s="201">
        <v>83</v>
      </c>
      <c r="G8" s="203">
        <v>43018</v>
      </c>
    </row>
    <row r="9" spans="1:19">
      <c r="C9" s="273" t="s">
        <v>755</v>
      </c>
      <c r="D9" s="273" t="s">
        <v>1818</v>
      </c>
      <c r="E9" s="201">
        <v>600</v>
      </c>
      <c r="F9" s="201">
        <f>500/8</f>
        <v>62.5</v>
      </c>
      <c r="G9" s="203">
        <v>44502</v>
      </c>
    </row>
    <row r="10" spans="1:19">
      <c r="C10" s="273" t="s">
        <v>565</v>
      </c>
      <c r="D10" s="273" t="s">
        <v>1818</v>
      </c>
      <c r="E10" s="201">
        <v>500</v>
      </c>
      <c r="F10" s="201">
        <v>75</v>
      </c>
      <c r="G10" s="203">
        <v>44144</v>
      </c>
    </row>
    <row r="11" spans="1:19">
      <c r="C11" s="273" t="s">
        <v>402</v>
      </c>
      <c r="D11" s="273" t="s">
        <v>1818</v>
      </c>
      <c r="E11" s="201">
        <v>940</v>
      </c>
      <c r="F11" s="201">
        <v>940</v>
      </c>
      <c r="G11" s="203">
        <v>43507</v>
      </c>
    </row>
    <row r="12" spans="1:19">
      <c r="C12" s="273" t="s">
        <v>755</v>
      </c>
      <c r="D12" s="273" t="s">
        <v>1823</v>
      </c>
      <c r="E12" s="201">
        <v>676</v>
      </c>
      <c r="F12" s="270">
        <v>176</v>
      </c>
      <c r="G12" s="203">
        <v>44299</v>
      </c>
      <c r="I12" s="199">
        <v>4400</v>
      </c>
    </row>
    <row r="13" spans="1:19">
      <c r="C13" s="273" t="s">
        <v>544</v>
      </c>
      <c r="D13" s="273" t="s">
        <v>1823</v>
      </c>
      <c r="E13" s="201">
        <v>56</v>
      </c>
      <c r="F13" s="270">
        <v>20</v>
      </c>
      <c r="G13" s="203">
        <v>43174</v>
      </c>
    </row>
    <row r="14" spans="1:19">
      <c r="G14" s="203"/>
    </row>
    <row r="15" spans="1:19" s="64" customFormat="1">
      <c r="B15" s="64" t="s">
        <v>3794</v>
      </c>
      <c r="C15" s="191" t="s">
        <v>491</v>
      </c>
      <c r="D15" s="191" t="s">
        <v>759</v>
      </c>
      <c r="E15" s="188"/>
      <c r="F15" s="188">
        <f>SUM(F16:F38)</f>
        <v>1427.0119047619048</v>
      </c>
      <c r="G15" s="202">
        <f>G30</f>
        <v>45090</v>
      </c>
      <c r="I15" s="64" t="s">
        <v>496</v>
      </c>
      <c r="J15" s="64" t="s">
        <v>496</v>
      </c>
      <c r="K15" s="64" t="s">
        <v>496</v>
      </c>
      <c r="M15" s="188">
        <f>SUM(F29)</f>
        <v>1.5</v>
      </c>
      <c r="N15" s="188">
        <f>SUM(F22,F27)</f>
        <v>16</v>
      </c>
      <c r="O15" s="188">
        <f>SUM(F21,F24,F25,F26)</f>
        <v>226</v>
      </c>
      <c r="P15" s="188">
        <f>SUM(F20,F23,F28,F31)</f>
        <v>519.16666666666674</v>
      </c>
      <c r="Q15" s="188">
        <f>SUM(F16,F19,F30)</f>
        <v>81</v>
      </c>
      <c r="R15" s="188">
        <f>SUM(F17,F18)</f>
        <v>375</v>
      </c>
    </row>
    <row r="16" spans="1:19">
      <c r="C16" s="200" t="s">
        <v>565</v>
      </c>
      <c r="D16" s="200" t="s">
        <v>144</v>
      </c>
      <c r="E16" s="201">
        <v>450</v>
      </c>
      <c r="F16" s="201">
        <f>300/5</f>
        <v>60</v>
      </c>
      <c r="G16" s="203">
        <v>45069</v>
      </c>
    </row>
    <row r="17" spans="3:8">
      <c r="C17" s="200" t="s">
        <v>774</v>
      </c>
      <c r="D17" s="200" t="s">
        <v>144</v>
      </c>
      <c r="E17" s="201">
        <v>300</v>
      </c>
      <c r="F17" s="201">
        <v>300</v>
      </c>
      <c r="G17" s="203">
        <v>44960</v>
      </c>
    </row>
    <row r="18" spans="3:8">
      <c r="C18" s="200" t="s">
        <v>755</v>
      </c>
      <c r="D18" s="200" t="s">
        <v>864</v>
      </c>
      <c r="E18" s="201">
        <v>100</v>
      </c>
      <c r="F18" s="201">
        <v>75</v>
      </c>
      <c r="G18" s="203">
        <v>45051</v>
      </c>
    </row>
    <row r="19" spans="3:8">
      <c r="C19" s="200" t="s">
        <v>565</v>
      </c>
      <c r="D19" s="200" t="s">
        <v>618</v>
      </c>
      <c r="E19" s="201">
        <v>85</v>
      </c>
      <c r="F19" s="201">
        <v>6</v>
      </c>
      <c r="G19" s="203">
        <v>44417</v>
      </c>
    </row>
    <row r="20" spans="3:8">
      <c r="C20" s="200" t="s">
        <v>402</v>
      </c>
      <c r="D20" s="200" t="s">
        <v>618</v>
      </c>
      <c r="E20" s="201">
        <v>35</v>
      </c>
      <c r="F20" s="201">
        <f>25/6</f>
        <v>4.166666666666667</v>
      </c>
      <c r="G20" s="203">
        <v>44293</v>
      </c>
    </row>
    <row r="21" spans="3:8">
      <c r="C21" s="200" t="s">
        <v>544</v>
      </c>
      <c r="D21" s="200" t="s">
        <v>618</v>
      </c>
      <c r="E21" s="201">
        <v>12</v>
      </c>
      <c r="F21" s="201">
        <v>3</v>
      </c>
      <c r="G21" s="203">
        <v>44026</v>
      </c>
    </row>
    <row r="22" spans="3:8">
      <c r="C22" s="200" t="s">
        <v>549</v>
      </c>
      <c r="D22" s="200" t="s">
        <v>618</v>
      </c>
      <c r="E22" s="201">
        <v>3.3</v>
      </c>
      <c r="F22" s="201">
        <v>1</v>
      </c>
      <c r="G22" s="203">
        <v>44026</v>
      </c>
    </row>
    <row r="23" spans="3:8">
      <c r="C23" s="200" t="s">
        <v>402</v>
      </c>
      <c r="D23" s="200" t="s">
        <v>676</v>
      </c>
      <c r="E23" s="201">
        <v>2500</v>
      </c>
      <c r="F23" s="201">
        <v>500</v>
      </c>
      <c r="G23" s="203">
        <v>44363</v>
      </c>
    </row>
    <row r="24" spans="3:8">
      <c r="C24" s="200" t="s">
        <v>544</v>
      </c>
      <c r="D24" s="200" t="s">
        <v>676</v>
      </c>
      <c r="E24" s="201">
        <v>3000</v>
      </c>
      <c r="F24" s="201">
        <f>800/4</f>
        <v>200</v>
      </c>
      <c r="G24" s="203">
        <v>43892</v>
      </c>
      <c r="H24" s="203"/>
    </row>
    <row r="25" spans="3:8">
      <c r="C25" s="200" t="s">
        <v>544</v>
      </c>
      <c r="D25" s="200" t="s">
        <v>424</v>
      </c>
      <c r="E25" s="201">
        <v>65</v>
      </c>
      <c r="F25" s="201">
        <v>10</v>
      </c>
      <c r="G25" s="203">
        <v>45012</v>
      </c>
      <c r="H25" s="203"/>
    </row>
    <row r="26" spans="3:8">
      <c r="C26" s="200" t="s">
        <v>544</v>
      </c>
      <c r="D26" s="200" t="s">
        <v>460</v>
      </c>
      <c r="E26" s="201">
        <v>23</v>
      </c>
      <c r="F26" s="201">
        <v>13</v>
      </c>
      <c r="G26" s="203">
        <v>44963</v>
      </c>
      <c r="H26" s="203"/>
    </row>
    <row r="27" spans="3:8">
      <c r="C27" s="200" t="s">
        <v>549</v>
      </c>
      <c r="D27" s="200" t="s">
        <v>454</v>
      </c>
      <c r="E27" s="201">
        <v>30</v>
      </c>
      <c r="F27" s="201">
        <v>15</v>
      </c>
      <c r="G27" s="203">
        <v>44742</v>
      </c>
      <c r="H27" s="203"/>
    </row>
    <row r="28" spans="3:8">
      <c r="C28" s="200" t="s">
        <v>402</v>
      </c>
      <c r="D28" s="200" t="s">
        <v>1163</v>
      </c>
      <c r="E28" s="201">
        <v>30</v>
      </c>
      <c r="F28" s="201">
        <v>10</v>
      </c>
      <c r="G28" s="203">
        <v>44510</v>
      </c>
      <c r="H28" s="203"/>
    </row>
    <row r="29" spans="3:8">
      <c r="C29" s="211" t="s">
        <v>669</v>
      </c>
      <c r="D29" s="211" t="s">
        <v>701</v>
      </c>
      <c r="E29" s="201">
        <v>4.5</v>
      </c>
      <c r="F29" s="201">
        <v>1.5</v>
      </c>
      <c r="G29" s="203">
        <v>44691</v>
      </c>
      <c r="H29" s="203"/>
    </row>
    <row r="30" spans="3:8">
      <c r="C30" s="238" t="s">
        <v>565</v>
      </c>
      <c r="D30" s="238" t="s">
        <v>1991</v>
      </c>
      <c r="E30" s="201">
        <v>90</v>
      </c>
      <c r="F30" s="201">
        <v>15</v>
      </c>
      <c r="G30" s="203">
        <v>45090</v>
      </c>
      <c r="H30" s="203"/>
    </row>
    <row r="31" spans="3:8">
      <c r="C31" s="238" t="s">
        <v>402</v>
      </c>
      <c r="D31" s="238" t="s">
        <v>1991</v>
      </c>
      <c r="E31" s="201">
        <v>50</v>
      </c>
      <c r="F31" s="201">
        <v>5</v>
      </c>
      <c r="G31" s="203">
        <v>44538</v>
      </c>
      <c r="H31" s="203"/>
    </row>
    <row r="32" spans="3:8">
      <c r="C32" s="249" t="s">
        <v>402</v>
      </c>
      <c r="D32" s="249" t="s">
        <v>1603</v>
      </c>
      <c r="E32" s="201">
        <v>55</v>
      </c>
      <c r="F32" s="201">
        <v>5</v>
      </c>
      <c r="G32" s="203">
        <v>44200</v>
      </c>
      <c r="H32" s="203"/>
    </row>
    <row r="33" spans="2:18">
      <c r="C33" s="249" t="s">
        <v>565</v>
      </c>
      <c r="D33" s="249" t="s">
        <v>1603</v>
      </c>
      <c r="E33" s="201">
        <v>91</v>
      </c>
      <c r="F33" s="201">
        <v>8.75</v>
      </c>
      <c r="G33" s="203">
        <v>44867</v>
      </c>
      <c r="H33" s="203"/>
    </row>
    <row r="34" spans="2:18">
      <c r="C34" s="273" t="s">
        <v>565</v>
      </c>
      <c r="D34" s="273" t="s">
        <v>1759</v>
      </c>
      <c r="E34" s="201">
        <v>40</v>
      </c>
      <c r="F34" s="201">
        <f>20/3</f>
        <v>6.666666666666667</v>
      </c>
      <c r="G34" s="203">
        <v>44599</v>
      </c>
      <c r="H34" s="203"/>
    </row>
    <row r="35" spans="2:18">
      <c r="C35" s="273" t="s">
        <v>755</v>
      </c>
      <c r="D35" s="273" t="s">
        <v>1818</v>
      </c>
      <c r="E35" s="201">
        <v>600</v>
      </c>
      <c r="F35" s="201">
        <f>500/8</f>
        <v>62.5</v>
      </c>
      <c r="G35" s="203">
        <v>44502</v>
      </c>
      <c r="H35" s="203"/>
    </row>
    <row r="36" spans="2:18">
      <c r="C36" s="273" t="s">
        <v>755</v>
      </c>
      <c r="D36" s="273" t="s">
        <v>1823</v>
      </c>
      <c r="E36" s="201">
        <v>676</v>
      </c>
      <c r="F36" s="201">
        <f>500/7</f>
        <v>71.428571428571431</v>
      </c>
      <c r="G36" s="203">
        <v>44299</v>
      </c>
      <c r="H36" s="203"/>
      <c r="I36" s="199">
        <v>4400</v>
      </c>
    </row>
    <row r="37" spans="2:18">
      <c r="C37" s="273" t="s">
        <v>565</v>
      </c>
      <c r="D37" s="273" t="s">
        <v>1823</v>
      </c>
      <c r="E37" s="201">
        <v>250</v>
      </c>
      <c r="F37" s="201">
        <f>170/5</f>
        <v>34</v>
      </c>
      <c r="G37" s="203">
        <v>43886</v>
      </c>
      <c r="H37" s="203"/>
      <c r="I37" s="199">
        <v>2300</v>
      </c>
    </row>
    <row r="38" spans="2:18">
      <c r="C38" s="273" t="s">
        <v>402</v>
      </c>
      <c r="D38" s="273" t="s">
        <v>1823</v>
      </c>
      <c r="E38" s="201">
        <v>150</v>
      </c>
      <c r="F38" s="201">
        <v>20</v>
      </c>
      <c r="G38" s="203">
        <v>43556</v>
      </c>
      <c r="H38" s="203"/>
    </row>
    <row r="39" spans="2:18">
      <c r="G39" s="203"/>
    </row>
    <row r="40" spans="2:18" s="64" customFormat="1">
      <c r="B40" s="64" t="s">
        <v>868</v>
      </c>
      <c r="C40" s="191" t="s">
        <v>491</v>
      </c>
      <c r="D40" s="191" t="s">
        <v>759</v>
      </c>
      <c r="E40" s="188"/>
      <c r="F40" s="188">
        <f>SUM(F41:F61)</f>
        <v>779.66666666666663</v>
      </c>
      <c r="G40" s="202">
        <f>G52</f>
        <v>45062</v>
      </c>
      <c r="I40" s="64">
        <v>32400</v>
      </c>
      <c r="J40" s="235">
        <f>+F40/I40</f>
        <v>2.4063786008230451E-2</v>
      </c>
      <c r="K40" s="64">
        <v>2009</v>
      </c>
      <c r="M40" s="191">
        <v>0</v>
      </c>
      <c r="N40" s="188">
        <f>SUM(F48,F52,F56)</f>
        <v>30.5</v>
      </c>
      <c r="O40" s="188">
        <f>SUM(F41,F44,F47,F51,F55,F57,F58)</f>
        <v>342.66666666666669</v>
      </c>
      <c r="P40" s="188">
        <f>SUM(F42,F43,F46,F50,F54,F60)</f>
        <v>357.5</v>
      </c>
      <c r="Q40" s="188">
        <f>SUM(F45,F49,F59)</f>
        <v>45</v>
      </c>
      <c r="R40" s="191">
        <v>0</v>
      </c>
    </row>
    <row r="41" spans="2:18">
      <c r="C41" s="200" t="s">
        <v>544</v>
      </c>
      <c r="D41" s="200" t="s">
        <v>601</v>
      </c>
      <c r="E41" s="201">
        <v>150</v>
      </c>
      <c r="F41" s="201">
        <v>110</v>
      </c>
      <c r="G41" s="203">
        <v>45008</v>
      </c>
    </row>
    <row r="42" spans="2:18">
      <c r="C42" s="200" t="s">
        <v>402</v>
      </c>
      <c r="D42" s="200" t="s">
        <v>409</v>
      </c>
      <c r="E42" s="201">
        <v>100</v>
      </c>
      <c r="F42" s="201">
        <v>85</v>
      </c>
      <c r="G42" s="203">
        <v>45042</v>
      </c>
    </row>
    <row r="43" spans="2:18">
      <c r="C43" s="200" t="s">
        <v>402</v>
      </c>
      <c r="D43" s="200" t="s">
        <v>676</v>
      </c>
      <c r="E43" s="201">
        <v>2500</v>
      </c>
      <c r="F43" s="201">
        <v>182</v>
      </c>
      <c r="G43" s="203">
        <v>44363</v>
      </c>
    </row>
    <row r="44" spans="2:18">
      <c r="C44" s="200" t="s">
        <v>544</v>
      </c>
      <c r="D44" s="200" t="s">
        <v>676</v>
      </c>
      <c r="E44" s="201">
        <v>3000</v>
      </c>
      <c r="F44" s="201">
        <f>800/4</f>
        <v>200</v>
      </c>
      <c r="G44" s="203">
        <v>43892</v>
      </c>
    </row>
    <row r="45" spans="2:18">
      <c r="C45" s="200" t="s">
        <v>565</v>
      </c>
      <c r="D45" s="200" t="s">
        <v>611</v>
      </c>
      <c r="E45" s="201">
        <v>100</v>
      </c>
      <c r="F45" s="201">
        <v>10</v>
      </c>
      <c r="G45" s="203">
        <v>44754</v>
      </c>
    </row>
    <row r="46" spans="2:18">
      <c r="C46" s="200" t="s">
        <v>402</v>
      </c>
      <c r="D46" s="200" t="s">
        <v>611</v>
      </c>
      <c r="E46" s="201">
        <v>35</v>
      </c>
      <c r="F46" s="201">
        <f>E46/2</f>
        <v>17.5</v>
      </c>
      <c r="G46" s="203">
        <v>44172</v>
      </c>
    </row>
    <row r="47" spans="2:18">
      <c r="C47" s="200" t="s">
        <v>544</v>
      </c>
      <c r="D47" s="200" t="s">
        <v>611</v>
      </c>
      <c r="E47" s="201">
        <v>20</v>
      </c>
      <c r="F47" s="201">
        <v>8</v>
      </c>
      <c r="G47" s="203">
        <v>43949</v>
      </c>
    </row>
    <row r="48" spans="2:18">
      <c r="C48" s="200" t="s">
        <v>549</v>
      </c>
      <c r="D48" s="200" t="s">
        <v>611</v>
      </c>
      <c r="E48" s="201">
        <v>5</v>
      </c>
      <c r="F48" s="201">
        <v>1</v>
      </c>
      <c r="G48" s="203">
        <v>43438</v>
      </c>
    </row>
    <row r="49" spans="2:18">
      <c r="C49" s="200" t="s">
        <v>983</v>
      </c>
      <c r="D49" s="200" t="s">
        <v>616</v>
      </c>
      <c r="E49" s="201">
        <v>100</v>
      </c>
      <c r="F49" s="201">
        <v>30</v>
      </c>
      <c r="G49" s="203">
        <v>44537</v>
      </c>
    </row>
    <row r="50" spans="2:18">
      <c r="C50" s="200" t="s">
        <v>402</v>
      </c>
      <c r="D50" s="200" t="s">
        <v>616</v>
      </c>
      <c r="E50" s="201">
        <v>40</v>
      </c>
      <c r="F50" s="201">
        <v>8</v>
      </c>
      <c r="G50" s="203">
        <v>44125</v>
      </c>
    </row>
    <row r="51" spans="2:18">
      <c r="C51" s="200" t="s">
        <v>544</v>
      </c>
      <c r="D51" s="200" t="s">
        <v>616</v>
      </c>
      <c r="E51" s="201">
        <v>20</v>
      </c>
      <c r="F51" s="201">
        <v>8</v>
      </c>
      <c r="G51" s="203">
        <v>43816</v>
      </c>
    </row>
    <row r="52" spans="2:18">
      <c r="C52" s="200" t="s">
        <v>549</v>
      </c>
      <c r="D52" s="200" t="s">
        <v>570</v>
      </c>
      <c r="E52" s="201">
        <v>50</v>
      </c>
      <c r="F52" s="201">
        <v>25</v>
      </c>
      <c r="G52" s="203">
        <v>45062</v>
      </c>
    </row>
    <row r="53" spans="2:18">
      <c r="C53" s="200" t="s">
        <v>544</v>
      </c>
      <c r="D53" s="200" t="s">
        <v>1200</v>
      </c>
      <c r="G53" s="203"/>
    </row>
    <row r="54" spans="2:18">
      <c r="C54" s="200" t="s">
        <v>402</v>
      </c>
      <c r="D54" s="200" t="s">
        <v>392</v>
      </c>
      <c r="E54" s="201">
        <v>97.4</v>
      </c>
      <c r="F54" s="201">
        <v>50</v>
      </c>
      <c r="G54" s="203">
        <v>45041</v>
      </c>
    </row>
    <row r="55" spans="2:18">
      <c r="C55" s="200" t="s">
        <v>544</v>
      </c>
      <c r="D55" s="200" t="s">
        <v>392</v>
      </c>
      <c r="E55" s="201">
        <v>80</v>
      </c>
      <c r="F55" s="201">
        <f>40/6</f>
        <v>6.666666666666667</v>
      </c>
      <c r="G55" s="203">
        <v>44539</v>
      </c>
    </row>
    <row r="56" spans="2:18">
      <c r="C56" s="200" t="s">
        <v>549</v>
      </c>
      <c r="D56" s="200" t="s">
        <v>392</v>
      </c>
      <c r="E56" s="201">
        <v>4.5</v>
      </c>
      <c r="F56" s="201">
        <v>4.5</v>
      </c>
      <c r="G56" s="203">
        <v>43395</v>
      </c>
    </row>
    <row r="57" spans="2:18">
      <c r="C57" s="200" t="s">
        <v>544</v>
      </c>
      <c r="D57" s="200" t="s">
        <v>546</v>
      </c>
      <c r="E57" s="201">
        <v>5.6</v>
      </c>
      <c r="F57" s="201">
        <v>3</v>
      </c>
      <c r="G57" s="203">
        <v>44292</v>
      </c>
    </row>
    <row r="58" spans="2:18">
      <c r="C58" s="218" t="s">
        <v>544</v>
      </c>
      <c r="D58" s="218" t="s">
        <v>706</v>
      </c>
      <c r="E58" s="201">
        <v>12.5</v>
      </c>
      <c r="F58" s="201">
        <v>7</v>
      </c>
      <c r="G58" s="203">
        <v>44978</v>
      </c>
    </row>
    <row r="59" spans="2:18">
      <c r="C59" s="225" t="s">
        <v>565</v>
      </c>
      <c r="D59" s="225" t="s">
        <v>445</v>
      </c>
      <c r="E59" s="201">
        <v>60</v>
      </c>
      <c r="F59" s="201">
        <v>5</v>
      </c>
      <c r="G59" s="203">
        <v>43606</v>
      </c>
    </row>
    <row r="60" spans="2:18">
      <c r="C60" s="225" t="s">
        <v>402</v>
      </c>
      <c r="D60" s="225" t="s">
        <v>445</v>
      </c>
      <c r="E60" s="201">
        <v>30</v>
      </c>
      <c r="F60" s="201">
        <v>15</v>
      </c>
      <c r="G60" s="203">
        <v>43396</v>
      </c>
    </row>
    <row r="61" spans="2:18">
      <c r="C61" s="253" t="s">
        <v>544</v>
      </c>
      <c r="D61" s="253" t="s">
        <v>1663</v>
      </c>
      <c r="E61" s="201">
        <v>30</v>
      </c>
      <c r="F61" s="201">
        <v>4</v>
      </c>
      <c r="G61" s="203">
        <v>44474</v>
      </c>
    </row>
    <row r="62" spans="2:18">
      <c r="C62" s="253" t="s">
        <v>549</v>
      </c>
      <c r="D62" s="253" t="s">
        <v>1663</v>
      </c>
      <c r="E62" s="201">
        <v>15</v>
      </c>
      <c r="F62" s="201">
        <f>10/4</f>
        <v>2.5</v>
      </c>
      <c r="G62" s="203">
        <v>43775</v>
      </c>
    </row>
    <row r="63" spans="2:18">
      <c r="G63" s="203"/>
    </row>
    <row r="64" spans="2:18" s="64" customFormat="1">
      <c r="B64" s="64" t="s">
        <v>943</v>
      </c>
      <c r="C64" s="191" t="s">
        <v>491</v>
      </c>
      <c r="D64" s="191" t="s">
        <v>759</v>
      </c>
      <c r="E64" s="188"/>
      <c r="F64" s="188">
        <f>SUM(F65:F69)</f>
        <v>744.15151515151513</v>
      </c>
      <c r="G64" s="202">
        <f>+G65</f>
        <v>44363</v>
      </c>
      <c r="I64" s="191" t="s">
        <v>496</v>
      </c>
      <c r="J64" s="191" t="s">
        <v>496</v>
      </c>
      <c r="K64" s="191" t="s">
        <v>496</v>
      </c>
      <c r="M64" s="191">
        <v>0</v>
      </c>
      <c r="N64" s="191">
        <v>0</v>
      </c>
      <c r="O64" s="188">
        <f>F66</f>
        <v>500</v>
      </c>
      <c r="P64" s="188">
        <f>F65</f>
        <v>181.81818181818181</v>
      </c>
      <c r="Q64" s="191">
        <v>0</v>
      </c>
      <c r="R64" s="188">
        <f>F67</f>
        <v>25</v>
      </c>
    </row>
    <row r="65" spans="2:18">
      <c r="C65" s="200" t="s">
        <v>402</v>
      </c>
      <c r="D65" s="200" t="s">
        <v>676</v>
      </c>
      <c r="E65" s="201">
        <v>2500</v>
      </c>
      <c r="F65" s="201">
        <f t="shared" ref="F65:F205" si="0">2000/11</f>
        <v>181.81818181818181</v>
      </c>
      <c r="G65" s="203">
        <v>44363</v>
      </c>
    </row>
    <row r="66" spans="2:18">
      <c r="C66" s="200" t="s">
        <v>544</v>
      </c>
      <c r="D66" s="200" t="s">
        <v>676</v>
      </c>
      <c r="E66" s="201">
        <v>3000</v>
      </c>
      <c r="F66" s="201">
        <v>500</v>
      </c>
      <c r="G66" s="203">
        <v>43892</v>
      </c>
    </row>
    <row r="67" spans="2:18">
      <c r="C67" s="225" t="s">
        <v>755</v>
      </c>
      <c r="D67" s="225" t="s">
        <v>445</v>
      </c>
      <c r="E67" s="201">
        <v>100</v>
      </c>
      <c r="F67" s="201">
        <v>25</v>
      </c>
      <c r="G67" s="203">
        <v>44419</v>
      </c>
    </row>
    <row r="68" spans="2:18">
      <c r="C68" s="253" t="s">
        <v>402</v>
      </c>
      <c r="D68" s="253" t="s">
        <v>1632</v>
      </c>
      <c r="E68" s="201">
        <v>40</v>
      </c>
      <c r="F68" s="201">
        <v>4</v>
      </c>
      <c r="G68" s="254">
        <v>43419</v>
      </c>
    </row>
    <row r="69" spans="2:18">
      <c r="C69" s="273" t="s">
        <v>755</v>
      </c>
      <c r="D69" s="273" t="s">
        <v>1822</v>
      </c>
      <c r="E69" s="201">
        <v>700</v>
      </c>
      <c r="F69" s="201">
        <f>400/12</f>
        <v>33.333333333333336</v>
      </c>
      <c r="G69" s="254">
        <v>44218</v>
      </c>
    </row>
    <row r="70" spans="2:18">
      <c r="G70" s="203"/>
    </row>
    <row r="71" spans="2:18" s="64" customFormat="1">
      <c r="B71" s="64" t="s">
        <v>941</v>
      </c>
      <c r="C71" s="191" t="s">
        <v>491</v>
      </c>
      <c r="D71" s="191" t="s">
        <v>759</v>
      </c>
      <c r="E71" s="188"/>
      <c r="F71" s="188">
        <f>SUM(F72:F75)</f>
        <v>706.81818181818176</v>
      </c>
      <c r="G71" s="202">
        <f>G74</f>
        <v>44819</v>
      </c>
      <c r="I71" s="64">
        <v>92000</v>
      </c>
      <c r="J71" s="235">
        <f>+F71/I71</f>
        <v>7.682806324110671E-3</v>
      </c>
      <c r="K71" s="64">
        <v>1999</v>
      </c>
      <c r="M71" s="191">
        <v>0</v>
      </c>
      <c r="N71" s="191">
        <v>0</v>
      </c>
      <c r="O71" s="188">
        <f>SUM(F73:F74)</f>
        <v>503</v>
      </c>
      <c r="P71" s="188">
        <f>SUM(F72)</f>
        <v>181.81818181818181</v>
      </c>
      <c r="Q71" s="191">
        <v>0</v>
      </c>
      <c r="R71" s="188">
        <f>SUM(F75)</f>
        <v>22</v>
      </c>
    </row>
    <row r="72" spans="2:18">
      <c r="C72" s="200" t="s">
        <v>402</v>
      </c>
      <c r="D72" s="200" t="s">
        <v>676</v>
      </c>
      <c r="E72" s="201">
        <v>2500</v>
      </c>
      <c r="F72" s="201">
        <f t="shared" si="0"/>
        <v>181.81818181818181</v>
      </c>
      <c r="G72" s="203">
        <v>44363</v>
      </c>
    </row>
    <row r="73" spans="2:18">
      <c r="C73" s="200" t="s">
        <v>544</v>
      </c>
      <c r="D73" s="200" t="s">
        <v>676</v>
      </c>
      <c r="E73" s="201">
        <v>3000</v>
      </c>
      <c r="F73" s="201">
        <v>500</v>
      </c>
      <c r="G73" s="203">
        <v>43892</v>
      </c>
    </row>
    <row r="74" spans="2:18">
      <c r="C74" s="222" t="s">
        <v>544</v>
      </c>
      <c r="D74" s="222" t="s">
        <v>1858</v>
      </c>
      <c r="E74" s="201">
        <v>10.6</v>
      </c>
      <c r="F74" s="201">
        <v>3</v>
      </c>
      <c r="G74" s="203">
        <v>44819</v>
      </c>
    </row>
    <row r="75" spans="2:18">
      <c r="C75" s="228" t="s">
        <v>813</v>
      </c>
      <c r="D75" s="228" t="s">
        <v>2441</v>
      </c>
      <c r="E75" s="201">
        <v>270</v>
      </c>
      <c r="F75" s="201">
        <v>22</v>
      </c>
      <c r="G75" s="203">
        <v>44152</v>
      </c>
    </row>
    <row r="76" spans="2:18">
      <c r="G76" s="203"/>
    </row>
    <row r="77" spans="2:18" s="64" customFormat="1">
      <c r="B77" s="64" t="s">
        <v>945</v>
      </c>
      <c r="C77" s="191" t="s">
        <v>491</v>
      </c>
      <c r="D77" s="191" t="s">
        <v>759</v>
      </c>
      <c r="E77" s="188"/>
      <c r="F77" s="188">
        <f>SUM(F78:F82)</f>
        <v>704.81818181818176</v>
      </c>
      <c r="G77" s="202">
        <f>+G80</f>
        <v>45020</v>
      </c>
      <c r="I77" s="191" t="s">
        <v>496</v>
      </c>
      <c r="J77" s="191" t="s">
        <v>496</v>
      </c>
      <c r="K77" s="191" t="s">
        <v>496</v>
      </c>
      <c r="M77" s="191">
        <v>0</v>
      </c>
      <c r="N77" s="191">
        <v>0</v>
      </c>
      <c r="O77" s="188">
        <f>F79</f>
        <v>500</v>
      </c>
      <c r="P77" s="188">
        <f>F78</f>
        <v>181.81818181818181</v>
      </c>
      <c r="Q77" s="188">
        <f>SUM(F80:F81)</f>
        <v>17</v>
      </c>
      <c r="R77" s="191">
        <v>0</v>
      </c>
    </row>
    <row r="78" spans="2:18">
      <c r="C78" s="200" t="s">
        <v>402</v>
      </c>
      <c r="D78" s="200" t="s">
        <v>676</v>
      </c>
      <c r="E78" s="201">
        <v>2500</v>
      </c>
      <c r="F78" s="201">
        <f t="shared" si="0"/>
        <v>181.81818181818181</v>
      </c>
      <c r="G78" s="203">
        <v>44363</v>
      </c>
    </row>
    <row r="79" spans="2:18">
      <c r="C79" s="200" t="s">
        <v>544</v>
      </c>
      <c r="D79" s="200" t="s">
        <v>676</v>
      </c>
      <c r="E79" s="201">
        <v>3000</v>
      </c>
      <c r="F79" s="201">
        <v>500</v>
      </c>
      <c r="G79" s="203">
        <v>43892</v>
      </c>
    </row>
    <row r="80" spans="2:18">
      <c r="C80" s="228" t="s">
        <v>565</v>
      </c>
      <c r="D80" s="228" t="s">
        <v>1580</v>
      </c>
      <c r="E80" s="201">
        <v>75</v>
      </c>
      <c r="F80" s="201">
        <v>7</v>
      </c>
      <c r="G80" s="203">
        <v>45020</v>
      </c>
    </row>
    <row r="81" spans="2:18">
      <c r="C81" s="228" t="s">
        <v>565</v>
      </c>
      <c r="D81" s="228" t="s">
        <v>1580</v>
      </c>
      <c r="E81" s="201">
        <v>80</v>
      </c>
      <c r="F81" s="201">
        <v>10</v>
      </c>
      <c r="G81" s="203">
        <v>44404</v>
      </c>
    </row>
    <row r="82" spans="2:18">
      <c r="C82" s="249" t="s">
        <v>544</v>
      </c>
      <c r="D82" s="249" t="s">
        <v>1613</v>
      </c>
      <c r="E82" s="201">
        <v>57</v>
      </c>
      <c r="F82" s="201">
        <v>6</v>
      </c>
      <c r="G82" s="203">
        <v>44508</v>
      </c>
    </row>
    <row r="83" spans="2:18">
      <c r="G83" s="203"/>
    </row>
    <row r="84" spans="2:18" s="64" customFormat="1">
      <c r="B84" s="64" t="s">
        <v>249</v>
      </c>
      <c r="C84" s="191" t="s">
        <v>491</v>
      </c>
      <c r="D84" s="191" t="s">
        <v>759</v>
      </c>
      <c r="E84" s="188"/>
      <c r="F84" s="188">
        <f>SUM(F85:F104)</f>
        <v>741.43722943722946</v>
      </c>
      <c r="G84" s="202">
        <f>G102</f>
        <v>44851</v>
      </c>
      <c r="I84" s="64">
        <v>58000</v>
      </c>
      <c r="J84" s="236">
        <f>+F84/I84</f>
        <v>1.2783400507538439E-2</v>
      </c>
      <c r="K84" s="64">
        <v>2001</v>
      </c>
      <c r="M84" s="191">
        <v>0</v>
      </c>
      <c r="N84" s="191">
        <v>0</v>
      </c>
      <c r="O84" s="188">
        <f>SUM(F88,F95,F96,F98)</f>
        <v>23.333333333333332</v>
      </c>
      <c r="P84" s="188">
        <f>SUM(F87,F90,F93,F94)</f>
        <v>260.81818181818181</v>
      </c>
      <c r="Q84" s="188">
        <f>SUM(F91,F92,F97,F101)</f>
        <v>99.285714285714292</v>
      </c>
      <c r="R84" s="188">
        <f>SUM(F85,F86,F99,F100)</f>
        <v>179</v>
      </c>
    </row>
    <row r="85" spans="2:18">
      <c r="C85" s="200" t="s">
        <v>738</v>
      </c>
      <c r="D85" s="200" t="s">
        <v>751</v>
      </c>
      <c r="E85" s="201">
        <v>325</v>
      </c>
      <c r="F85" s="201">
        <v>65</v>
      </c>
      <c r="G85" s="203">
        <v>44299</v>
      </c>
    </row>
    <row r="86" spans="2:18">
      <c r="C86" s="200" t="s">
        <v>755</v>
      </c>
      <c r="D86" s="200" t="s">
        <v>751</v>
      </c>
      <c r="E86" s="201">
        <v>155</v>
      </c>
      <c r="F86" s="201">
        <v>50</v>
      </c>
      <c r="G86" s="203">
        <v>44166</v>
      </c>
    </row>
    <row r="87" spans="2:18">
      <c r="C87" s="200" t="s">
        <v>402</v>
      </c>
      <c r="D87" s="200" t="s">
        <v>404</v>
      </c>
      <c r="E87" s="201">
        <v>130</v>
      </c>
      <c r="F87" s="201">
        <v>60</v>
      </c>
      <c r="G87" s="203">
        <v>44607</v>
      </c>
    </row>
    <row r="88" spans="2:18">
      <c r="C88" s="200" t="s">
        <v>544</v>
      </c>
      <c r="D88" s="200" t="s">
        <v>409</v>
      </c>
      <c r="E88" s="201">
        <v>28</v>
      </c>
      <c r="F88" s="201">
        <v>6</v>
      </c>
      <c r="G88" s="203">
        <v>44649</v>
      </c>
    </row>
    <row r="89" spans="2:18">
      <c r="C89" s="200" t="s">
        <v>565</v>
      </c>
      <c r="D89" s="200" t="s">
        <v>617</v>
      </c>
      <c r="E89" s="201">
        <v>85</v>
      </c>
      <c r="F89" s="201">
        <v>55</v>
      </c>
      <c r="G89" s="203">
        <v>44501</v>
      </c>
    </row>
    <row r="90" spans="2:18">
      <c r="C90" s="200" t="s">
        <v>402</v>
      </c>
      <c r="D90" s="200" t="s">
        <v>676</v>
      </c>
      <c r="E90" s="201">
        <v>2500</v>
      </c>
      <c r="F90" s="201">
        <f t="shared" ref="F90" si="1">2000/11</f>
        <v>181.81818181818181</v>
      </c>
      <c r="G90" s="203">
        <v>44363</v>
      </c>
    </row>
    <row r="91" spans="2:18">
      <c r="C91" s="200" t="s">
        <v>565</v>
      </c>
      <c r="D91" s="200" t="s">
        <v>611</v>
      </c>
      <c r="E91" s="201">
        <v>100</v>
      </c>
      <c r="F91" s="201">
        <v>10</v>
      </c>
      <c r="G91" s="203">
        <v>44754</v>
      </c>
    </row>
    <row r="92" spans="2:18">
      <c r="C92" s="200" t="s">
        <v>565</v>
      </c>
      <c r="D92" s="200" t="s">
        <v>626</v>
      </c>
      <c r="E92" s="201">
        <v>50</v>
      </c>
      <c r="F92" s="201">
        <v>25</v>
      </c>
      <c r="G92" s="203">
        <v>44496</v>
      </c>
    </row>
    <row r="93" spans="2:18">
      <c r="C93" s="200" t="s">
        <v>402</v>
      </c>
      <c r="D93" s="200" t="s">
        <v>630</v>
      </c>
      <c r="E93" s="201">
        <v>50</v>
      </c>
      <c r="F93" s="201">
        <v>7</v>
      </c>
      <c r="G93" s="203">
        <v>44628</v>
      </c>
    </row>
    <row r="94" spans="2:18">
      <c r="C94" s="200" t="s">
        <v>402</v>
      </c>
      <c r="D94" s="200" t="s">
        <v>655</v>
      </c>
      <c r="E94" s="201">
        <v>30</v>
      </c>
      <c r="F94" s="201">
        <v>12</v>
      </c>
      <c r="G94" s="203">
        <v>44539</v>
      </c>
    </row>
    <row r="95" spans="2:18">
      <c r="C95" s="200" t="s">
        <v>544</v>
      </c>
      <c r="D95" s="200" t="s">
        <v>672</v>
      </c>
      <c r="E95" s="201">
        <v>25</v>
      </c>
      <c r="F95" s="201">
        <v>10</v>
      </c>
      <c r="G95" s="203">
        <v>44615</v>
      </c>
    </row>
    <row r="96" spans="2:18">
      <c r="C96" s="211" t="s">
        <v>544</v>
      </c>
      <c r="D96" s="211" t="s">
        <v>702</v>
      </c>
      <c r="E96" s="201">
        <v>14</v>
      </c>
      <c r="F96" s="201">
        <v>5</v>
      </c>
      <c r="G96" s="203">
        <v>44705</v>
      </c>
    </row>
    <row r="97" spans="2:18">
      <c r="C97" s="211" t="s">
        <v>565</v>
      </c>
      <c r="D97" s="211" t="s">
        <v>433</v>
      </c>
      <c r="E97" s="201">
        <v>200</v>
      </c>
      <c r="F97" s="201">
        <v>50</v>
      </c>
      <c r="G97" s="203">
        <v>44377</v>
      </c>
    </row>
    <row r="98" spans="2:18">
      <c r="C98" s="222" t="s">
        <v>544</v>
      </c>
      <c r="D98" s="222" t="s">
        <v>719</v>
      </c>
      <c r="E98" s="201">
        <v>11</v>
      </c>
      <c r="F98" s="201">
        <f>7/3</f>
        <v>2.3333333333333335</v>
      </c>
      <c r="G98" s="203">
        <v>44483</v>
      </c>
    </row>
    <row r="99" spans="2:18">
      <c r="C99" s="228" t="s">
        <v>2439</v>
      </c>
      <c r="D99" s="228" t="s">
        <v>2441</v>
      </c>
      <c r="E99" s="201">
        <v>250</v>
      </c>
      <c r="F99" s="201">
        <v>50</v>
      </c>
      <c r="G99" s="203">
        <v>44376</v>
      </c>
    </row>
    <row r="100" spans="2:18">
      <c r="C100" s="228" t="s">
        <v>738</v>
      </c>
      <c r="D100" s="228" t="s">
        <v>2441</v>
      </c>
      <c r="E100" s="201">
        <v>206</v>
      </c>
      <c r="F100" s="201">
        <v>14</v>
      </c>
      <c r="G100" s="203">
        <v>43725</v>
      </c>
    </row>
    <row r="101" spans="2:18">
      <c r="C101" s="245" t="s">
        <v>565</v>
      </c>
      <c r="D101" s="245" t="s">
        <v>2866</v>
      </c>
      <c r="E101" s="201">
        <v>130</v>
      </c>
      <c r="F101" s="201">
        <f>100/7</f>
        <v>14.285714285714286</v>
      </c>
      <c r="G101" s="203">
        <v>44323</v>
      </c>
    </row>
    <row r="102" spans="2:18">
      <c r="C102" s="273" t="s">
        <v>544</v>
      </c>
      <c r="D102" s="273" t="s">
        <v>1760</v>
      </c>
      <c r="E102" s="201">
        <v>32</v>
      </c>
      <c r="F102" s="201">
        <v>11</v>
      </c>
      <c r="G102" s="203">
        <v>44851</v>
      </c>
    </row>
    <row r="103" spans="2:18">
      <c r="C103" s="273" t="s">
        <v>544</v>
      </c>
      <c r="D103" s="273" t="s">
        <v>1760</v>
      </c>
      <c r="E103" s="201">
        <v>26</v>
      </c>
      <c r="F103" s="201">
        <v>13</v>
      </c>
      <c r="G103" s="203">
        <v>44453</v>
      </c>
    </row>
    <row r="104" spans="2:18">
      <c r="C104" s="273" t="s">
        <v>755</v>
      </c>
      <c r="D104" s="273" t="s">
        <v>1818</v>
      </c>
      <c r="E104" s="201">
        <v>600</v>
      </c>
      <c r="F104" s="201">
        <v>100</v>
      </c>
      <c r="G104" s="203">
        <v>44502</v>
      </c>
    </row>
    <row r="105" spans="2:18">
      <c r="C105" s="273" t="s">
        <v>738</v>
      </c>
      <c r="D105" s="273" t="s">
        <v>1829</v>
      </c>
      <c r="E105" s="201">
        <v>400</v>
      </c>
      <c r="F105" s="201">
        <v>80</v>
      </c>
      <c r="G105" s="203">
        <v>44413</v>
      </c>
    </row>
    <row r="106" spans="2:18">
      <c r="G106" s="203"/>
    </row>
    <row r="107" spans="2:18" s="64" customFormat="1">
      <c r="B107" s="64" t="s">
        <v>939</v>
      </c>
      <c r="C107" s="191" t="s">
        <v>491</v>
      </c>
      <c r="D107" s="191" t="s">
        <v>759</v>
      </c>
      <c r="E107" s="188"/>
      <c r="F107" s="188">
        <f>SUM(F108:F112)</f>
        <v>716.31818181818176</v>
      </c>
      <c r="G107" s="202">
        <f>G111</f>
        <v>44502</v>
      </c>
      <c r="I107" s="191" t="s">
        <v>496</v>
      </c>
      <c r="J107" s="191" t="s">
        <v>496</v>
      </c>
      <c r="K107" s="191" t="s">
        <v>496</v>
      </c>
      <c r="M107" s="191">
        <v>0</v>
      </c>
      <c r="N107" s="191">
        <v>0</v>
      </c>
      <c r="O107" s="188">
        <f>F109</f>
        <v>250</v>
      </c>
      <c r="P107" s="188">
        <f>F108</f>
        <v>181.81818181818181</v>
      </c>
      <c r="Q107" s="191">
        <v>0</v>
      </c>
      <c r="R107" s="188">
        <f>F110</f>
        <v>22</v>
      </c>
    </row>
    <row r="108" spans="2:18">
      <c r="C108" s="200" t="s">
        <v>402</v>
      </c>
      <c r="D108" s="200" t="s">
        <v>676</v>
      </c>
      <c r="E108" s="201">
        <v>2500</v>
      </c>
      <c r="F108" s="201">
        <f>2000/11</f>
        <v>181.81818181818181</v>
      </c>
      <c r="G108" s="203">
        <v>44363</v>
      </c>
    </row>
    <row r="109" spans="2:18">
      <c r="C109" s="200" t="s">
        <v>544</v>
      </c>
      <c r="D109" s="200" t="s">
        <v>676</v>
      </c>
      <c r="E109" s="201">
        <v>3000</v>
      </c>
      <c r="F109" s="201">
        <v>250</v>
      </c>
      <c r="G109" s="203">
        <v>43963</v>
      </c>
    </row>
    <row r="110" spans="2:18">
      <c r="C110" s="228" t="s">
        <v>813</v>
      </c>
      <c r="D110" s="228" t="s">
        <v>2441</v>
      </c>
      <c r="E110" s="201">
        <v>270</v>
      </c>
      <c r="F110" s="201">
        <v>22</v>
      </c>
      <c r="G110" s="203">
        <v>44152</v>
      </c>
    </row>
    <row r="111" spans="2:18">
      <c r="C111" s="273" t="s">
        <v>755</v>
      </c>
      <c r="D111" s="273" t="s">
        <v>1818</v>
      </c>
      <c r="E111" s="201">
        <v>600</v>
      </c>
      <c r="F111" s="201">
        <f>500/8</f>
        <v>62.5</v>
      </c>
      <c r="G111" s="203">
        <v>44502</v>
      </c>
    </row>
    <row r="112" spans="2:18">
      <c r="C112" s="273" t="s">
        <v>565</v>
      </c>
      <c r="D112" s="273" t="s">
        <v>1818</v>
      </c>
      <c r="E112" s="201">
        <v>500</v>
      </c>
      <c r="F112" s="201">
        <v>200</v>
      </c>
      <c r="G112" s="203">
        <v>44144</v>
      </c>
    </row>
    <row r="113" spans="2:18">
      <c r="G113" s="203"/>
    </row>
    <row r="114" spans="2:18" s="64" customFormat="1">
      <c r="B114" s="64" t="s">
        <v>947</v>
      </c>
      <c r="C114" s="191" t="s">
        <v>491</v>
      </c>
      <c r="D114" s="191" t="s">
        <v>759</v>
      </c>
      <c r="E114" s="188"/>
      <c r="F114" s="188">
        <f>SUM(F115:F122)</f>
        <v>645.31818181818176</v>
      </c>
      <c r="G114" s="202">
        <f>G117</f>
        <v>44860</v>
      </c>
      <c r="I114" s="228" t="s">
        <v>496</v>
      </c>
      <c r="J114" s="228" t="s">
        <v>496</v>
      </c>
      <c r="K114" s="228" t="s">
        <v>496</v>
      </c>
      <c r="M114" s="191">
        <v>0</v>
      </c>
      <c r="N114" s="191">
        <v>0</v>
      </c>
      <c r="O114" s="188">
        <f>F116</f>
        <v>250</v>
      </c>
      <c r="P114" s="188">
        <f>SUM(F115,F117,F118,F119)</f>
        <v>235.81818181818181</v>
      </c>
      <c r="Q114" s="191">
        <v>0</v>
      </c>
      <c r="R114" s="191">
        <v>0</v>
      </c>
    </row>
    <row r="115" spans="2:18">
      <c r="C115" s="200" t="s">
        <v>402</v>
      </c>
      <c r="D115" s="200" t="s">
        <v>676</v>
      </c>
      <c r="E115" s="201">
        <v>2500</v>
      </c>
      <c r="F115" s="201">
        <f t="shared" si="0"/>
        <v>181.81818181818181</v>
      </c>
      <c r="G115" s="203">
        <v>44363</v>
      </c>
    </row>
    <row r="116" spans="2:18">
      <c r="C116" s="200" t="s">
        <v>544</v>
      </c>
      <c r="D116" s="200" t="s">
        <v>676</v>
      </c>
      <c r="E116" s="201">
        <v>3000</v>
      </c>
      <c r="F116" s="201">
        <v>250</v>
      </c>
      <c r="G116" s="203">
        <v>43963</v>
      </c>
    </row>
    <row r="117" spans="2:18">
      <c r="C117" s="240" t="s">
        <v>402</v>
      </c>
      <c r="D117" s="240" t="s">
        <v>2793</v>
      </c>
      <c r="E117" s="201">
        <v>37</v>
      </c>
      <c r="F117" s="201">
        <v>4</v>
      </c>
      <c r="G117" s="203">
        <v>44860</v>
      </c>
    </row>
    <row r="118" spans="2:18">
      <c r="C118" s="240" t="s">
        <v>402</v>
      </c>
      <c r="D118" s="240" t="s">
        <v>2793</v>
      </c>
      <c r="E118" s="201">
        <v>30</v>
      </c>
      <c r="F118" s="201">
        <v>30</v>
      </c>
      <c r="G118" s="203">
        <v>44706</v>
      </c>
    </row>
    <row r="119" spans="2:18">
      <c r="C119" s="240" t="s">
        <v>402</v>
      </c>
      <c r="D119" s="240" t="s">
        <v>2793</v>
      </c>
      <c r="E119" s="201">
        <v>80</v>
      </c>
      <c r="F119" s="201">
        <v>20</v>
      </c>
      <c r="G119" s="203">
        <v>44327</v>
      </c>
    </row>
    <row r="120" spans="2:18">
      <c r="C120" s="273" t="s">
        <v>755</v>
      </c>
      <c r="D120" s="273" t="s">
        <v>1818</v>
      </c>
      <c r="E120" s="201">
        <v>600</v>
      </c>
      <c r="F120" s="201">
        <f>500/8</f>
        <v>62.5</v>
      </c>
      <c r="G120" s="203">
        <v>44502</v>
      </c>
    </row>
    <row r="121" spans="2:18">
      <c r="C121" s="273" t="s">
        <v>565</v>
      </c>
      <c r="D121" s="273" t="s">
        <v>1818</v>
      </c>
      <c r="E121" s="201">
        <v>500</v>
      </c>
      <c r="F121" s="201">
        <f>300/4</f>
        <v>75</v>
      </c>
      <c r="G121" s="203">
        <v>44144</v>
      </c>
    </row>
    <row r="122" spans="2:18">
      <c r="C122" s="273" t="s">
        <v>755</v>
      </c>
      <c r="D122" s="273" t="s">
        <v>1827</v>
      </c>
      <c r="E122" s="201">
        <v>130</v>
      </c>
      <c r="F122" s="201">
        <v>22</v>
      </c>
      <c r="G122" s="203">
        <v>42080</v>
      </c>
      <c r="I122" s="199">
        <v>570</v>
      </c>
    </row>
    <row r="123" spans="2:18">
      <c r="G123" s="203"/>
    </row>
    <row r="124" spans="2:18" s="64" customFormat="1">
      <c r="B124" s="64" t="s">
        <v>942</v>
      </c>
      <c r="C124" s="191" t="s">
        <v>491</v>
      </c>
      <c r="D124" s="191" t="s">
        <v>759</v>
      </c>
      <c r="E124" s="188"/>
      <c r="F124" s="188">
        <f>+F125+F126</f>
        <v>431.81818181818181</v>
      </c>
      <c r="G124" s="202">
        <f>+G125</f>
        <v>44363</v>
      </c>
      <c r="I124" s="191" t="s">
        <v>496</v>
      </c>
      <c r="J124" s="191" t="s">
        <v>496</v>
      </c>
      <c r="K124" s="191" t="s">
        <v>496</v>
      </c>
      <c r="M124" s="191"/>
      <c r="N124" s="191"/>
      <c r="O124" s="191"/>
      <c r="P124" s="191"/>
      <c r="Q124" s="191"/>
      <c r="R124" s="191"/>
    </row>
    <row r="125" spans="2:18">
      <c r="C125" s="200" t="s">
        <v>402</v>
      </c>
      <c r="D125" s="200" t="s">
        <v>676</v>
      </c>
      <c r="E125" s="201">
        <v>2500</v>
      </c>
      <c r="F125" s="201">
        <f t="shared" si="0"/>
        <v>181.81818181818181</v>
      </c>
      <c r="G125" s="203">
        <v>44363</v>
      </c>
    </row>
    <row r="126" spans="2:18">
      <c r="C126" s="200" t="s">
        <v>544</v>
      </c>
      <c r="D126" s="200" t="s">
        <v>676</v>
      </c>
      <c r="E126" s="201">
        <v>3000</v>
      </c>
      <c r="F126" s="201">
        <v>250</v>
      </c>
      <c r="G126" s="203">
        <v>43963</v>
      </c>
    </row>
    <row r="127" spans="2:18">
      <c r="G127" s="203"/>
    </row>
    <row r="128" spans="2:18">
      <c r="B128" s="64" t="s">
        <v>984</v>
      </c>
      <c r="C128" s="191" t="s">
        <v>491</v>
      </c>
      <c r="D128" s="191" t="s">
        <v>759</v>
      </c>
      <c r="E128" s="188"/>
      <c r="F128" s="188">
        <f>SUM(F129:F150)</f>
        <v>407.86666666666673</v>
      </c>
      <c r="G128" s="202">
        <f>G136</f>
        <v>45056</v>
      </c>
      <c r="I128" s="64">
        <v>25000</v>
      </c>
      <c r="J128" s="236">
        <f>+F128/I128</f>
        <v>1.6314666666666668E-2</v>
      </c>
      <c r="K128" s="64">
        <v>1977</v>
      </c>
    </row>
    <row r="129" spans="3:7">
      <c r="C129" s="200" t="s">
        <v>983</v>
      </c>
      <c r="D129" s="200" t="s">
        <v>616</v>
      </c>
      <c r="E129" s="201">
        <v>100</v>
      </c>
      <c r="F129" s="201">
        <f>40/3</f>
        <v>13.333333333333334</v>
      </c>
      <c r="G129" s="203">
        <v>44537</v>
      </c>
    </row>
    <row r="130" spans="3:7">
      <c r="C130" s="200" t="s">
        <v>402</v>
      </c>
      <c r="D130" s="200" t="s">
        <v>616</v>
      </c>
      <c r="E130" s="201">
        <v>40</v>
      </c>
      <c r="F130" s="201">
        <v>20</v>
      </c>
      <c r="G130" s="203">
        <v>44125</v>
      </c>
    </row>
    <row r="131" spans="3:7">
      <c r="C131" s="200" t="s">
        <v>544</v>
      </c>
      <c r="D131" s="200" t="s">
        <v>616</v>
      </c>
      <c r="E131" s="201">
        <v>20</v>
      </c>
      <c r="F131" s="201">
        <f>12/6</f>
        <v>2</v>
      </c>
      <c r="G131" s="203">
        <v>43816</v>
      </c>
    </row>
    <row r="132" spans="3:7">
      <c r="C132" s="200" t="s">
        <v>544</v>
      </c>
      <c r="D132" s="200" t="s">
        <v>1017</v>
      </c>
      <c r="E132" s="201">
        <v>25.6</v>
      </c>
      <c r="F132" s="201">
        <v>20</v>
      </c>
      <c r="G132" s="203">
        <v>45013</v>
      </c>
    </row>
    <row r="133" spans="3:7">
      <c r="C133" s="200" t="s">
        <v>402</v>
      </c>
      <c r="D133" s="200" t="s">
        <v>623</v>
      </c>
      <c r="E133" s="201">
        <v>50</v>
      </c>
      <c r="F133" s="201">
        <f>30/5</f>
        <v>6</v>
      </c>
      <c r="G133" s="203">
        <v>45036</v>
      </c>
    </row>
    <row r="134" spans="3:7">
      <c r="C134" s="200" t="s">
        <v>544</v>
      </c>
      <c r="D134" s="200" t="s">
        <v>623</v>
      </c>
      <c r="E134" s="201">
        <v>16.5</v>
      </c>
      <c r="F134" s="201">
        <v>6</v>
      </c>
      <c r="G134" s="203">
        <v>44614</v>
      </c>
    </row>
    <row r="135" spans="3:7">
      <c r="C135" s="200" t="s">
        <v>549</v>
      </c>
      <c r="D135" s="200" t="s">
        <v>455</v>
      </c>
      <c r="E135" s="201">
        <v>30</v>
      </c>
      <c r="F135" s="201">
        <v>15</v>
      </c>
      <c r="G135" s="203">
        <v>44601</v>
      </c>
    </row>
    <row r="136" spans="3:7">
      <c r="C136" s="200" t="s">
        <v>549</v>
      </c>
      <c r="D136" s="200" t="s">
        <v>575</v>
      </c>
      <c r="E136" s="201">
        <v>4.5</v>
      </c>
      <c r="F136" s="201">
        <v>2</v>
      </c>
      <c r="G136" s="203">
        <v>45056</v>
      </c>
    </row>
    <row r="137" spans="3:7">
      <c r="C137" s="211" t="s">
        <v>669</v>
      </c>
      <c r="D137" s="211" t="s">
        <v>701</v>
      </c>
      <c r="E137" s="201">
        <v>4.5</v>
      </c>
      <c r="F137" s="201">
        <v>1</v>
      </c>
      <c r="G137" s="203">
        <v>44691</v>
      </c>
    </row>
    <row r="138" spans="3:7">
      <c r="C138" s="220" t="s">
        <v>549</v>
      </c>
      <c r="D138" s="220" t="s">
        <v>710</v>
      </c>
      <c r="E138" s="201">
        <v>12.8</v>
      </c>
      <c r="F138" s="201">
        <v>5</v>
      </c>
      <c r="G138" s="203">
        <v>44601</v>
      </c>
    </row>
    <row r="139" spans="3:7">
      <c r="C139" s="220" t="s">
        <v>549</v>
      </c>
      <c r="D139" s="220" t="s">
        <v>585</v>
      </c>
      <c r="E139" s="201">
        <v>10</v>
      </c>
      <c r="F139" s="201">
        <v>1</v>
      </c>
      <c r="G139" s="203">
        <v>44858</v>
      </c>
    </row>
    <row r="140" spans="3:7">
      <c r="C140" s="220" t="s">
        <v>549</v>
      </c>
      <c r="D140" s="220" t="s">
        <v>585</v>
      </c>
      <c r="E140" s="201">
        <v>4.5999999999999996</v>
      </c>
      <c r="F140" s="201">
        <v>2</v>
      </c>
      <c r="G140" s="203">
        <v>44530</v>
      </c>
    </row>
    <row r="141" spans="3:7">
      <c r="C141" s="228" t="s">
        <v>813</v>
      </c>
      <c r="D141" s="228" t="s">
        <v>2441</v>
      </c>
      <c r="E141" s="201">
        <v>270</v>
      </c>
      <c r="F141" s="201">
        <v>22</v>
      </c>
      <c r="G141" s="203">
        <v>44152</v>
      </c>
    </row>
    <row r="142" spans="3:7">
      <c r="C142" s="228" t="s">
        <v>738</v>
      </c>
      <c r="D142" s="228" t="s">
        <v>2441</v>
      </c>
      <c r="E142" s="201">
        <v>206</v>
      </c>
      <c r="F142" s="201">
        <v>14</v>
      </c>
      <c r="G142" s="203">
        <v>43725</v>
      </c>
    </row>
    <row r="143" spans="3:7">
      <c r="C143" s="228" t="s">
        <v>755</v>
      </c>
      <c r="D143" s="228" t="s">
        <v>2441</v>
      </c>
      <c r="E143" s="201">
        <v>100</v>
      </c>
      <c r="F143" s="201">
        <v>15</v>
      </c>
      <c r="G143" s="203">
        <v>43397</v>
      </c>
    </row>
    <row r="144" spans="3:7">
      <c r="C144" s="228" t="s">
        <v>565</v>
      </c>
      <c r="D144" s="228" t="s">
        <v>2441</v>
      </c>
      <c r="E144" s="201">
        <v>67.2</v>
      </c>
      <c r="F144" s="201">
        <v>37.200000000000003</v>
      </c>
      <c r="G144" s="203">
        <v>42943</v>
      </c>
    </row>
    <row r="145" spans="2:11">
      <c r="C145" s="228" t="s">
        <v>402</v>
      </c>
      <c r="D145" s="228" t="s">
        <v>1521</v>
      </c>
      <c r="E145" s="201">
        <v>90</v>
      </c>
      <c r="F145" s="201">
        <v>6</v>
      </c>
      <c r="G145" s="203">
        <v>44398</v>
      </c>
    </row>
    <row r="146" spans="2:11">
      <c r="C146" s="228" t="s">
        <v>544</v>
      </c>
      <c r="D146" s="228" t="s">
        <v>1521</v>
      </c>
      <c r="E146" s="201">
        <v>22.8</v>
      </c>
      <c r="F146" s="201">
        <v>6.4</v>
      </c>
      <c r="G146" s="203">
        <v>43160</v>
      </c>
      <c r="J146" s="212"/>
    </row>
    <row r="147" spans="2:11">
      <c r="C147" s="240" t="s">
        <v>738</v>
      </c>
      <c r="D147" s="240" t="s">
        <v>2810</v>
      </c>
      <c r="E147" s="201">
        <v>400</v>
      </c>
      <c r="F147" s="201">
        <v>200</v>
      </c>
      <c r="G147" s="203">
        <v>44608</v>
      </c>
      <c r="J147" s="212"/>
    </row>
    <row r="148" spans="2:11">
      <c r="C148" s="253" t="s">
        <v>544</v>
      </c>
      <c r="D148" s="253" t="s">
        <v>1663</v>
      </c>
      <c r="E148" s="201">
        <v>30</v>
      </c>
      <c r="F148" s="201">
        <v>10</v>
      </c>
      <c r="G148" s="203">
        <v>44474</v>
      </c>
      <c r="J148" s="212"/>
    </row>
    <row r="149" spans="2:11">
      <c r="C149" s="253" t="s">
        <v>549</v>
      </c>
      <c r="D149" s="253" t="s">
        <v>1663</v>
      </c>
      <c r="E149" s="201">
        <v>15</v>
      </c>
      <c r="F149" s="201">
        <f>10/4</f>
        <v>2.5</v>
      </c>
      <c r="G149" s="203">
        <v>43775</v>
      </c>
      <c r="J149" s="212"/>
    </row>
    <row r="150" spans="2:11">
      <c r="C150" s="273" t="s">
        <v>549</v>
      </c>
      <c r="D150" s="273" t="s">
        <v>1759</v>
      </c>
      <c r="E150" s="201">
        <v>4.3</v>
      </c>
      <c r="F150" s="201">
        <f>E150/3</f>
        <v>1.4333333333333333</v>
      </c>
      <c r="G150" s="203">
        <v>42821</v>
      </c>
      <c r="J150" s="212"/>
    </row>
    <row r="151" spans="2:11">
      <c r="G151" s="203"/>
    </row>
    <row r="152" spans="2:11">
      <c r="B152" s="64" t="s">
        <v>944</v>
      </c>
      <c r="C152" s="191" t="s">
        <v>491</v>
      </c>
      <c r="D152" s="191" t="s">
        <v>759</v>
      </c>
      <c r="F152" s="188">
        <f>+F153+F154</f>
        <v>381.81818181818181</v>
      </c>
      <c r="G152" s="202">
        <f>+G153</f>
        <v>44363</v>
      </c>
      <c r="I152" s="228" t="s">
        <v>496</v>
      </c>
      <c r="J152" s="228" t="s">
        <v>496</v>
      </c>
      <c r="K152" s="228" t="s">
        <v>496</v>
      </c>
    </row>
    <row r="153" spans="2:11">
      <c r="C153" s="200" t="s">
        <v>402</v>
      </c>
      <c r="D153" s="200" t="s">
        <v>676</v>
      </c>
      <c r="E153" s="201">
        <v>2500</v>
      </c>
      <c r="F153" s="201">
        <f t="shared" si="0"/>
        <v>181.81818181818181</v>
      </c>
      <c r="G153" s="203">
        <v>44363</v>
      </c>
    </row>
    <row r="154" spans="2:11">
      <c r="C154" s="200" t="s">
        <v>544</v>
      </c>
      <c r="D154" s="200" t="s">
        <v>676</v>
      </c>
      <c r="E154" s="201">
        <v>3000</v>
      </c>
      <c r="F154" s="201">
        <f>800/4</f>
        <v>200</v>
      </c>
      <c r="G154" s="203">
        <v>43892</v>
      </c>
    </row>
    <row r="155" spans="2:11">
      <c r="G155" s="203"/>
    </row>
    <row r="156" spans="2:11">
      <c r="B156" s="64" t="s">
        <v>946</v>
      </c>
      <c r="C156" s="191" t="s">
        <v>491</v>
      </c>
      <c r="D156" s="191" t="s">
        <v>759</v>
      </c>
      <c r="F156" s="188">
        <f>+F157+F158</f>
        <v>381.81818181818181</v>
      </c>
      <c r="G156" s="202">
        <f>+G157</f>
        <v>44363</v>
      </c>
      <c r="I156" s="228" t="s">
        <v>496</v>
      </c>
      <c r="J156" s="228" t="s">
        <v>496</v>
      </c>
      <c r="K156" s="228" t="s">
        <v>496</v>
      </c>
    </row>
    <row r="157" spans="2:11">
      <c r="C157" s="200" t="s">
        <v>402</v>
      </c>
      <c r="D157" s="200" t="s">
        <v>676</v>
      </c>
      <c r="E157" s="201">
        <v>2500</v>
      </c>
      <c r="F157" s="201">
        <f t="shared" si="0"/>
        <v>181.81818181818181</v>
      </c>
      <c r="G157" s="203">
        <v>44363</v>
      </c>
    </row>
    <row r="158" spans="2:11">
      <c r="C158" s="200" t="s">
        <v>544</v>
      </c>
      <c r="D158" s="200" t="s">
        <v>676</v>
      </c>
      <c r="E158" s="201">
        <v>3000</v>
      </c>
      <c r="F158" s="201">
        <f>800/4</f>
        <v>200</v>
      </c>
      <c r="G158" s="203">
        <v>43892</v>
      </c>
    </row>
    <row r="159" spans="2:11">
      <c r="G159" s="203"/>
    </row>
    <row r="160" spans="2:11">
      <c r="B160" s="64" t="s">
        <v>846</v>
      </c>
      <c r="C160" s="191" t="s">
        <v>491</v>
      </c>
      <c r="D160" s="191" t="s">
        <v>759</v>
      </c>
      <c r="E160" s="188"/>
      <c r="F160" s="188">
        <f>SUM(F161:F180)</f>
        <v>383.59999999999997</v>
      </c>
      <c r="G160" s="202">
        <f>G161</f>
        <v>44999</v>
      </c>
      <c r="I160" s="64">
        <v>3500</v>
      </c>
      <c r="J160" s="235">
        <f>+F160/I160</f>
        <v>0.10959999999999999</v>
      </c>
      <c r="K160" s="64">
        <v>1965</v>
      </c>
    </row>
    <row r="161" spans="3:7">
      <c r="C161" s="200" t="s">
        <v>402</v>
      </c>
      <c r="D161" s="200" t="s">
        <v>431</v>
      </c>
      <c r="E161" s="201">
        <v>350</v>
      </c>
      <c r="F161" s="201">
        <v>20</v>
      </c>
      <c r="G161" s="203">
        <v>44999</v>
      </c>
    </row>
    <row r="162" spans="3:7">
      <c r="C162" s="200" t="s">
        <v>544</v>
      </c>
      <c r="D162" s="200" t="s">
        <v>431</v>
      </c>
      <c r="E162" s="201">
        <v>65</v>
      </c>
      <c r="F162" s="201">
        <v>25</v>
      </c>
      <c r="G162" s="203">
        <v>44679</v>
      </c>
    </row>
    <row r="163" spans="3:7">
      <c r="C163" s="200" t="s">
        <v>549</v>
      </c>
      <c r="D163" s="200" t="s">
        <v>432</v>
      </c>
      <c r="E163" s="201">
        <v>225</v>
      </c>
      <c r="F163" s="201">
        <v>150</v>
      </c>
      <c r="G163" s="203">
        <v>44694</v>
      </c>
    </row>
    <row r="164" spans="3:7">
      <c r="C164" s="200" t="s">
        <v>565</v>
      </c>
      <c r="D164" s="200" t="s">
        <v>618</v>
      </c>
      <c r="E164" s="201">
        <v>85</v>
      </c>
      <c r="F164" s="201">
        <v>6</v>
      </c>
      <c r="G164" s="203">
        <v>44417</v>
      </c>
    </row>
    <row r="165" spans="3:7">
      <c r="C165" s="200" t="s">
        <v>402</v>
      </c>
      <c r="D165" s="200" t="s">
        <v>618</v>
      </c>
      <c r="E165" s="201">
        <v>35</v>
      </c>
      <c r="F165" s="201">
        <f>25/6</f>
        <v>4.166666666666667</v>
      </c>
      <c r="G165" s="203">
        <v>44293</v>
      </c>
    </row>
    <row r="166" spans="3:7">
      <c r="C166" s="200" t="s">
        <v>544</v>
      </c>
      <c r="D166" s="200" t="s">
        <v>618</v>
      </c>
      <c r="E166" s="201">
        <v>12</v>
      </c>
      <c r="F166" s="201">
        <v>6</v>
      </c>
      <c r="G166" s="203">
        <v>44026</v>
      </c>
    </row>
    <row r="167" spans="3:7">
      <c r="C167" s="200" t="s">
        <v>549</v>
      </c>
      <c r="D167" s="200" t="s">
        <v>618</v>
      </c>
      <c r="E167" s="201">
        <v>3.3</v>
      </c>
      <c r="F167" s="201">
        <v>1</v>
      </c>
      <c r="G167" s="203">
        <v>44026</v>
      </c>
    </row>
    <row r="168" spans="3:7">
      <c r="C168" s="200" t="s">
        <v>402</v>
      </c>
      <c r="D168" s="200" t="s">
        <v>647</v>
      </c>
      <c r="E168" s="201">
        <v>43</v>
      </c>
      <c r="F168" s="201">
        <v>6</v>
      </c>
      <c r="G168" s="203">
        <v>44978</v>
      </c>
    </row>
    <row r="169" spans="3:7">
      <c r="C169" s="200" t="s">
        <v>544</v>
      </c>
      <c r="D169" s="200" t="s">
        <v>647</v>
      </c>
      <c r="E169" s="201">
        <v>26</v>
      </c>
      <c r="F169" s="201">
        <f>13/2</f>
        <v>6.5</v>
      </c>
      <c r="G169" s="203">
        <v>44453</v>
      </c>
    </row>
    <row r="170" spans="3:7">
      <c r="C170" s="200" t="s">
        <v>549</v>
      </c>
      <c r="D170" s="200" t="s">
        <v>647</v>
      </c>
      <c r="E170" s="201">
        <v>6.3</v>
      </c>
      <c r="F170" s="201">
        <v>3</v>
      </c>
      <c r="G170" s="203">
        <v>44217</v>
      </c>
    </row>
    <row r="171" spans="3:7">
      <c r="C171" s="200" t="s">
        <v>549</v>
      </c>
      <c r="D171" s="200" t="s">
        <v>454</v>
      </c>
      <c r="E171" s="201">
        <v>30</v>
      </c>
      <c r="F171" s="201">
        <v>5</v>
      </c>
      <c r="G171" s="203">
        <v>44742</v>
      </c>
    </row>
    <row r="172" spans="3:7">
      <c r="C172" s="200" t="s">
        <v>402</v>
      </c>
      <c r="D172" s="200" t="s">
        <v>671</v>
      </c>
      <c r="E172" s="201">
        <v>25</v>
      </c>
      <c r="F172" s="201">
        <v>3</v>
      </c>
      <c r="G172" s="203">
        <v>44636</v>
      </c>
    </row>
    <row r="173" spans="3:7">
      <c r="C173" s="200" t="s">
        <v>544</v>
      </c>
      <c r="D173" s="200" t="s">
        <v>671</v>
      </c>
      <c r="E173" s="201">
        <v>12.2</v>
      </c>
      <c r="F173" s="201">
        <v>2</v>
      </c>
      <c r="G173" s="203">
        <v>44179</v>
      </c>
    </row>
    <row r="174" spans="3:7">
      <c r="C174" s="200" t="s">
        <v>549</v>
      </c>
      <c r="D174" s="200" t="s">
        <v>671</v>
      </c>
      <c r="E174" s="201">
        <v>5.0999999999999996</v>
      </c>
      <c r="F174" s="201">
        <v>3</v>
      </c>
      <c r="G174" s="203">
        <v>44046</v>
      </c>
    </row>
    <row r="175" spans="3:7">
      <c r="C175" s="200" t="s">
        <v>544</v>
      </c>
      <c r="D175" s="200" t="s">
        <v>686</v>
      </c>
      <c r="E175" s="201">
        <v>20</v>
      </c>
      <c r="F175" s="201">
        <v>7.5</v>
      </c>
      <c r="G175" s="203">
        <v>45009</v>
      </c>
    </row>
    <row r="176" spans="3:7">
      <c r="C176" s="218" t="s">
        <v>544</v>
      </c>
      <c r="D176" s="218" t="s">
        <v>581</v>
      </c>
      <c r="E176" s="201">
        <v>29</v>
      </c>
      <c r="F176" s="201">
        <v>10</v>
      </c>
      <c r="G176" s="203">
        <v>44691</v>
      </c>
    </row>
    <row r="177" spans="2:11">
      <c r="C177" s="220" t="s">
        <v>549</v>
      </c>
      <c r="D177" s="220" t="s">
        <v>715</v>
      </c>
      <c r="E177" s="201">
        <v>8</v>
      </c>
      <c r="F177" s="201">
        <v>3</v>
      </c>
      <c r="G177" s="203">
        <v>44677</v>
      </c>
    </row>
    <row r="178" spans="2:11">
      <c r="C178" s="273" t="s">
        <v>549</v>
      </c>
      <c r="D178" s="273" t="s">
        <v>1759</v>
      </c>
      <c r="E178" s="201">
        <v>4.3</v>
      </c>
      <c r="F178" s="201">
        <f>E178/3</f>
        <v>1.4333333333333333</v>
      </c>
      <c r="G178" s="203">
        <v>42821</v>
      </c>
    </row>
    <row r="179" spans="2:11">
      <c r="C179" s="273" t="s">
        <v>565</v>
      </c>
      <c r="D179" s="273" t="s">
        <v>1818</v>
      </c>
      <c r="E179" s="201">
        <v>500</v>
      </c>
      <c r="F179" s="201">
        <v>75</v>
      </c>
      <c r="G179" s="203">
        <v>44144</v>
      </c>
    </row>
    <row r="180" spans="2:11">
      <c r="C180" s="273" t="s">
        <v>544</v>
      </c>
      <c r="D180" s="273" t="s">
        <v>1818</v>
      </c>
      <c r="E180" s="201">
        <v>92</v>
      </c>
      <c r="F180" s="201">
        <f>E180/2</f>
        <v>46</v>
      </c>
      <c r="G180" s="203">
        <v>43130</v>
      </c>
    </row>
    <row r="182" spans="2:11">
      <c r="B182" s="64" t="s">
        <v>747</v>
      </c>
      <c r="C182" s="191" t="s">
        <v>491</v>
      </c>
      <c r="D182" s="191" t="s">
        <v>759</v>
      </c>
      <c r="E182" s="188"/>
      <c r="F182" s="188">
        <f>SUM(F183:F202)</f>
        <v>272</v>
      </c>
      <c r="G182" s="202">
        <f>G200</f>
        <v>45041</v>
      </c>
      <c r="I182" s="199">
        <v>70000</v>
      </c>
      <c r="J182" s="233">
        <f>+F182/I182</f>
        <v>3.8857142857142857E-3</v>
      </c>
      <c r="K182" s="199">
        <v>1999</v>
      </c>
    </row>
    <row r="183" spans="2:11">
      <c r="C183" s="200" t="s">
        <v>738</v>
      </c>
      <c r="D183" s="200" t="s">
        <v>751</v>
      </c>
      <c r="E183" s="201">
        <v>325</v>
      </c>
      <c r="F183" s="201">
        <v>18.5</v>
      </c>
      <c r="G183" s="203">
        <v>44299</v>
      </c>
    </row>
    <row r="184" spans="2:11">
      <c r="C184" s="200" t="s">
        <v>565</v>
      </c>
      <c r="D184" s="200" t="s">
        <v>751</v>
      </c>
      <c r="E184" s="201">
        <v>100</v>
      </c>
      <c r="F184" s="201">
        <f>65/5</f>
        <v>13</v>
      </c>
      <c r="G184" s="203">
        <v>43682</v>
      </c>
    </row>
    <row r="185" spans="2:11">
      <c r="C185" s="200" t="s">
        <v>549</v>
      </c>
      <c r="D185" s="200" t="s">
        <v>415</v>
      </c>
      <c r="E185" s="201">
        <v>100</v>
      </c>
      <c r="F185" s="201">
        <v>25</v>
      </c>
      <c r="G185" s="203">
        <v>44846</v>
      </c>
    </row>
    <row r="186" spans="2:11">
      <c r="C186" s="200" t="s">
        <v>565</v>
      </c>
      <c r="D186" s="200" t="s">
        <v>797</v>
      </c>
      <c r="E186" s="201">
        <v>100</v>
      </c>
      <c r="F186" s="201">
        <v>9</v>
      </c>
      <c r="G186" s="203">
        <v>44690</v>
      </c>
    </row>
    <row r="187" spans="2:11">
      <c r="C187" s="200" t="s">
        <v>544</v>
      </c>
      <c r="D187" s="200" t="s">
        <v>420</v>
      </c>
      <c r="E187" s="201">
        <v>125</v>
      </c>
      <c r="F187" s="201">
        <v>15</v>
      </c>
      <c r="G187" s="203">
        <v>44852</v>
      </c>
    </row>
    <row r="188" spans="2:11">
      <c r="C188" s="200" t="s">
        <v>565</v>
      </c>
      <c r="D188" s="200" t="s">
        <v>850</v>
      </c>
      <c r="E188" s="201">
        <v>135</v>
      </c>
      <c r="F188" s="201">
        <v>25</v>
      </c>
      <c r="G188" s="203">
        <v>44500</v>
      </c>
    </row>
    <row r="189" spans="2:11">
      <c r="C189" s="200" t="s">
        <v>402</v>
      </c>
      <c r="D189" s="200" t="s">
        <v>850</v>
      </c>
      <c r="E189" s="201">
        <v>45</v>
      </c>
      <c r="F189" s="201">
        <v>10</v>
      </c>
      <c r="G189" s="203">
        <v>44228</v>
      </c>
    </row>
    <row r="190" spans="2:11">
      <c r="C190" s="200" t="s">
        <v>565</v>
      </c>
      <c r="D190" s="200" t="s">
        <v>864</v>
      </c>
      <c r="E190" s="201">
        <v>50</v>
      </c>
      <c r="F190" s="201">
        <v>6</v>
      </c>
      <c r="G190" s="203">
        <v>44900</v>
      </c>
    </row>
    <row r="191" spans="2:11">
      <c r="C191" s="200" t="s">
        <v>402</v>
      </c>
      <c r="D191" s="200" t="s">
        <v>864</v>
      </c>
      <c r="E191" s="201">
        <v>35</v>
      </c>
      <c r="F191" s="201">
        <v>20</v>
      </c>
      <c r="G191" s="203">
        <v>44543</v>
      </c>
    </row>
    <row r="192" spans="2:11">
      <c r="C192" s="200" t="s">
        <v>565</v>
      </c>
      <c r="D192" s="200" t="s">
        <v>626</v>
      </c>
      <c r="E192" s="201">
        <v>50</v>
      </c>
      <c r="F192" s="201">
        <v>8</v>
      </c>
      <c r="G192" s="203">
        <v>44496</v>
      </c>
    </row>
    <row r="193" spans="2:11">
      <c r="C193" s="200" t="s">
        <v>402</v>
      </c>
      <c r="D193" s="200" t="s">
        <v>626</v>
      </c>
      <c r="E193" s="201">
        <v>22</v>
      </c>
      <c r="F193" s="201">
        <v>12</v>
      </c>
      <c r="G193" s="203">
        <v>44153</v>
      </c>
    </row>
    <row r="194" spans="2:11">
      <c r="C194" s="200" t="s">
        <v>402</v>
      </c>
      <c r="D194" s="200" t="s">
        <v>630</v>
      </c>
      <c r="E194" s="201">
        <v>50</v>
      </c>
      <c r="F194" s="201">
        <v>7</v>
      </c>
      <c r="G194" s="203">
        <v>44628</v>
      </c>
    </row>
    <row r="195" spans="2:11">
      <c r="C195" s="200" t="s">
        <v>402</v>
      </c>
      <c r="D195" s="200" t="s">
        <v>647</v>
      </c>
      <c r="E195" s="201">
        <v>43</v>
      </c>
      <c r="F195" s="201">
        <v>6</v>
      </c>
      <c r="G195" s="203">
        <v>44978</v>
      </c>
    </row>
    <row r="196" spans="2:11">
      <c r="C196" s="200" t="s">
        <v>544</v>
      </c>
      <c r="D196" s="200" t="s">
        <v>647</v>
      </c>
      <c r="E196" s="201">
        <v>26</v>
      </c>
      <c r="F196" s="201">
        <v>13</v>
      </c>
      <c r="G196" s="203">
        <v>44453</v>
      </c>
    </row>
    <row r="197" spans="2:11">
      <c r="C197" s="200" t="s">
        <v>402</v>
      </c>
      <c r="D197" s="200" t="s">
        <v>649</v>
      </c>
      <c r="E197" s="201">
        <v>40</v>
      </c>
      <c r="F197" s="201">
        <v>20</v>
      </c>
      <c r="G197" s="203">
        <v>44728</v>
      </c>
    </row>
    <row r="198" spans="2:11">
      <c r="C198" s="200" t="s">
        <v>402</v>
      </c>
      <c r="D198" s="200" t="s">
        <v>1163</v>
      </c>
      <c r="E198" s="201">
        <v>30</v>
      </c>
      <c r="F198" s="201">
        <f>20/3</f>
        <v>6.666666666666667</v>
      </c>
      <c r="G198" s="203">
        <v>44510</v>
      </c>
    </row>
    <row r="199" spans="2:11">
      <c r="C199" s="200" t="s">
        <v>544</v>
      </c>
      <c r="D199" s="200" t="s">
        <v>1163</v>
      </c>
      <c r="E199" s="201">
        <v>21.4</v>
      </c>
      <c r="F199" s="201">
        <v>5</v>
      </c>
      <c r="G199" s="203">
        <v>44232</v>
      </c>
    </row>
    <row r="200" spans="2:11">
      <c r="C200" s="200" t="s">
        <v>402</v>
      </c>
      <c r="D200" s="200" t="s">
        <v>392</v>
      </c>
      <c r="E200" s="201">
        <v>97.4</v>
      </c>
      <c r="F200" s="201">
        <f>47/6</f>
        <v>7.833333333333333</v>
      </c>
      <c r="G200" s="203">
        <v>45041</v>
      </c>
    </row>
    <row r="201" spans="2:11">
      <c r="C201" s="200" t="s">
        <v>402</v>
      </c>
      <c r="D201" s="200" t="s">
        <v>392</v>
      </c>
      <c r="E201" s="201">
        <v>80</v>
      </c>
      <c r="F201" s="201">
        <v>40</v>
      </c>
      <c r="G201" s="203">
        <v>44539</v>
      </c>
    </row>
    <row r="202" spans="2:11">
      <c r="C202" s="200" t="s">
        <v>402</v>
      </c>
      <c r="D202" s="253" t="s">
        <v>1696</v>
      </c>
      <c r="E202" s="201">
        <v>35</v>
      </c>
      <c r="F202" s="201">
        <v>5</v>
      </c>
      <c r="G202" s="203">
        <v>44309</v>
      </c>
    </row>
    <row r="203" spans="2:11">
      <c r="G203" s="203"/>
      <c r="I203" s="64"/>
      <c r="J203" s="64"/>
      <c r="K203" s="64"/>
    </row>
    <row r="204" spans="2:11">
      <c r="B204" s="64" t="s">
        <v>940</v>
      </c>
      <c r="C204" s="191" t="s">
        <v>491</v>
      </c>
      <c r="D204" s="191" t="s">
        <v>759</v>
      </c>
      <c r="E204" s="188"/>
      <c r="F204" s="188">
        <f>SUM(F205:F210)</f>
        <v>310.46897546897549</v>
      </c>
      <c r="G204" s="202">
        <f>+G206</f>
        <v>44893</v>
      </c>
      <c r="I204" s="228" t="s">
        <v>496</v>
      </c>
      <c r="J204" s="228" t="s">
        <v>496</v>
      </c>
      <c r="K204" s="228" t="s">
        <v>496</v>
      </c>
    </row>
    <row r="205" spans="2:11">
      <c r="C205" s="200" t="s">
        <v>402</v>
      </c>
      <c r="D205" s="200" t="s">
        <v>676</v>
      </c>
      <c r="E205" s="201">
        <v>2500</v>
      </c>
      <c r="F205" s="201">
        <f t="shared" si="0"/>
        <v>181.81818181818181</v>
      </c>
      <c r="G205" s="203">
        <v>44363</v>
      </c>
    </row>
    <row r="206" spans="2:11">
      <c r="C206" s="200" t="s">
        <v>544</v>
      </c>
      <c r="D206" s="200" t="s">
        <v>654</v>
      </c>
      <c r="E206" s="201">
        <v>33</v>
      </c>
      <c r="F206" s="201">
        <v>10</v>
      </c>
      <c r="G206" s="203">
        <v>44893</v>
      </c>
    </row>
    <row r="207" spans="2:11">
      <c r="C207" s="228" t="s">
        <v>402</v>
      </c>
      <c r="D207" s="228" t="s">
        <v>1521</v>
      </c>
      <c r="E207" s="201">
        <v>90</v>
      </c>
      <c r="F207" s="201">
        <v>15</v>
      </c>
      <c r="G207" s="203">
        <v>44398</v>
      </c>
    </row>
    <row r="208" spans="2:11">
      <c r="C208" s="228" t="s">
        <v>565</v>
      </c>
      <c r="D208" s="228" t="s">
        <v>1580</v>
      </c>
      <c r="E208" s="201">
        <v>80</v>
      </c>
      <c r="F208" s="201">
        <v>10</v>
      </c>
      <c r="G208" s="203">
        <v>44404</v>
      </c>
    </row>
    <row r="209" spans="2:18">
      <c r="C209" s="273" t="s">
        <v>755</v>
      </c>
      <c r="D209" s="273" t="s">
        <v>1823</v>
      </c>
      <c r="E209" s="201">
        <v>676</v>
      </c>
      <c r="F209" s="201">
        <f>500/7</f>
        <v>71.428571428571431</v>
      </c>
      <c r="G209" s="203">
        <v>44299</v>
      </c>
      <c r="I209" s="199">
        <v>4400</v>
      </c>
    </row>
    <row r="210" spans="2:18">
      <c r="C210" s="273" t="s">
        <v>565</v>
      </c>
      <c r="D210" s="273" t="s">
        <v>1825</v>
      </c>
      <c r="E210" s="201">
        <v>500</v>
      </c>
      <c r="F210" s="201">
        <f>200/9</f>
        <v>22.222222222222221</v>
      </c>
      <c r="G210" s="203">
        <v>44274</v>
      </c>
    </row>
    <row r="211" spans="2:18">
      <c r="G211" s="203"/>
    </row>
    <row r="212" spans="2:18" s="64" customFormat="1">
      <c r="B212" s="64" t="s">
        <v>762</v>
      </c>
      <c r="C212" s="191" t="s">
        <v>491</v>
      </c>
      <c r="D212" s="191" t="s">
        <v>759</v>
      </c>
      <c r="E212" s="188"/>
      <c r="F212" s="188">
        <f>SUM(F213:F216)</f>
        <v>268</v>
      </c>
      <c r="G212" s="202">
        <f>+G213</f>
        <v>45069</v>
      </c>
      <c r="I212" s="64">
        <v>3800</v>
      </c>
      <c r="J212" s="235">
        <f>+F212/I212</f>
        <v>7.0526315789473687E-2</v>
      </c>
      <c r="K212" s="64">
        <v>2005</v>
      </c>
      <c r="M212" s="191"/>
      <c r="N212" s="191"/>
      <c r="O212" s="191"/>
      <c r="P212" s="191"/>
      <c r="Q212" s="191"/>
      <c r="R212" s="191"/>
    </row>
    <row r="213" spans="2:18">
      <c r="C213" s="200" t="s">
        <v>565</v>
      </c>
      <c r="D213" s="200" t="s">
        <v>144</v>
      </c>
      <c r="E213" s="201">
        <v>450</v>
      </c>
      <c r="F213" s="201">
        <v>150</v>
      </c>
      <c r="G213" s="203">
        <v>45069</v>
      </c>
    </row>
    <row r="214" spans="2:18">
      <c r="C214" s="200" t="s">
        <v>402</v>
      </c>
      <c r="D214" s="200" t="s">
        <v>431</v>
      </c>
      <c r="E214" s="201">
        <v>350</v>
      </c>
      <c r="F214" s="201">
        <v>75</v>
      </c>
      <c r="G214" s="203">
        <v>44999</v>
      </c>
    </row>
    <row r="215" spans="2:18">
      <c r="C215" s="200" t="s">
        <v>565</v>
      </c>
      <c r="D215" s="200" t="s">
        <v>751</v>
      </c>
      <c r="E215" s="201">
        <v>100</v>
      </c>
      <c r="F215" s="201">
        <v>13</v>
      </c>
      <c r="G215" s="203">
        <v>43682</v>
      </c>
    </row>
    <row r="216" spans="2:18">
      <c r="C216" s="245" t="s">
        <v>565</v>
      </c>
      <c r="D216" s="245" t="s">
        <v>2866</v>
      </c>
      <c r="E216" s="201">
        <v>130</v>
      </c>
      <c r="F216" s="201">
        <v>30</v>
      </c>
      <c r="G216" s="203">
        <v>44323</v>
      </c>
    </row>
    <row r="217" spans="2:18">
      <c r="G217" s="203"/>
    </row>
    <row r="218" spans="2:18">
      <c r="B218" s="64" t="s">
        <v>804</v>
      </c>
      <c r="C218" s="191" t="s">
        <v>491</v>
      </c>
      <c r="D218" s="191" t="s">
        <v>759</v>
      </c>
      <c r="E218" s="188"/>
      <c r="F218" s="188">
        <f>SUM(F219:F228)</f>
        <v>219</v>
      </c>
      <c r="G218" s="202">
        <f>G228</f>
        <v>45091</v>
      </c>
      <c r="I218" s="64">
        <v>6500</v>
      </c>
      <c r="J218" s="235">
        <f>+F218/I218</f>
        <v>3.3692307692307695E-2</v>
      </c>
      <c r="K218" s="64">
        <v>2020</v>
      </c>
    </row>
    <row r="219" spans="2:18">
      <c r="B219" s="64"/>
      <c r="C219" s="200" t="s">
        <v>402</v>
      </c>
      <c r="D219" s="200" t="s">
        <v>431</v>
      </c>
      <c r="E219" s="201">
        <v>350</v>
      </c>
      <c r="F219" s="201">
        <v>20</v>
      </c>
      <c r="G219" s="203">
        <v>44999</v>
      </c>
    </row>
    <row r="220" spans="2:18">
      <c r="B220" s="64"/>
      <c r="C220" s="200" t="s">
        <v>544</v>
      </c>
      <c r="D220" s="200" t="s">
        <v>431</v>
      </c>
      <c r="E220" s="201">
        <v>65</v>
      </c>
      <c r="F220" s="201">
        <v>25</v>
      </c>
      <c r="G220" s="203">
        <v>44679</v>
      </c>
    </row>
    <row r="221" spans="2:18">
      <c r="C221" s="200" t="s">
        <v>565</v>
      </c>
      <c r="D221" s="200" t="s">
        <v>797</v>
      </c>
      <c r="E221" s="201">
        <v>100</v>
      </c>
      <c r="F221" s="201">
        <v>9</v>
      </c>
      <c r="G221" s="203">
        <v>44690</v>
      </c>
    </row>
    <row r="222" spans="2:18">
      <c r="C222" s="200" t="s">
        <v>402</v>
      </c>
      <c r="D222" s="200" t="s">
        <v>797</v>
      </c>
      <c r="E222" s="201">
        <v>40</v>
      </c>
      <c r="F222" s="201">
        <v>7</v>
      </c>
      <c r="G222" s="203">
        <v>44327</v>
      </c>
    </row>
    <row r="223" spans="2:18">
      <c r="C223" s="200" t="s">
        <v>565</v>
      </c>
      <c r="D223" s="200" t="s">
        <v>617</v>
      </c>
      <c r="E223" s="201">
        <v>85</v>
      </c>
      <c r="F223" s="201">
        <v>10</v>
      </c>
      <c r="G223" s="203">
        <v>44501</v>
      </c>
    </row>
    <row r="224" spans="2:18">
      <c r="C224" s="200" t="s">
        <v>402</v>
      </c>
      <c r="D224" s="200" t="s">
        <v>617</v>
      </c>
      <c r="E224" s="201">
        <v>28</v>
      </c>
      <c r="F224" s="201">
        <v>18</v>
      </c>
      <c r="G224" s="203">
        <v>44272</v>
      </c>
    </row>
    <row r="225" spans="2:11">
      <c r="C225" s="200" t="s">
        <v>565</v>
      </c>
      <c r="D225" s="200" t="s">
        <v>618</v>
      </c>
      <c r="E225" s="201">
        <v>85</v>
      </c>
      <c r="F225" s="201">
        <v>20</v>
      </c>
      <c r="G225" s="203">
        <v>44417</v>
      </c>
    </row>
    <row r="226" spans="2:11">
      <c r="C226" s="200" t="s">
        <v>980</v>
      </c>
      <c r="D226" s="200" t="s">
        <v>616</v>
      </c>
      <c r="E226" s="201">
        <v>99</v>
      </c>
      <c r="F226" s="201">
        <v>30</v>
      </c>
      <c r="G226" s="203">
        <v>44796</v>
      </c>
    </row>
    <row r="227" spans="2:11">
      <c r="C227" s="200" t="s">
        <v>983</v>
      </c>
      <c r="D227" s="200" t="s">
        <v>616</v>
      </c>
      <c r="E227" s="201">
        <v>100</v>
      </c>
      <c r="F227" s="201">
        <v>30</v>
      </c>
      <c r="G227" s="203">
        <v>44537</v>
      </c>
    </row>
    <row r="228" spans="2:11">
      <c r="C228" s="253" t="s">
        <v>755</v>
      </c>
      <c r="D228" s="253" t="s">
        <v>1632</v>
      </c>
      <c r="E228" s="201">
        <v>69</v>
      </c>
      <c r="F228" s="201">
        <v>50</v>
      </c>
      <c r="G228" s="203">
        <v>45091</v>
      </c>
    </row>
    <row r="229" spans="2:11">
      <c r="C229" s="253" t="s">
        <v>565</v>
      </c>
      <c r="D229" s="253" t="s">
        <v>1632</v>
      </c>
      <c r="E229" s="201">
        <v>110</v>
      </c>
      <c r="F229" s="201">
        <v>40</v>
      </c>
      <c r="G229" s="203">
        <v>44369</v>
      </c>
    </row>
    <row r="230" spans="2:11">
      <c r="G230" s="203"/>
    </row>
    <row r="231" spans="2:11">
      <c r="B231" s="64" t="s">
        <v>924</v>
      </c>
      <c r="C231" s="191" t="s">
        <v>491</v>
      </c>
      <c r="D231" s="191" t="s">
        <v>759</v>
      </c>
      <c r="E231" s="188"/>
      <c r="F231" s="188">
        <f>SUM(F232:F238)</f>
        <v>210.5952380952381</v>
      </c>
      <c r="G231" s="202">
        <f>G232</f>
        <v>44417</v>
      </c>
      <c r="I231" s="227" t="s">
        <v>496</v>
      </c>
      <c r="J231" s="227" t="s">
        <v>496</v>
      </c>
      <c r="K231" s="227" t="s">
        <v>496</v>
      </c>
    </row>
    <row r="232" spans="2:11">
      <c r="C232" s="200" t="s">
        <v>565</v>
      </c>
      <c r="D232" s="200" t="s">
        <v>618</v>
      </c>
      <c r="E232" s="201">
        <v>85</v>
      </c>
      <c r="F232" s="201">
        <v>20</v>
      </c>
      <c r="G232" s="203">
        <v>44417</v>
      </c>
    </row>
    <row r="233" spans="2:11">
      <c r="C233" s="200" t="s">
        <v>402</v>
      </c>
      <c r="D233" s="200" t="s">
        <v>618</v>
      </c>
      <c r="E233" s="201">
        <v>35</v>
      </c>
      <c r="F233" s="201">
        <f>25/6</f>
        <v>4.166666666666667</v>
      </c>
      <c r="G233" s="203">
        <v>44293</v>
      </c>
    </row>
    <row r="234" spans="2:11">
      <c r="C234" s="228" t="s">
        <v>813</v>
      </c>
      <c r="D234" s="228" t="s">
        <v>2441</v>
      </c>
      <c r="E234" s="201">
        <v>270</v>
      </c>
      <c r="F234" s="201">
        <v>22</v>
      </c>
      <c r="G234" s="203">
        <v>44152</v>
      </c>
    </row>
    <row r="235" spans="2:11">
      <c r="C235" s="228" t="s">
        <v>402</v>
      </c>
      <c r="D235" s="228" t="s">
        <v>1521</v>
      </c>
      <c r="E235" s="201">
        <v>90</v>
      </c>
      <c r="F235" s="201">
        <v>6</v>
      </c>
      <c r="G235" s="203">
        <v>44398</v>
      </c>
    </row>
    <row r="236" spans="2:11">
      <c r="C236" s="273" t="s">
        <v>755</v>
      </c>
      <c r="D236" s="273" t="s">
        <v>1803</v>
      </c>
      <c r="E236" s="201">
        <v>111</v>
      </c>
      <c r="F236" s="201">
        <v>7</v>
      </c>
      <c r="G236" s="203">
        <v>44622</v>
      </c>
    </row>
    <row r="237" spans="2:11">
      <c r="C237" s="273" t="s">
        <v>755</v>
      </c>
      <c r="D237" s="273" t="s">
        <v>1823</v>
      </c>
      <c r="E237" s="201">
        <v>676</v>
      </c>
      <c r="F237" s="201">
        <f>500/7</f>
        <v>71.428571428571431</v>
      </c>
      <c r="G237" s="203">
        <v>44299</v>
      </c>
      <c r="I237" s="199">
        <v>4400</v>
      </c>
    </row>
    <row r="238" spans="2:11">
      <c r="C238" s="273" t="s">
        <v>565</v>
      </c>
      <c r="D238" s="273" t="s">
        <v>1823</v>
      </c>
      <c r="E238" s="201">
        <v>250</v>
      </c>
      <c r="F238" s="201">
        <v>80</v>
      </c>
      <c r="G238" s="203">
        <v>43886</v>
      </c>
      <c r="I238" s="199">
        <v>2300</v>
      </c>
    </row>
    <row r="239" spans="2:11">
      <c r="G239" s="203"/>
    </row>
    <row r="240" spans="2:11">
      <c r="B240" s="64" t="s">
        <v>781</v>
      </c>
      <c r="C240" s="191" t="s">
        <v>491</v>
      </c>
      <c r="D240" s="191" t="s">
        <v>759</v>
      </c>
      <c r="F240" s="188">
        <f>SUM(F241:F261)</f>
        <v>202.93333333333331</v>
      </c>
      <c r="G240" s="202">
        <f>G248</f>
        <v>45090</v>
      </c>
      <c r="I240" s="64">
        <v>18000</v>
      </c>
      <c r="J240" s="235">
        <f>+F240/I240</f>
        <v>1.1274074074074074E-2</v>
      </c>
      <c r="K240" s="64">
        <v>2000</v>
      </c>
    </row>
    <row r="241" spans="3:7">
      <c r="C241" s="200" t="s">
        <v>549</v>
      </c>
      <c r="D241" s="200" t="s">
        <v>415</v>
      </c>
      <c r="E241" s="201">
        <v>100</v>
      </c>
      <c r="F241" s="201">
        <v>25</v>
      </c>
      <c r="G241" s="203">
        <v>44846</v>
      </c>
    </row>
    <row r="242" spans="3:7">
      <c r="C242" s="200" t="s">
        <v>565</v>
      </c>
      <c r="D242" s="200" t="s">
        <v>618</v>
      </c>
      <c r="E242" s="201">
        <v>85</v>
      </c>
      <c r="F242" s="201">
        <v>6</v>
      </c>
      <c r="G242" s="203">
        <v>44417</v>
      </c>
    </row>
    <row r="243" spans="3:7">
      <c r="C243" s="200" t="s">
        <v>402</v>
      </c>
      <c r="D243" s="200" t="s">
        <v>618</v>
      </c>
      <c r="E243" s="201">
        <v>35</v>
      </c>
      <c r="F243" s="201">
        <v>10</v>
      </c>
      <c r="G243" s="203">
        <v>44293</v>
      </c>
    </row>
    <row r="244" spans="3:7">
      <c r="C244" s="200" t="s">
        <v>565</v>
      </c>
      <c r="D244" s="200" t="s">
        <v>423</v>
      </c>
      <c r="E244" s="201">
        <v>100</v>
      </c>
      <c r="F244" s="201">
        <v>15</v>
      </c>
      <c r="G244" s="203">
        <v>44699</v>
      </c>
    </row>
    <row r="245" spans="3:7">
      <c r="C245" s="200" t="s">
        <v>402</v>
      </c>
      <c r="D245" s="200" t="s">
        <v>423</v>
      </c>
      <c r="E245" s="201">
        <v>100</v>
      </c>
      <c r="F245" s="201">
        <f>25/3</f>
        <v>8.3333333333333339</v>
      </c>
      <c r="G245" s="203">
        <v>44286</v>
      </c>
    </row>
    <row r="246" spans="3:7">
      <c r="C246" s="200" t="s">
        <v>544</v>
      </c>
      <c r="D246" s="200" t="s">
        <v>424</v>
      </c>
      <c r="E246" s="201">
        <v>65</v>
      </c>
      <c r="F246" s="201">
        <v>35</v>
      </c>
      <c r="G246" s="203">
        <v>44984</v>
      </c>
    </row>
    <row r="247" spans="3:7">
      <c r="C247" s="200" t="s">
        <v>402</v>
      </c>
      <c r="D247" s="200" t="s">
        <v>647</v>
      </c>
      <c r="E247" s="201">
        <v>43</v>
      </c>
      <c r="F247" s="201">
        <v>13</v>
      </c>
      <c r="G247" s="203">
        <v>44978</v>
      </c>
    </row>
    <row r="248" spans="3:7">
      <c r="C248" s="211" t="s">
        <v>549</v>
      </c>
      <c r="D248" s="211" t="s">
        <v>1151</v>
      </c>
      <c r="E248" s="201">
        <v>113</v>
      </c>
      <c r="F248" s="201">
        <v>19</v>
      </c>
      <c r="G248" s="203">
        <v>45090</v>
      </c>
    </row>
    <row r="249" spans="3:7">
      <c r="C249" s="211" t="s">
        <v>544</v>
      </c>
      <c r="D249" s="211" t="s">
        <v>697</v>
      </c>
      <c r="E249" s="201">
        <v>15</v>
      </c>
      <c r="F249" s="201">
        <v>3</v>
      </c>
      <c r="G249" s="203">
        <v>44838</v>
      </c>
    </row>
    <row r="250" spans="3:7">
      <c r="C250" s="211" t="s">
        <v>565</v>
      </c>
      <c r="D250" s="211" t="s">
        <v>433</v>
      </c>
      <c r="E250" s="201">
        <v>200</v>
      </c>
      <c r="F250" s="201">
        <v>20</v>
      </c>
      <c r="G250" s="203">
        <v>44377</v>
      </c>
    </row>
    <row r="251" spans="3:7">
      <c r="C251" s="211" t="s">
        <v>402</v>
      </c>
      <c r="D251" s="211" t="s">
        <v>433</v>
      </c>
      <c r="E251" s="201">
        <v>75</v>
      </c>
      <c r="F251" s="201">
        <v>5</v>
      </c>
      <c r="G251" s="203">
        <v>43783</v>
      </c>
    </row>
    <row r="252" spans="3:7">
      <c r="C252" s="211" t="s">
        <v>544</v>
      </c>
      <c r="D252" s="211" t="s">
        <v>433</v>
      </c>
      <c r="E252" s="201">
        <v>30</v>
      </c>
      <c r="F252" s="201">
        <v>10</v>
      </c>
      <c r="G252" s="203">
        <v>43573</v>
      </c>
    </row>
    <row r="253" spans="3:7">
      <c r="C253" s="222" t="s">
        <v>549</v>
      </c>
      <c r="D253" s="222" t="s">
        <v>1858</v>
      </c>
      <c r="E253" s="201">
        <v>1.5</v>
      </c>
      <c r="F253" s="201">
        <v>1</v>
      </c>
      <c r="G253" s="203">
        <v>44098</v>
      </c>
    </row>
    <row r="254" spans="3:7">
      <c r="C254" s="225" t="s">
        <v>755</v>
      </c>
      <c r="D254" s="225" t="s">
        <v>445</v>
      </c>
      <c r="E254" s="201">
        <v>100</v>
      </c>
      <c r="F254" s="201">
        <f>50/4</f>
        <v>12.5</v>
      </c>
      <c r="G254" s="203">
        <v>44419</v>
      </c>
    </row>
    <row r="255" spans="3:7">
      <c r="C255" s="225" t="s">
        <v>565</v>
      </c>
      <c r="D255" s="225" t="s">
        <v>445</v>
      </c>
      <c r="E255" s="201">
        <v>60</v>
      </c>
      <c r="F255" s="201">
        <v>5</v>
      </c>
      <c r="G255" s="203">
        <v>43606</v>
      </c>
    </row>
    <row r="256" spans="3:7">
      <c r="C256" s="225" t="s">
        <v>402</v>
      </c>
      <c r="D256" s="225" t="s">
        <v>445</v>
      </c>
      <c r="E256" s="201">
        <v>30</v>
      </c>
      <c r="F256" s="201">
        <v>5</v>
      </c>
      <c r="G256" s="203">
        <v>43396</v>
      </c>
    </row>
    <row r="257" spans="2:18">
      <c r="C257" s="225" t="s">
        <v>544</v>
      </c>
      <c r="D257" s="225" t="s">
        <v>445</v>
      </c>
      <c r="E257" s="201">
        <v>7</v>
      </c>
      <c r="F257" s="201">
        <v>3</v>
      </c>
      <c r="G257" s="203">
        <v>42885</v>
      </c>
    </row>
    <row r="258" spans="2:18">
      <c r="C258" s="238" t="s">
        <v>402</v>
      </c>
      <c r="D258" s="238" t="s">
        <v>2754</v>
      </c>
      <c r="E258" s="201">
        <v>32</v>
      </c>
      <c r="F258" s="201">
        <v>3</v>
      </c>
      <c r="G258" s="203">
        <v>44364</v>
      </c>
    </row>
    <row r="259" spans="2:18">
      <c r="C259" s="238" t="s">
        <v>544</v>
      </c>
      <c r="D259" s="238" t="s">
        <v>2754</v>
      </c>
      <c r="E259" s="201">
        <v>10.199999999999999</v>
      </c>
      <c r="F259" s="201">
        <v>3</v>
      </c>
      <c r="G259" s="203">
        <v>43732</v>
      </c>
    </row>
    <row r="260" spans="2:18">
      <c r="C260" s="238" t="s">
        <v>549</v>
      </c>
      <c r="D260" s="238" t="s">
        <v>2754</v>
      </c>
      <c r="E260" s="201">
        <v>3</v>
      </c>
      <c r="F260" s="201">
        <v>0.75</v>
      </c>
      <c r="G260" s="203">
        <v>43374</v>
      </c>
    </row>
    <row r="261" spans="2:18">
      <c r="C261" s="249" t="s">
        <v>549</v>
      </c>
      <c r="D261" s="249" t="s">
        <v>1416</v>
      </c>
      <c r="E261" s="201">
        <v>3.5</v>
      </c>
      <c r="F261" s="201">
        <f>E261/10</f>
        <v>0.35</v>
      </c>
      <c r="G261" s="203">
        <v>43046</v>
      </c>
      <c r="L261" s="248">
        <v>0</v>
      </c>
    </row>
    <row r="262" spans="2:18">
      <c r="C262" s="211"/>
      <c r="D262" s="211"/>
      <c r="G262" s="203"/>
    </row>
    <row r="263" spans="2:18" s="64" customFormat="1">
      <c r="B263" s="64" t="s">
        <v>764</v>
      </c>
      <c r="C263" s="191" t="s">
        <v>491</v>
      </c>
      <c r="D263" s="191" t="s">
        <v>759</v>
      </c>
      <c r="E263" s="188"/>
      <c r="F263" s="188">
        <f>SUM(F264:F277)</f>
        <v>195.83333333333331</v>
      </c>
      <c r="G263" s="202">
        <f>+G275</f>
        <v>45090</v>
      </c>
      <c r="I263" s="64">
        <v>13000</v>
      </c>
      <c r="J263" s="235">
        <f>+F263/I263</f>
        <v>1.5064102564102563E-2</v>
      </c>
      <c r="K263" s="64">
        <v>1996</v>
      </c>
      <c r="M263" s="191"/>
      <c r="N263" s="191"/>
      <c r="O263" s="191"/>
      <c r="P263" s="191"/>
      <c r="Q263" s="191"/>
      <c r="R263" s="191"/>
    </row>
    <row r="264" spans="2:18">
      <c r="C264" s="200" t="s">
        <v>738</v>
      </c>
      <c r="D264" s="200" t="s">
        <v>751</v>
      </c>
      <c r="E264" s="201">
        <v>325</v>
      </c>
      <c r="F264" s="201">
        <v>18.5</v>
      </c>
      <c r="G264" s="203">
        <v>44299</v>
      </c>
    </row>
    <row r="265" spans="2:18">
      <c r="C265" s="200" t="s">
        <v>402</v>
      </c>
      <c r="D265" s="200" t="s">
        <v>751</v>
      </c>
      <c r="E265" s="201">
        <v>18</v>
      </c>
      <c r="F265" s="201">
        <v>12</v>
      </c>
      <c r="G265" s="203">
        <v>43319</v>
      </c>
    </row>
    <row r="266" spans="2:18">
      <c r="C266" s="200" t="s">
        <v>565</v>
      </c>
      <c r="D266" s="200" t="s">
        <v>404</v>
      </c>
      <c r="E266" s="201">
        <v>270</v>
      </c>
      <c r="F266" s="201">
        <v>24</v>
      </c>
      <c r="G266" s="203">
        <v>45048</v>
      </c>
    </row>
    <row r="267" spans="2:18">
      <c r="C267" s="200" t="s">
        <v>402</v>
      </c>
      <c r="D267" s="200" t="s">
        <v>404</v>
      </c>
      <c r="E267" s="201">
        <v>130</v>
      </c>
      <c r="F267" s="201">
        <v>23</v>
      </c>
      <c r="G267" s="203">
        <v>44607</v>
      </c>
    </row>
    <row r="268" spans="2:18">
      <c r="C268" s="200" t="s">
        <v>544</v>
      </c>
      <c r="D268" s="200" t="s">
        <v>404</v>
      </c>
      <c r="E268" s="201">
        <v>40</v>
      </c>
      <c r="F268" s="201">
        <v>20</v>
      </c>
      <c r="G268" s="203">
        <v>44446</v>
      </c>
    </row>
    <row r="269" spans="2:18">
      <c r="C269" s="200" t="s">
        <v>565</v>
      </c>
      <c r="D269" s="200" t="s">
        <v>626</v>
      </c>
      <c r="E269" s="201">
        <v>50</v>
      </c>
      <c r="F269" s="201">
        <f>25/3</f>
        <v>8.3333333333333339</v>
      </c>
      <c r="G269" s="203">
        <v>44496</v>
      </c>
    </row>
    <row r="270" spans="2:18">
      <c r="C270" s="200" t="s">
        <v>402</v>
      </c>
      <c r="D270" s="200" t="s">
        <v>626</v>
      </c>
      <c r="E270" s="201">
        <v>22</v>
      </c>
      <c r="F270" s="201">
        <v>5</v>
      </c>
      <c r="G270" s="203">
        <v>44153</v>
      </c>
    </row>
    <row r="271" spans="2:18">
      <c r="C271" s="200" t="s">
        <v>544</v>
      </c>
      <c r="D271" s="200" t="s">
        <v>626</v>
      </c>
      <c r="E271" s="201">
        <v>13</v>
      </c>
      <c r="F271" s="201">
        <v>10</v>
      </c>
      <c r="G271" s="203">
        <v>44026</v>
      </c>
    </row>
    <row r="272" spans="2:18">
      <c r="C272" s="200" t="s">
        <v>402</v>
      </c>
      <c r="D272" s="200" t="s">
        <v>623</v>
      </c>
      <c r="E272" s="201">
        <v>50</v>
      </c>
      <c r="F272" s="201">
        <v>20</v>
      </c>
      <c r="G272" s="203">
        <v>45036</v>
      </c>
    </row>
    <row r="273" spans="2:11">
      <c r="C273" s="200" t="s">
        <v>402</v>
      </c>
      <c r="D273" s="200" t="s">
        <v>649</v>
      </c>
      <c r="E273" s="201">
        <v>40</v>
      </c>
      <c r="F273" s="201">
        <v>5</v>
      </c>
      <c r="G273" s="203">
        <v>44728</v>
      </c>
    </row>
    <row r="274" spans="2:11">
      <c r="C274" s="200" t="s">
        <v>544</v>
      </c>
      <c r="D274" s="200" t="s">
        <v>649</v>
      </c>
      <c r="E274" s="201">
        <v>18.600000000000001</v>
      </c>
      <c r="F274" s="201">
        <v>10</v>
      </c>
      <c r="G274" s="203">
        <v>44112</v>
      </c>
    </row>
    <row r="275" spans="2:11">
      <c r="C275" s="211" t="s">
        <v>549</v>
      </c>
      <c r="D275" s="211" t="s">
        <v>1151</v>
      </c>
      <c r="E275" s="201">
        <v>113</v>
      </c>
      <c r="F275" s="201">
        <v>19</v>
      </c>
      <c r="G275" s="203">
        <v>45090</v>
      </c>
    </row>
    <row r="276" spans="2:11">
      <c r="C276" s="225" t="s">
        <v>544</v>
      </c>
      <c r="D276" s="225" t="s">
        <v>445</v>
      </c>
      <c r="E276" s="201">
        <v>7</v>
      </c>
      <c r="F276" s="201">
        <v>1</v>
      </c>
      <c r="G276" s="203">
        <v>42885</v>
      </c>
    </row>
    <row r="277" spans="2:11">
      <c r="C277" s="228" t="s">
        <v>565</v>
      </c>
      <c r="D277" s="228" t="s">
        <v>1580</v>
      </c>
      <c r="E277" s="201">
        <v>75</v>
      </c>
      <c r="F277" s="201">
        <v>20</v>
      </c>
      <c r="G277" s="203">
        <v>45020</v>
      </c>
    </row>
    <row r="278" spans="2:11">
      <c r="C278" s="228" t="s">
        <v>565</v>
      </c>
      <c r="D278" s="228" t="s">
        <v>1580</v>
      </c>
      <c r="E278" s="201">
        <v>80</v>
      </c>
      <c r="F278" s="201">
        <v>40</v>
      </c>
      <c r="G278" s="203">
        <v>44404</v>
      </c>
    </row>
    <row r="279" spans="2:11">
      <c r="C279" s="228" t="s">
        <v>402</v>
      </c>
      <c r="D279" s="228" t="s">
        <v>1580</v>
      </c>
      <c r="E279" s="201">
        <v>40</v>
      </c>
      <c r="F279" s="201">
        <v>20</v>
      </c>
      <c r="G279" s="203">
        <v>43957</v>
      </c>
    </row>
    <row r="280" spans="2:11">
      <c r="C280" s="211"/>
      <c r="D280" s="211"/>
      <c r="G280" s="203"/>
    </row>
    <row r="281" spans="2:11">
      <c r="B281" s="64" t="s">
        <v>876</v>
      </c>
      <c r="C281" s="191" t="s">
        <v>491</v>
      </c>
      <c r="D281" s="191" t="s">
        <v>759</v>
      </c>
      <c r="E281" s="188"/>
      <c r="F281" s="188">
        <f>SUM(F282:F287)</f>
        <v>172.875</v>
      </c>
      <c r="G281" s="202">
        <f>G285</f>
        <v>45062</v>
      </c>
      <c r="I281" s="199">
        <v>8600</v>
      </c>
      <c r="J281" s="234">
        <f>+F281/I281</f>
        <v>2.0101744186046513E-2</v>
      </c>
      <c r="K281" s="199">
        <v>2000</v>
      </c>
    </row>
    <row r="282" spans="2:11">
      <c r="C282" s="200" t="s">
        <v>402</v>
      </c>
      <c r="D282" s="200" t="s">
        <v>431</v>
      </c>
      <c r="E282" s="201">
        <v>350</v>
      </c>
      <c r="F282" s="201">
        <v>75</v>
      </c>
      <c r="G282" s="203">
        <v>44999</v>
      </c>
    </row>
    <row r="283" spans="2:11">
      <c r="C283" s="200" t="s">
        <v>565</v>
      </c>
      <c r="D283" s="200" t="s">
        <v>423</v>
      </c>
      <c r="E283" s="201">
        <v>100</v>
      </c>
      <c r="F283" s="201">
        <v>15</v>
      </c>
      <c r="G283" s="203">
        <v>44699</v>
      </c>
    </row>
    <row r="284" spans="2:11">
      <c r="C284" s="200" t="s">
        <v>402</v>
      </c>
      <c r="D284" s="200" t="s">
        <v>423</v>
      </c>
      <c r="E284" s="201">
        <v>40</v>
      </c>
      <c r="F284" s="201">
        <v>15</v>
      </c>
      <c r="G284" s="203">
        <v>44286</v>
      </c>
    </row>
    <row r="285" spans="2:11">
      <c r="C285" s="200" t="s">
        <v>549</v>
      </c>
      <c r="D285" s="200" t="s">
        <v>1080</v>
      </c>
      <c r="E285" s="201">
        <v>50</v>
      </c>
      <c r="F285" s="201">
        <v>25</v>
      </c>
      <c r="G285" s="203">
        <v>45062</v>
      </c>
    </row>
    <row r="286" spans="2:11">
      <c r="C286" s="243" t="s">
        <v>544</v>
      </c>
      <c r="D286" s="243" t="s">
        <v>1464</v>
      </c>
      <c r="E286" s="201">
        <v>86</v>
      </c>
      <c r="F286" s="201">
        <v>36</v>
      </c>
      <c r="G286" s="203">
        <v>44488</v>
      </c>
    </row>
    <row r="287" spans="2:11">
      <c r="C287" s="247" t="s">
        <v>402</v>
      </c>
      <c r="D287" s="247" t="s">
        <v>1358</v>
      </c>
      <c r="E287" s="201">
        <v>27.5</v>
      </c>
      <c r="F287" s="201">
        <f>E287/4</f>
        <v>6.875</v>
      </c>
      <c r="G287" s="203">
        <v>44181</v>
      </c>
    </row>
    <row r="288" spans="2:11">
      <c r="C288" s="247" t="s">
        <v>544</v>
      </c>
      <c r="D288" s="247" t="s">
        <v>1358</v>
      </c>
      <c r="E288" s="201">
        <v>10.7</v>
      </c>
      <c r="F288" s="201">
        <v>4</v>
      </c>
      <c r="G288" s="203">
        <v>43250</v>
      </c>
    </row>
    <row r="289" spans="2:11">
      <c r="G289" s="203"/>
    </row>
    <row r="290" spans="2:11">
      <c r="B290" s="64" t="s">
        <v>822</v>
      </c>
      <c r="C290" s="191" t="s">
        <v>491</v>
      </c>
      <c r="D290" s="191" t="s">
        <v>759</v>
      </c>
      <c r="E290" s="188"/>
      <c r="F290" s="188">
        <f>SUM(F291:F303)</f>
        <v>162</v>
      </c>
      <c r="G290" s="202">
        <f>G291</f>
        <v>44852</v>
      </c>
      <c r="I290" s="64">
        <v>90000</v>
      </c>
      <c r="J290" s="235">
        <f>+F290/I290</f>
        <v>1.8E-3</v>
      </c>
      <c r="K290" s="64">
        <v>1995</v>
      </c>
    </row>
    <row r="291" spans="2:11">
      <c r="C291" s="200" t="s">
        <v>544</v>
      </c>
      <c r="D291" s="200" t="s">
        <v>420</v>
      </c>
      <c r="E291" s="201">
        <v>125</v>
      </c>
      <c r="F291" s="201">
        <v>35</v>
      </c>
      <c r="G291" s="203">
        <v>44852</v>
      </c>
    </row>
    <row r="292" spans="2:11">
      <c r="C292" s="200" t="s">
        <v>565</v>
      </c>
      <c r="D292" s="200" t="s">
        <v>850</v>
      </c>
      <c r="E292" s="201">
        <v>135</v>
      </c>
      <c r="F292" s="201">
        <v>25</v>
      </c>
      <c r="G292" s="203">
        <v>44482</v>
      </c>
    </row>
    <row r="293" spans="2:11">
      <c r="C293" s="200" t="s">
        <v>402</v>
      </c>
      <c r="D293" s="200" t="s">
        <v>850</v>
      </c>
      <c r="E293" s="201">
        <v>45</v>
      </c>
      <c r="F293" s="201">
        <v>15</v>
      </c>
      <c r="G293" s="203">
        <v>44228</v>
      </c>
    </row>
    <row r="294" spans="2:11">
      <c r="C294" s="200" t="s">
        <v>544</v>
      </c>
      <c r="D294" s="200" t="s">
        <v>1267</v>
      </c>
      <c r="E294" s="201">
        <v>30</v>
      </c>
      <c r="F294" s="201">
        <v>10</v>
      </c>
      <c r="G294" s="203">
        <v>44656</v>
      </c>
    </row>
    <row r="295" spans="2:11">
      <c r="C295" s="200" t="s">
        <v>402</v>
      </c>
      <c r="D295" s="200" t="s">
        <v>673</v>
      </c>
      <c r="E295" s="201">
        <v>25</v>
      </c>
      <c r="F295" s="201">
        <v>10</v>
      </c>
      <c r="G295" s="203">
        <v>44755</v>
      </c>
    </row>
    <row r="296" spans="2:11">
      <c r="C296" s="200" t="s">
        <v>544</v>
      </c>
      <c r="D296" s="200" t="s">
        <v>673</v>
      </c>
      <c r="E296" s="201">
        <v>21</v>
      </c>
      <c r="F296" s="201">
        <v>7</v>
      </c>
      <c r="G296" s="203">
        <v>44489</v>
      </c>
    </row>
    <row r="297" spans="2:11">
      <c r="C297" s="200" t="s">
        <v>544</v>
      </c>
      <c r="D297" s="200" t="s">
        <v>679</v>
      </c>
      <c r="E297" s="201">
        <v>20</v>
      </c>
      <c r="F297" s="201">
        <v>7</v>
      </c>
      <c r="G297" s="203">
        <v>44676</v>
      </c>
    </row>
    <row r="298" spans="2:11">
      <c r="C298" s="200" t="s">
        <v>544</v>
      </c>
      <c r="D298" s="200" t="s">
        <v>1448</v>
      </c>
      <c r="E298" s="201">
        <v>20</v>
      </c>
      <c r="F298" s="201">
        <v>5</v>
      </c>
      <c r="G298" s="203">
        <v>44602</v>
      </c>
    </row>
    <row r="299" spans="2:11">
      <c r="C299" s="200" t="s">
        <v>544</v>
      </c>
      <c r="D299" s="200" t="s">
        <v>690</v>
      </c>
      <c r="E299" s="201">
        <v>20</v>
      </c>
      <c r="F299" s="201">
        <v>10</v>
      </c>
      <c r="G299" s="203">
        <v>44371</v>
      </c>
    </row>
    <row r="300" spans="2:11">
      <c r="C300" s="200" t="s">
        <v>544</v>
      </c>
      <c r="D300" s="200" t="s">
        <v>696</v>
      </c>
      <c r="E300" s="201">
        <v>15</v>
      </c>
      <c r="F300" s="201">
        <v>5</v>
      </c>
      <c r="G300" s="203">
        <v>44468</v>
      </c>
    </row>
    <row r="301" spans="2:11">
      <c r="C301" s="228" t="s">
        <v>402</v>
      </c>
      <c r="D301" s="228" t="s">
        <v>1527</v>
      </c>
      <c r="E301" s="201">
        <v>30</v>
      </c>
      <c r="F301" s="201">
        <v>15</v>
      </c>
      <c r="G301" s="203">
        <v>44756</v>
      </c>
    </row>
    <row r="302" spans="2:11">
      <c r="C302" s="238" t="s">
        <v>402</v>
      </c>
      <c r="D302" s="238" t="s">
        <v>2754</v>
      </c>
      <c r="E302" s="201">
        <v>32</v>
      </c>
      <c r="F302" s="201">
        <v>12</v>
      </c>
      <c r="G302" s="203">
        <v>44364</v>
      </c>
    </row>
    <row r="303" spans="2:11">
      <c r="C303" s="249" t="s">
        <v>544</v>
      </c>
      <c r="D303" s="249" t="s">
        <v>1613</v>
      </c>
      <c r="E303" s="201">
        <v>57</v>
      </c>
      <c r="F303" s="201">
        <v>6</v>
      </c>
      <c r="G303" s="203">
        <v>44508</v>
      </c>
    </row>
    <row r="304" spans="2:11">
      <c r="C304" s="273" t="s">
        <v>813</v>
      </c>
      <c r="D304" s="273" t="s">
        <v>1829</v>
      </c>
      <c r="E304" s="201">
        <v>200</v>
      </c>
      <c r="F304" s="201">
        <v>50</v>
      </c>
      <c r="G304" s="203">
        <v>44907</v>
      </c>
      <c r="I304" s="199">
        <v>3500</v>
      </c>
    </row>
    <row r="305" spans="2:11">
      <c r="G305" s="203"/>
    </row>
    <row r="306" spans="2:11">
      <c r="B306" s="64" t="s">
        <v>800</v>
      </c>
      <c r="C306" s="191" t="s">
        <v>491</v>
      </c>
      <c r="D306" s="191" t="s">
        <v>759</v>
      </c>
      <c r="E306" s="188"/>
      <c r="F306" s="188">
        <f>SUM(F307:F328)</f>
        <v>160.08333333333331</v>
      </c>
      <c r="G306" s="202">
        <f>G314</f>
        <v>45027</v>
      </c>
      <c r="I306" s="64">
        <v>85000</v>
      </c>
      <c r="J306" s="235">
        <f>+F306/I306</f>
        <v>1.8833333333333332E-3</v>
      </c>
      <c r="K306" s="64">
        <v>1972</v>
      </c>
    </row>
    <row r="307" spans="2:11">
      <c r="C307" s="200" t="s">
        <v>565</v>
      </c>
      <c r="D307" s="200" t="s">
        <v>797</v>
      </c>
      <c r="E307" s="201">
        <v>100</v>
      </c>
      <c r="F307" s="201">
        <v>9</v>
      </c>
      <c r="G307" s="203">
        <v>44690</v>
      </c>
    </row>
    <row r="308" spans="2:11">
      <c r="C308" s="200" t="s">
        <v>565</v>
      </c>
      <c r="D308" s="200" t="s">
        <v>423</v>
      </c>
      <c r="E308" s="201">
        <v>100</v>
      </c>
      <c r="F308" s="201">
        <v>40</v>
      </c>
      <c r="G308" s="203">
        <v>44699</v>
      </c>
    </row>
    <row r="309" spans="2:11">
      <c r="C309" s="200" t="s">
        <v>565</v>
      </c>
      <c r="D309" s="200" t="s">
        <v>611</v>
      </c>
      <c r="E309" s="201">
        <v>100</v>
      </c>
      <c r="F309" s="201">
        <v>10</v>
      </c>
      <c r="G309" s="203">
        <v>44754</v>
      </c>
    </row>
    <row r="310" spans="2:11">
      <c r="C310" s="200" t="s">
        <v>402</v>
      </c>
      <c r="D310" s="200" t="s">
        <v>611</v>
      </c>
      <c r="E310" s="201">
        <v>35</v>
      </c>
      <c r="F310" s="201">
        <f>E310/2</f>
        <v>17.5</v>
      </c>
      <c r="G310" s="203">
        <v>44172</v>
      </c>
    </row>
    <row r="311" spans="2:11">
      <c r="C311" s="200" t="s">
        <v>544</v>
      </c>
      <c r="D311" s="200" t="s">
        <v>611</v>
      </c>
      <c r="E311" s="201">
        <v>20</v>
      </c>
      <c r="F311" s="201">
        <v>8</v>
      </c>
      <c r="G311" s="203">
        <v>43949</v>
      </c>
    </row>
    <row r="312" spans="2:11">
      <c r="C312" s="200" t="s">
        <v>549</v>
      </c>
      <c r="D312" s="200" t="s">
        <v>611</v>
      </c>
      <c r="E312" s="201">
        <v>5</v>
      </c>
      <c r="F312" s="201">
        <v>1</v>
      </c>
      <c r="G312" s="203">
        <v>43438</v>
      </c>
    </row>
    <row r="313" spans="2:11">
      <c r="C313" s="200" t="s">
        <v>549</v>
      </c>
      <c r="D313" s="200" t="s">
        <v>1094</v>
      </c>
      <c r="E313" s="201">
        <v>7.2</v>
      </c>
      <c r="F313" s="201">
        <v>1</v>
      </c>
      <c r="G313" s="203">
        <v>44508</v>
      </c>
    </row>
    <row r="314" spans="2:11">
      <c r="C314" s="200" t="s">
        <v>544</v>
      </c>
      <c r="D314" s="200" t="s">
        <v>1158</v>
      </c>
      <c r="E314" s="201">
        <v>21</v>
      </c>
      <c r="F314" s="201">
        <v>10</v>
      </c>
      <c r="G314" s="203">
        <v>45027</v>
      </c>
    </row>
    <row r="315" spans="2:11">
      <c r="C315" s="200" t="s">
        <v>402</v>
      </c>
      <c r="D315" s="200" t="s">
        <v>655</v>
      </c>
      <c r="E315" s="201">
        <v>30</v>
      </c>
      <c r="F315" s="201">
        <v>6</v>
      </c>
      <c r="G315" s="203">
        <v>44539</v>
      </c>
    </row>
    <row r="316" spans="2:11">
      <c r="C316" s="200" t="s">
        <v>544</v>
      </c>
      <c r="D316" s="200" t="s">
        <v>655</v>
      </c>
      <c r="E316" s="201">
        <v>11</v>
      </c>
      <c r="F316" s="201">
        <v>6</v>
      </c>
      <c r="G316" s="203">
        <v>43862</v>
      </c>
    </row>
    <row r="317" spans="2:11">
      <c r="C317" s="200" t="s">
        <v>549</v>
      </c>
      <c r="D317" s="200" t="s">
        <v>655</v>
      </c>
      <c r="E317" s="201">
        <v>3</v>
      </c>
      <c r="F317" s="201">
        <v>1.5</v>
      </c>
      <c r="G317" s="203">
        <v>43525</v>
      </c>
    </row>
    <row r="318" spans="2:11">
      <c r="C318" s="218" t="s">
        <v>544</v>
      </c>
      <c r="D318" s="218" t="s">
        <v>706</v>
      </c>
      <c r="E318" s="201">
        <v>12.5</v>
      </c>
      <c r="F318" s="201">
        <v>3</v>
      </c>
      <c r="G318" s="203">
        <v>44978</v>
      </c>
    </row>
    <row r="319" spans="2:11">
      <c r="C319" s="218" t="s">
        <v>544</v>
      </c>
      <c r="D319" s="218" t="s">
        <v>706</v>
      </c>
      <c r="E319" s="201">
        <v>5.3</v>
      </c>
      <c r="F319" s="201">
        <v>2.5</v>
      </c>
      <c r="G319" s="203">
        <v>44978</v>
      </c>
    </row>
    <row r="320" spans="2:11">
      <c r="C320" s="220" t="s">
        <v>549</v>
      </c>
      <c r="D320" s="220" t="s">
        <v>710</v>
      </c>
      <c r="E320" s="201">
        <v>12.8</v>
      </c>
      <c r="F320" s="201">
        <v>2</v>
      </c>
      <c r="G320" s="203">
        <v>44601</v>
      </c>
    </row>
    <row r="321" spans="2:12">
      <c r="C321" s="222" t="s">
        <v>544</v>
      </c>
      <c r="D321" s="222" t="s">
        <v>719</v>
      </c>
      <c r="E321" s="201">
        <v>11</v>
      </c>
      <c r="F321" s="201">
        <f>7/3</f>
        <v>2.3333333333333335</v>
      </c>
      <c r="G321" s="203">
        <v>44483</v>
      </c>
    </row>
    <row r="322" spans="2:12">
      <c r="C322" s="222" t="s">
        <v>549</v>
      </c>
      <c r="D322" s="222" t="s">
        <v>719</v>
      </c>
      <c r="E322" s="201">
        <v>2.9</v>
      </c>
      <c r="F322" s="201">
        <v>0.5</v>
      </c>
      <c r="G322" s="203">
        <v>44272</v>
      </c>
    </row>
    <row r="323" spans="2:12">
      <c r="C323" s="225" t="s">
        <v>402</v>
      </c>
      <c r="D323" s="225" t="s">
        <v>2406</v>
      </c>
      <c r="E323" s="201">
        <v>18</v>
      </c>
      <c r="F323" s="201">
        <v>9</v>
      </c>
      <c r="G323" s="203">
        <v>44831</v>
      </c>
    </row>
    <row r="324" spans="2:12">
      <c r="C324" s="228" t="s">
        <v>544</v>
      </c>
      <c r="D324" s="225" t="s">
        <v>2406</v>
      </c>
      <c r="E324" s="201">
        <v>18.5</v>
      </c>
      <c r="F324" s="201">
        <v>9</v>
      </c>
      <c r="G324" s="203">
        <v>44658</v>
      </c>
    </row>
    <row r="325" spans="2:12">
      <c r="C325" s="228" t="s">
        <v>549</v>
      </c>
      <c r="D325" s="228" t="s">
        <v>1195</v>
      </c>
      <c r="E325" s="201">
        <v>6</v>
      </c>
      <c r="F325" s="201">
        <v>2</v>
      </c>
      <c r="G325" s="203">
        <v>45104</v>
      </c>
    </row>
    <row r="326" spans="2:12">
      <c r="C326" s="249" t="s">
        <v>544</v>
      </c>
      <c r="D326" s="249" t="s">
        <v>1603</v>
      </c>
      <c r="E326" s="201">
        <v>16</v>
      </c>
      <c r="F326" s="201">
        <v>6</v>
      </c>
      <c r="G326" s="203">
        <v>43783</v>
      </c>
      <c r="L326" s="199">
        <f>+F326*5</f>
        <v>30</v>
      </c>
    </row>
    <row r="327" spans="2:12">
      <c r="C327" s="249" t="s">
        <v>402</v>
      </c>
      <c r="D327" s="249" t="s">
        <v>1603</v>
      </c>
      <c r="E327" s="201">
        <v>55</v>
      </c>
      <c r="F327" s="201">
        <v>5</v>
      </c>
      <c r="G327" s="203">
        <v>44200</v>
      </c>
    </row>
    <row r="328" spans="2:12">
      <c r="C328" s="249" t="s">
        <v>565</v>
      </c>
      <c r="D328" s="249" t="s">
        <v>1603</v>
      </c>
      <c r="E328" s="201">
        <v>91</v>
      </c>
      <c r="F328" s="201">
        <v>8.75</v>
      </c>
      <c r="G328" s="203">
        <v>44867</v>
      </c>
    </row>
    <row r="329" spans="2:12">
      <c r="C329" s="273" t="s">
        <v>544</v>
      </c>
      <c r="D329" s="273" t="s">
        <v>1828</v>
      </c>
      <c r="E329" s="201">
        <v>112</v>
      </c>
      <c r="F329" s="201">
        <v>9</v>
      </c>
      <c r="G329" s="203">
        <v>43115</v>
      </c>
    </row>
    <row r="330" spans="2:12">
      <c r="G330" s="203"/>
    </row>
    <row r="331" spans="2:12">
      <c r="B331" s="64" t="s">
        <v>981</v>
      </c>
      <c r="C331" s="191" t="s">
        <v>491</v>
      </c>
      <c r="D331" s="191" t="s">
        <v>759</v>
      </c>
      <c r="F331" s="188">
        <f>SUM(F332:F344)</f>
        <v>256.42857142857144</v>
      </c>
      <c r="G331" s="202">
        <f>G332</f>
        <v>44796</v>
      </c>
    </row>
    <row r="332" spans="2:12">
      <c r="C332" s="200" t="s">
        <v>980</v>
      </c>
      <c r="D332" s="200" t="s">
        <v>616</v>
      </c>
      <c r="E332" s="201">
        <v>99</v>
      </c>
      <c r="F332" s="201">
        <v>30</v>
      </c>
      <c r="G332" s="203">
        <v>44796</v>
      </c>
    </row>
    <row r="333" spans="2:12">
      <c r="C333" s="200" t="s">
        <v>983</v>
      </c>
      <c r="D333" s="200" t="s">
        <v>616</v>
      </c>
      <c r="E333" s="201">
        <v>100</v>
      </c>
      <c r="F333" s="201">
        <f>40/3</f>
        <v>13.333333333333334</v>
      </c>
      <c r="G333" s="203">
        <v>44537</v>
      </c>
    </row>
    <row r="334" spans="2:12">
      <c r="C334" s="200" t="s">
        <v>402</v>
      </c>
      <c r="D334" s="200" t="s">
        <v>616</v>
      </c>
      <c r="E334" s="201">
        <v>40</v>
      </c>
      <c r="F334" s="201">
        <f>20/3</f>
        <v>6.666666666666667</v>
      </c>
      <c r="G334" s="203">
        <v>44125</v>
      </c>
    </row>
    <row r="335" spans="2:12">
      <c r="C335" s="200" t="s">
        <v>544</v>
      </c>
      <c r="D335" s="200" t="s">
        <v>616</v>
      </c>
      <c r="E335" s="201">
        <v>20</v>
      </c>
      <c r="F335" s="201">
        <f>12/6</f>
        <v>2</v>
      </c>
      <c r="G335" s="203">
        <v>43816</v>
      </c>
    </row>
    <row r="336" spans="2:12">
      <c r="C336" s="200" t="s">
        <v>544</v>
      </c>
      <c r="D336" s="200" t="s">
        <v>1094</v>
      </c>
      <c r="E336" s="201">
        <v>50</v>
      </c>
      <c r="F336" s="201">
        <v>10</v>
      </c>
      <c r="G336" s="203">
        <v>44796</v>
      </c>
    </row>
    <row r="337" spans="2:11">
      <c r="C337" s="225" t="s">
        <v>544</v>
      </c>
      <c r="D337" s="225" t="s">
        <v>502</v>
      </c>
      <c r="E337" s="201">
        <v>14.5</v>
      </c>
      <c r="F337" s="201">
        <v>3</v>
      </c>
      <c r="G337" s="203">
        <v>43389</v>
      </c>
    </row>
    <row r="338" spans="2:11">
      <c r="C338" s="228" t="s">
        <v>738</v>
      </c>
      <c r="D338" s="228" t="s">
        <v>2441</v>
      </c>
      <c r="E338" s="201">
        <v>206</v>
      </c>
      <c r="F338" s="201">
        <v>14</v>
      </c>
      <c r="G338" s="203">
        <v>43725</v>
      </c>
    </row>
    <row r="339" spans="2:11">
      <c r="C339" s="228" t="s">
        <v>755</v>
      </c>
      <c r="D339" s="228" t="s">
        <v>2441</v>
      </c>
      <c r="E339" s="201">
        <v>100</v>
      </c>
      <c r="F339" s="201">
        <v>15</v>
      </c>
      <c r="G339" s="203">
        <v>43397</v>
      </c>
    </row>
    <row r="340" spans="2:11">
      <c r="C340" s="249" t="s">
        <v>549</v>
      </c>
      <c r="D340" s="249" t="s">
        <v>1550</v>
      </c>
      <c r="E340" s="201">
        <v>5</v>
      </c>
      <c r="F340" s="201">
        <v>1</v>
      </c>
      <c r="G340" s="203">
        <v>43990</v>
      </c>
    </row>
    <row r="341" spans="2:11">
      <c r="C341" s="249" t="s">
        <v>544</v>
      </c>
      <c r="D341" s="249" t="s">
        <v>1613</v>
      </c>
      <c r="E341" s="201">
        <v>57</v>
      </c>
      <c r="F341" s="201">
        <v>6</v>
      </c>
      <c r="G341" s="203">
        <v>44508</v>
      </c>
    </row>
    <row r="342" spans="2:11">
      <c r="C342" s="273" t="s">
        <v>755</v>
      </c>
      <c r="D342" s="273" t="s">
        <v>1823</v>
      </c>
      <c r="E342" s="201">
        <v>676</v>
      </c>
      <c r="F342" s="201">
        <f>500/7</f>
        <v>71.428571428571431</v>
      </c>
      <c r="G342" s="203">
        <v>44299</v>
      </c>
      <c r="I342" s="199">
        <v>4400</v>
      </c>
    </row>
    <row r="343" spans="2:11">
      <c r="C343" s="273" t="s">
        <v>565</v>
      </c>
      <c r="D343" s="273" t="s">
        <v>1823</v>
      </c>
      <c r="E343" s="201">
        <v>250</v>
      </c>
      <c r="F343" s="201">
        <f>170/5</f>
        <v>34</v>
      </c>
      <c r="G343" s="203">
        <v>43886</v>
      </c>
      <c r="I343" s="199">
        <v>2300</v>
      </c>
    </row>
    <row r="344" spans="2:11">
      <c r="C344" s="273" t="s">
        <v>402</v>
      </c>
      <c r="D344" s="273" t="s">
        <v>1823</v>
      </c>
      <c r="E344" s="201">
        <v>150</v>
      </c>
      <c r="F344" s="201">
        <v>50</v>
      </c>
      <c r="G344" s="203">
        <v>43556</v>
      </c>
    </row>
    <row r="345" spans="2:11">
      <c r="G345" s="203"/>
    </row>
    <row r="346" spans="2:11">
      <c r="B346" s="64" t="s">
        <v>773</v>
      </c>
      <c r="C346" s="191" t="s">
        <v>491</v>
      </c>
      <c r="D346" s="191" t="s">
        <v>759</v>
      </c>
      <c r="F346" s="188">
        <f>SUM(F347:F359)</f>
        <v>149.29545454545456</v>
      </c>
      <c r="G346" s="202">
        <f>G347</f>
        <v>45069</v>
      </c>
      <c r="I346" s="199">
        <v>5000</v>
      </c>
      <c r="J346" s="234">
        <f>+F346/I346</f>
        <v>2.9859090909090912E-2</v>
      </c>
      <c r="K346" s="199">
        <v>1976</v>
      </c>
    </row>
    <row r="347" spans="2:11">
      <c r="C347" s="200" t="s">
        <v>565</v>
      </c>
      <c r="D347" s="200" t="s">
        <v>144</v>
      </c>
      <c r="E347" s="201">
        <v>450</v>
      </c>
      <c r="F347" s="201">
        <f>300/5</f>
        <v>60</v>
      </c>
      <c r="G347" s="203">
        <v>45069</v>
      </c>
    </row>
    <row r="348" spans="2:11">
      <c r="C348" s="200" t="s">
        <v>402</v>
      </c>
      <c r="D348" s="200" t="s">
        <v>409</v>
      </c>
      <c r="E348" s="201">
        <v>100</v>
      </c>
      <c r="F348" s="201">
        <v>5</v>
      </c>
      <c r="G348" s="203">
        <v>45042</v>
      </c>
    </row>
    <row r="349" spans="2:11">
      <c r="C349" s="200" t="s">
        <v>544</v>
      </c>
      <c r="D349" s="200" t="s">
        <v>409</v>
      </c>
      <c r="E349" s="201">
        <v>28</v>
      </c>
      <c r="F349" s="201">
        <v>16</v>
      </c>
      <c r="G349" s="203">
        <v>44649</v>
      </c>
    </row>
    <row r="350" spans="2:11">
      <c r="C350" s="200" t="s">
        <v>544</v>
      </c>
      <c r="D350" s="200" t="s">
        <v>424</v>
      </c>
      <c r="E350" s="201">
        <v>65</v>
      </c>
      <c r="F350" s="201">
        <v>10</v>
      </c>
      <c r="G350" s="203">
        <v>44984</v>
      </c>
    </row>
    <row r="351" spans="2:11">
      <c r="C351" s="200" t="s">
        <v>402</v>
      </c>
      <c r="D351" s="200" t="s">
        <v>671</v>
      </c>
      <c r="E351" s="201">
        <v>25</v>
      </c>
      <c r="F351" s="201">
        <v>7</v>
      </c>
      <c r="G351" s="203">
        <v>44636</v>
      </c>
    </row>
    <row r="352" spans="2:11">
      <c r="C352" s="225" t="s">
        <v>565</v>
      </c>
      <c r="D352" s="225" t="s">
        <v>2166</v>
      </c>
      <c r="E352" s="201">
        <v>125</v>
      </c>
      <c r="F352" s="201">
        <v>9</v>
      </c>
      <c r="G352" s="203">
        <v>44663</v>
      </c>
    </row>
    <row r="353" spans="2:11">
      <c r="C353" s="225" t="s">
        <v>402</v>
      </c>
      <c r="D353" s="225" t="s">
        <v>2166</v>
      </c>
      <c r="E353" s="201">
        <v>54</v>
      </c>
      <c r="F353" s="201">
        <v>14</v>
      </c>
      <c r="G353" s="203">
        <v>44089</v>
      </c>
    </row>
    <row r="354" spans="2:11">
      <c r="C354" s="228" t="s">
        <v>755</v>
      </c>
      <c r="D354" s="228" t="s">
        <v>1257</v>
      </c>
      <c r="E354" s="201">
        <v>90</v>
      </c>
      <c r="F354" s="201">
        <f>50/11</f>
        <v>4.5454545454545459</v>
      </c>
      <c r="G354" s="203">
        <v>44776</v>
      </c>
    </row>
    <row r="355" spans="2:11">
      <c r="C355" s="228" t="s">
        <v>565</v>
      </c>
      <c r="D355" s="228" t="s">
        <v>1257</v>
      </c>
      <c r="E355" s="201">
        <v>40</v>
      </c>
      <c r="F355" s="201">
        <v>3.75</v>
      </c>
      <c r="G355" s="203">
        <v>44176</v>
      </c>
    </row>
    <row r="356" spans="2:11">
      <c r="C356" s="228" t="s">
        <v>402</v>
      </c>
      <c r="D356" s="228" t="s">
        <v>1257</v>
      </c>
      <c r="E356" s="201">
        <v>20</v>
      </c>
      <c r="F356" s="201">
        <f>15/5</f>
        <v>3</v>
      </c>
      <c r="G356" s="203">
        <v>43879</v>
      </c>
    </row>
    <row r="357" spans="2:11">
      <c r="C357" s="273" t="s">
        <v>755</v>
      </c>
      <c r="D357" s="273" t="s">
        <v>1803</v>
      </c>
      <c r="E357" s="201">
        <v>111</v>
      </c>
      <c r="F357" s="201">
        <v>7</v>
      </c>
      <c r="G357" s="203">
        <v>44622</v>
      </c>
    </row>
    <row r="358" spans="2:11">
      <c r="C358" s="273" t="s">
        <v>565</v>
      </c>
      <c r="D358" s="273" t="s">
        <v>1803</v>
      </c>
      <c r="E358" s="201">
        <v>55</v>
      </c>
      <c r="F358" s="201">
        <v>6</v>
      </c>
      <c r="G358" s="203">
        <v>44314</v>
      </c>
    </row>
    <row r="359" spans="2:11">
      <c r="C359" s="273" t="s">
        <v>402</v>
      </c>
      <c r="D359" s="273" t="s">
        <v>1803</v>
      </c>
      <c r="E359" s="201">
        <v>16</v>
      </c>
      <c r="F359" s="201">
        <v>4</v>
      </c>
      <c r="G359" s="203">
        <v>44009</v>
      </c>
    </row>
    <row r="360" spans="2:11">
      <c r="G360" s="203"/>
    </row>
    <row r="361" spans="2:11">
      <c r="B361" s="64" t="s">
        <v>963</v>
      </c>
      <c r="C361" s="191" t="s">
        <v>491</v>
      </c>
      <c r="D361" s="191" t="s">
        <v>759</v>
      </c>
      <c r="E361" s="188"/>
      <c r="F361" s="188">
        <f>SUM(F362:F373)</f>
        <v>156.10000000000002</v>
      </c>
      <c r="G361" s="202">
        <f>G364</f>
        <v>44754</v>
      </c>
      <c r="I361" s="199">
        <v>6800</v>
      </c>
      <c r="J361" s="233">
        <f>+F361/I361</f>
        <v>2.295588235294118E-2</v>
      </c>
      <c r="K361" s="199">
        <v>1972</v>
      </c>
    </row>
    <row r="362" spans="2:11">
      <c r="C362" s="200" t="s">
        <v>565</v>
      </c>
      <c r="D362" s="200" t="s">
        <v>423</v>
      </c>
      <c r="E362" s="201">
        <v>100</v>
      </c>
      <c r="F362" s="201">
        <v>15</v>
      </c>
      <c r="G362" s="203">
        <v>44699</v>
      </c>
    </row>
    <row r="363" spans="2:11">
      <c r="C363" s="200" t="s">
        <v>402</v>
      </c>
      <c r="D363" s="200" t="s">
        <v>423</v>
      </c>
      <c r="E363" s="201">
        <v>100</v>
      </c>
      <c r="F363" s="201">
        <f>25/3</f>
        <v>8.3333333333333339</v>
      </c>
      <c r="G363" s="203">
        <v>44286</v>
      </c>
    </row>
    <row r="364" spans="2:11">
      <c r="C364" s="200" t="s">
        <v>565</v>
      </c>
      <c r="D364" s="200" t="s">
        <v>611</v>
      </c>
      <c r="E364" s="201">
        <v>100</v>
      </c>
      <c r="F364" s="201">
        <v>40</v>
      </c>
      <c r="G364" s="203">
        <v>44754</v>
      </c>
    </row>
    <row r="365" spans="2:11">
      <c r="C365" s="200" t="s">
        <v>544</v>
      </c>
      <c r="D365" s="200" t="s">
        <v>1094</v>
      </c>
      <c r="E365" s="201">
        <v>50</v>
      </c>
      <c r="F365" s="201">
        <f>30/12</f>
        <v>2.5</v>
      </c>
      <c r="G365" s="203">
        <v>44796</v>
      </c>
    </row>
    <row r="366" spans="2:11">
      <c r="C366" s="200" t="s">
        <v>549</v>
      </c>
      <c r="D366" s="200" t="s">
        <v>1094</v>
      </c>
      <c r="E366" s="201">
        <v>12.5</v>
      </c>
      <c r="F366" s="201">
        <f>8/5</f>
        <v>1.6</v>
      </c>
      <c r="G366" s="203">
        <v>44623</v>
      </c>
    </row>
    <row r="367" spans="2:11">
      <c r="C367" s="200" t="s">
        <v>549</v>
      </c>
      <c r="D367" s="200" t="s">
        <v>1094</v>
      </c>
      <c r="E367" s="201">
        <v>7.2</v>
      </c>
      <c r="F367" s="201">
        <v>2</v>
      </c>
      <c r="G367" s="203">
        <v>44508</v>
      </c>
    </row>
    <row r="368" spans="2:11">
      <c r="C368" s="200" t="s">
        <v>402</v>
      </c>
      <c r="D368" s="200" t="s">
        <v>1163</v>
      </c>
      <c r="E368" s="201">
        <v>30</v>
      </c>
      <c r="F368" s="201">
        <f>20/3</f>
        <v>6.666666666666667</v>
      </c>
      <c r="G368" s="203">
        <v>44510</v>
      </c>
    </row>
    <row r="369" spans="2:11">
      <c r="C369" s="200" t="s">
        <v>544</v>
      </c>
      <c r="D369" s="200" t="s">
        <v>1163</v>
      </c>
      <c r="E369" s="201">
        <v>21.4</v>
      </c>
      <c r="F369" s="201">
        <v>5</v>
      </c>
      <c r="G369" s="203">
        <v>44232</v>
      </c>
    </row>
    <row r="370" spans="2:11">
      <c r="C370" s="211" t="s">
        <v>565</v>
      </c>
      <c r="D370" s="211" t="s">
        <v>433</v>
      </c>
      <c r="E370" s="201">
        <v>200</v>
      </c>
      <c r="F370" s="201">
        <v>20</v>
      </c>
      <c r="G370" s="203">
        <v>44377</v>
      </c>
    </row>
    <row r="371" spans="2:11">
      <c r="C371" s="211" t="s">
        <v>402</v>
      </c>
      <c r="D371" s="211" t="s">
        <v>433</v>
      </c>
      <c r="E371" s="201">
        <v>75</v>
      </c>
      <c r="F371" s="201">
        <v>20</v>
      </c>
      <c r="G371" s="203">
        <v>43783</v>
      </c>
    </row>
    <row r="372" spans="2:11">
      <c r="C372" s="238" t="s">
        <v>565</v>
      </c>
      <c r="D372" s="238" t="s">
        <v>1991</v>
      </c>
      <c r="E372" s="201">
        <v>90</v>
      </c>
      <c r="F372" s="201">
        <v>15</v>
      </c>
      <c r="G372" s="203">
        <v>45090</v>
      </c>
    </row>
    <row r="373" spans="2:11">
      <c r="C373" s="238" t="s">
        <v>402</v>
      </c>
      <c r="D373" s="238" t="s">
        <v>1991</v>
      </c>
      <c r="E373" s="201">
        <v>50</v>
      </c>
      <c r="F373" s="201">
        <v>20</v>
      </c>
      <c r="G373" s="203">
        <v>44538</v>
      </c>
    </row>
    <row r="374" spans="2:11">
      <c r="C374" s="211"/>
      <c r="D374" s="211"/>
      <c r="G374" s="203"/>
    </row>
    <row r="375" spans="2:11">
      <c r="B375" s="64" t="s">
        <v>894</v>
      </c>
      <c r="C375" s="191" t="s">
        <v>491</v>
      </c>
      <c r="D375" s="191" t="s">
        <v>759</v>
      </c>
      <c r="F375" s="188">
        <f>SUM(F376:F395)</f>
        <v>139.25</v>
      </c>
      <c r="G375" s="202">
        <f>+G385</f>
        <v>45020</v>
      </c>
      <c r="I375" s="199">
        <v>700</v>
      </c>
      <c r="J375" s="232">
        <f>(F376+F384+F385)/I375</f>
        <v>2.5714285714285714E-2</v>
      </c>
      <c r="K375" s="199">
        <v>2022</v>
      </c>
    </row>
    <row r="376" spans="2:11">
      <c r="C376" s="200" t="s">
        <v>565</v>
      </c>
      <c r="D376" s="200" t="s">
        <v>864</v>
      </c>
      <c r="E376" s="201">
        <v>50</v>
      </c>
      <c r="F376" s="201">
        <v>6</v>
      </c>
      <c r="G376" s="203">
        <v>44900</v>
      </c>
      <c r="I376" s="199">
        <v>1400</v>
      </c>
      <c r="J376" s="232">
        <f>+F375/I376</f>
        <v>9.9464285714285713E-2</v>
      </c>
      <c r="K376" s="199">
        <v>2012</v>
      </c>
    </row>
    <row r="377" spans="2:11">
      <c r="C377" s="200" t="s">
        <v>402</v>
      </c>
      <c r="D377" s="200" t="s">
        <v>864</v>
      </c>
      <c r="E377" s="201">
        <v>35</v>
      </c>
      <c r="F377" s="201">
        <v>5</v>
      </c>
      <c r="G377" s="203">
        <v>44543</v>
      </c>
    </row>
    <row r="378" spans="2:11">
      <c r="C378" s="200" t="s">
        <v>544</v>
      </c>
      <c r="D378" s="200" t="s">
        <v>864</v>
      </c>
      <c r="E378" s="201">
        <v>8.5</v>
      </c>
      <c r="F378" s="201">
        <v>5</v>
      </c>
      <c r="G378" s="203">
        <v>44181</v>
      </c>
    </row>
    <row r="379" spans="2:11">
      <c r="C379" s="200" t="s">
        <v>565</v>
      </c>
      <c r="D379" s="200" t="s">
        <v>617</v>
      </c>
      <c r="E379" s="201">
        <v>85</v>
      </c>
      <c r="F379" s="201">
        <v>10</v>
      </c>
      <c r="G379" s="203">
        <v>44501</v>
      </c>
    </row>
    <row r="380" spans="2:11">
      <c r="C380" s="200" t="s">
        <v>402</v>
      </c>
      <c r="D380" s="200" t="s">
        <v>617</v>
      </c>
      <c r="E380" s="201">
        <v>28</v>
      </c>
      <c r="F380" s="201">
        <v>5</v>
      </c>
      <c r="G380" s="203">
        <v>44272</v>
      </c>
    </row>
    <row r="381" spans="2:11">
      <c r="C381" s="200" t="s">
        <v>544</v>
      </c>
      <c r="D381" s="200" t="s">
        <v>617</v>
      </c>
      <c r="E381" s="201">
        <v>15</v>
      </c>
      <c r="F381" s="201">
        <v>10</v>
      </c>
      <c r="G381" s="203">
        <v>43924</v>
      </c>
    </row>
    <row r="382" spans="2:11">
      <c r="C382" s="200" t="s">
        <v>549</v>
      </c>
      <c r="D382" s="200" t="s">
        <v>617</v>
      </c>
      <c r="E382" s="201">
        <v>2.9</v>
      </c>
      <c r="F382" s="201">
        <v>1</v>
      </c>
      <c r="G382" s="203">
        <v>43761</v>
      </c>
    </row>
    <row r="383" spans="2:11">
      <c r="C383" s="200" t="s">
        <v>544</v>
      </c>
      <c r="D383" s="200" t="s">
        <v>616</v>
      </c>
      <c r="E383" s="201">
        <v>20</v>
      </c>
      <c r="F383" s="201">
        <v>2</v>
      </c>
      <c r="G383" s="203">
        <v>43816</v>
      </c>
    </row>
    <row r="384" spans="2:11">
      <c r="C384" s="200" t="s">
        <v>544</v>
      </c>
      <c r="D384" s="200" t="s">
        <v>460</v>
      </c>
      <c r="E384" s="201">
        <v>23</v>
      </c>
      <c r="F384" s="201">
        <v>5</v>
      </c>
      <c r="G384" s="203">
        <v>44963</v>
      </c>
    </row>
    <row r="385" spans="2:18">
      <c r="C385" s="228" t="s">
        <v>565</v>
      </c>
      <c r="D385" s="228" t="s">
        <v>1580</v>
      </c>
      <c r="E385" s="201">
        <v>75</v>
      </c>
      <c r="F385" s="201">
        <v>7</v>
      </c>
      <c r="G385" s="203">
        <v>45020</v>
      </c>
    </row>
    <row r="386" spans="2:18">
      <c r="C386" s="228" t="s">
        <v>565</v>
      </c>
      <c r="D386" s="228" t="s">
        <v>1580</v>
      </c>
      <c r="E386" s="201">
        <v>80</v>
      </c>
      <c r="F386" s="201">
        <v>10</v>
      </c>
      <c r="G386" s="203">
        <v>44404</v>
      </c>
    </row>
    <row r="387" spans="2:18">
      <c r="C387" s="228" t="s">
        <v>402</v>
      </c>
      <c r="D387" s="228" t="s">
        <v>1580</v>
      </c>
      <c r="E387" s="201">
        <v>40</v>
      </c>
      <c r="F387" s="201">
        <v>10</v>
      </c>
      <c r="G387" s="203">
        <v>43957</v>
      </c>
    </row>
    <row r="388" spans="2:18">
      <c r="C388" s="228" t="s">
        <v>544</v>
      </c>
      <c r="D388" s="228" t="s">
        <v>1580</v>
      </c>
      <c r="E388" s="201">
        <v>20</v>
      </c>
      <c r="F388" s="201">
        <v>20</v>
      </c>
      <c r="G388" s="203">
        <v>43480</v>
      </c>
    </row>
    <row r="389" spans="2:18">
      <c r="C389" s="228" t="s">
        <v>549</v>
      </c>
      <c r="D389" s="228" t="s">
        <v>1580</v>
      </c>
      <c r="E389" s="201">
        <v>7</v>
      </c>
      <c r="F389" s="201">
        <v>2</v>
      </c>
      <c r="G389" s="203">
        <v>43046</v>
      </c>
    </row>
    <row r="390" spans="2:18">
      <c r="C390" s="240" t="s">
        <v>402</v>
      </c>
      <c r="D390" s="240" t="s">
        <v>2793</v>
      </c>
      <c r="E390" s="201">
        <v>37</v>
      </c>
      <c r="F390" s="201">
        <v>4</v>
      </c>
      <c r="G390" s="203">
        <v>44860</v>
      </c>
    </row>
    <row r="391" spans="2:18">
      <c r="C391" s="240" t="s">
        <v>402</v>
      </c>
      <c r="D391" s="240" t="s">
        <v>2793</v>
      </c>
      <c r="E391" s="201">
        <v>80</v>
      </c>
      <c r="F391" s="201">
        <v>10</v>
      </c>
      <c r="G391" s="203">
        <v>44327</v>
      </c>
    </row>
    <row r="392" spans="2:18">
      <c r="C392" s="240" t="s">
        <v>544</v>
      </c>
      <c r="D392" s="240" t="s">
        <v>2793</v>
      </c>
      <c r="E392" s="201">
        <v>30</v>
      </c>
      <c r="F392" s="201">
        <v>7</v>
      </c>
      <c r="G392" s="203">
        <v>43963</v>
      </c>
    </row>
    <row r="393" spans="2:18">
      <c r="C393" s="253" t="s">
        <v>565</v>
      </c>
      <c r="D393" s="253" t="s">
        <v>1632</v>
      </c>
      <c r="E393" s="201">
        <v>110</v>
      </c>
      <c r="F393" s="201">
        <f>70/5</f>
        <v>14</v>
      </c>
      <c r="G393" s="203">
        <v>44369</v>
      </c>
    </row>
    <row r="394" spans="2:18">
      <c r="C394" s="253" t="s">
        <v>402</v>
      </c>
      <c r="D394" s="253" t="s">
        <v>1632</v>
      </c>
      <c r="E394" s="201">
        <v>40</v>
      </c>
      <c r="F394" s="201">
        <v>4</v>
      </c>
      <c r="G394" s="203">
        <v>43419</v>
      </c>
    </row>
    <row r="395" spans="2:18">
      <c r="C395" s="253" t="s">
        <v>544</v>
      </c>
      <c r="D395" s="253" t="s">
        <v>1632</v>
      </c>
      <c r="E395" s="201">
        <v>14.7</v>
      </c>
      <c r="F395" s="201">
        <v>2.25</v>
      </c>
      <c r="G395" s="203">
        <v>43032</v>
      </c>
    </row>
    <row r="396" spans="2:18">
      <c r="G396" s="203"/>
    </row>
    <row r="397" spans="2:18" s="64" customFormat="1">
      <c r="B397" s="64" t="s">
        <v>772</v>
      </c>
      <c r="C397" s="191" t="s">
        <v>491</v>
      </c>
      <c r="D397" s="191" t="s">
        <v>759</v>
      </c>
      <c r="E397" s="188"/>
      <c r="F397" s="188">
        <f>SUM(F398:F402)</f>
        <v>127.44444444444444</v>
      </c>
      <c r="G397" s="202">
        <f>G398</f>
        <v>45069</v>
      </c>
      <c r="I397" s="191" t="s">
        <v>496</v>
      </c>
      <c r="J397" s="191" t="s">
        <v>496</v>
      </c>
      <c r="K397" s="191" t="s">
        <v>496</v>
      </c>
      <c r="M397" s="191"/>
      <c r="N397" s="191"/>
      <c r="O397" s="191"/>
      <c r="P397" s="191"/>
      <c r="Q397" s="191"/>
      <c r="R397" s="191"/>
    </row>
    <row r="398" spans="2:18">
      <c r="C398" s="200" t="s">
        <v>565</v>
      </c>
      <c r="D398" s="200" t="s">
        <v>144</v>
      </c>
      <c r="E398" s="201">
        <v>450</v>
      </c>
      <c r="F398" s="201">
        <f>300/5</f>
        <v>60</v>
      </c>
      <c r="G398" s="203">
        <v>45069</v>
      </c>
    </row>
    <row r="399" spans="2:18">
      <c r="C399" s="200" t="s">
        <v>565</v>
      </c>
      <c r="D399" s="200" t="s">
        <v>404</v>
      </c>
      <c r="E399" s="201">
        <v>270</v>
      </c>
      <c r="F399" s="201">
        <f>220/9</f>
        <v>24.444444444444443</v>
      </c>
      <c r="G399" s="203">
        <v>45048</v>
      </c>
    </row>
    <row r="400" spans="2:18">
      <c r="C400" s="220" t="s">
        <v>549</v>
      </c>
      <c r="D400" s="220" t="s">
        <v>714</v>
      </c>
      <c r="E400" s="201">
        <v>12.3</v>
      </c>
      <c r="F400" s="201">
        <v>3</v>
      </c>
      <c r="G400" s="203">
        <v>44622</v>
      </c>
    </row>
    <row r="401" spans="2:19">
      <c r="C401" s="228" t="s">
        <v>2439</v>
      </c>
      <c r="D401" s="228" t="s">
        <v>2441</v>
      </c>
      <c r="E401" s="201">
        <v>250</v>
      </c>
      <c r="F401" s="201">
        <v>30</v>
      </c>
      <c r="G401" s="203">
        <v>44376</v>
      </c>
    </row>
    <row r="402" spans="2:19">
      <c r="C402" s="228" t="s">
        <v>813</v>
      </c>
      <c r="D402" s="228" t="s">
        <v>2441</v>
      </c>
      <c r="E402" s="201">
        <v>50</v>
      </c>
      <c r="F402" s="201">
        <v>10</v>
      </c>
      <c r="G402" s="203">
        <v>44174</v>
      </c>
    </row>
    <row r="403" spans="2:19">
      <c r="G403" s="203"/>
    </row>
    <row r="404" spans="2:19">
      <c r="B404" s="64" t="s">
        <v>792</v>
      </c>
      <c r="C404" s="191" t="s">
        <v>491</v>
      </c>
      <c r="D404" s="191" t="s">
        <v>759</v>
      </c>
      <c r="E404" s="188"/>
      <c r="F404" s="188">
        <f>SUM(F405:F411)</f>
        <v>108.33333333333333</v>
      </c>
      <c r="G404" s="202">
        <f>+G408</f>
        <v>45104</v>
      </c>
      <c r="I404" s="199">
        <v>350</v>
      </c>
      <c r="J404" s="232">
        <f>+F404/I404</f>
        <v>0.30952380952380953</v>
      </c>
      <c r="K404" s="199">
        <v>2017</v>
      </c>
      <c r="L404" s="227"/>
      <c r="M404" s="228"/>
      <c r="N404" s="228"/>
      <c r="S404" s="227" t="s">
        <v>2710</v>
      </c>
    </row>
    <row r="405" spans="2:19">
      <c r="C405" s="200" t="s">
        <v>402</v>
      </c>
      <c r="D405" s="200" t="s">
        <v>404</v>
      </c>
      <c r="E405" s="201">
        <v>130</v>
      </c>
      <c r="F405" s="201">
        <f>70/3</f>
        <v>23.333333333333332</v>
      </c>
      <c r="G405" s="203">
        <v>44607</v>
      </c>
    </row>
    <row r="406" spans="2:19">
      <c r="C406" s="200" t="s">
        <v>544</v>
      </c>
      <c r="D406" s="200" t="s">
        <v>404</v>
      </c>
      <c r="E406" s="201">
        <v>40</v>
      </c>
      <c r="F406" s="201">
        <v>10</v>
      </c>
      <c r="G406" s="203">
        <v>44446</v>
      </c>
    </row>
    <row r="407" spans="2:19">
      <c r="C407" s="200" t="s">
        <v>544</v>
      </c>
      <c r="D407" s="200" t="s">
        <v>654</v>
      </c>
      <c r="E407" s="201">
        <v>33</v>
      </c>
      <c r="F407" s="201">
        <v>10</v>
      </c>
      <c r="G407" s="203">
        <v>44893</v>
      </c>
    </row>
    <row r="408" spans="2:19">
      <c r="C408" s="225" t="s">
        <v>544</v>
      </c>
      <c r="D408" s="225" t="s">
        <v>2305</v>
      </c>
      <c r="E408" s="201">
        <v>58</v>
      </c>
      <c r="F408" s="201">
        <v>25</v>
      </c>
      <c r="G408" s="203">
        <v>45104</v>
      </c>
    </row>
    <row r="409" spans="2:19">
      <c r="C409" s="228" t="s">
        <v>565</v>
      </c>
      <c r="D409" s="228" t="s">
        <v>1580</v>
      </c>
      <c r="E409" s="201">
        <v>75</v>
      </c>
      <c r="F409" s="201">
        <v>20</v>
      </c>
      <c r="G409" s="203">
        <v>45020</v>
      </c>
    </row>
    <row r="410" spans="2:19">
      <c r="C410" s="228" t="s">
        <v>565</v>
      </c>
      <c r="D410" s="228" t="s">
        <v>1580</v>
      </c>
      <c r="E410" s="201">
        <v>80</v>
      </c>
      <c r="F410" s="201">
        <v>10</v>
      </c>
      <c r="G410" s="203">
        <v>44404</v>
      </c>
    </row>
    <row r="411" spans="2:19">
      <c r="C411" s="228" t="s">
        <v>402</v>
      </c>
      <c r="D411" s="228" t="s">
        <v>1580</v>
      </c>
      <c r="E411" s="201">
        <v>40</v>
      </c>
      <c r="F411" s="201">
        <v>10</v>
      </c>
      <c r="G411" s="203">
        <v>43957</v>
      </c>
    </row>
    <row r="412" spans="2:19">
      <c r="G412" s="203"/>
    </row>
    <row r="413" spans="2:19" s="64" customFormat="1">
      <c r="B413" s="64" t="s">
        <v>765</v>
      </c>
      <c r="C413" s="191" t="s">
        <v>491</v>
      </c>
      <c r="D413" s="191" t="s">
        <v>759</v>
      </c>
      <c r="E413" s="188"/>
      <c r="F413" s="188">
        <f>SUM(F414:F423)</f>
        <v>95.685714285714297</v>
      </c>
      <c r="G413" s="202">
        <f>G421</f>
        <v>45090</v>
      </c>
      <c r="M413" s="191"/>
      <c r="N413" s="191"/>
      <c r="O413" s="191"/>
      <c r="P413" s="191"/>
      <c r="Q413" s="191"/>
      <c r="R413" s="191"/>
    </row>
    <row r="414" spans="2:19">
      <c r="C414" s="200" t="s">
        <v>565</v>
      </c>
      <c r="D414" s="200" t="s">
        <v>751</v>
      </c>
      <c r="E414" s="201">
        <v>100</v>
      </c>
      <c r="F414" s="201">
        <v>13</v>
      </c>
      <c r="G414" s="203">
        <v>43682</v>
      </c>
    </row>
    <row r="415" spans="2:19">
      <c r="C415" s="200" t="s">
        <v>402</v>
      </c>
      <c r="D415" s="200" t="s">
        <v>751</v>
      </c>
      <c r="E415" s="201">
        <v>18</v>
      </c>
      <c r="F415" s="201">
        <v>3</v>
      </c>
      <c r="G415" s="203">
        <v>43319</v>
      </c>
    </row>
    <row r="416" spans="2:19">
      <c r="C416" s="200" t="s">
        <v>544</v>
      </c>
      <c r="D416" s="200" t="s">
        <v>751</v>
      </c>
      <c r="E416" s="201">
        <v>4.5</v>
      </c>
      <c r="F416" s="201">
        <f>E416/3</f>
        <v>1.5</v>
      </c>
      <c r="G416" s="203">
        <v>42878</v>
      </c>
    </row>
    <row r="417" spans="2:7">
      <c r="C417" s="200" t="s">
        <v>549</v>
      </c>
      <c r="D417" s="200" t="s">
        <v>618</v>
      </c>
      <c r="E417" s="201">
        <v>3.3</v>
      </c>
      <c r="F417" s="201">
        <v>0.5</v>
      </c>
      <c r="G417" s="203">
        <v>44026</v>
      </c>
    </row>
    <row r="418" spans="2:7">
      <c r="C418" s="228" t="s">
        <v>544</v>
      </c>
      <c r="D418" s="228" t="s">
        <v>2472</v>
      </c>
      <c r="E418" s="201">
        <v>13</v>
      </c>
      <c r="F418" s="201">
        <v>1.4</v>
      </c>
      <c r="G418" s="203">
        <v>44516</v>
      </c>
    </row>
    <row r="419" spans="2:7">
      <c r="C419" s="228" t="s">
        <v>402</v>
      </c>
      <c r="D419" s="228" t="s">
        <v>1527</v>
      </c>
      <c r="E419" s="201">
        <v>30</v>
      </c>
      <c r="F419" s="201">
        <v>5</v>
      </c>
      <c r="G419" s="203">
        <v>44756</v>
      </c>
    </row>
    <row r="420" spans="2:7">
      <c r="C420" s="228" t="s">
        <v>544</v>
      </c>
      <c r="D420" s="228" t="s">
        <v>1527</v>
      </c>
      <c r="E420" s="201">
        <v>28</v>
      </c>
      <c r="F420" s="201">
        <v>13</v>
      </c>
      <c r="G420" s="203">
        <v>44624</v>
      </c>
    </row>
    <row r="421" spans="2:7">
      <c r="C421" s="238" t="s">
        <v>565</v>
      </c>
      <c r="D421" s="238" t="s">
        <v>1991</v>
      </c>
      <c r="E421" s="201">
        <v>90</v>
      </c>
      <c r="F421" s="201">
        <v>30</v>
      </c>
      <c r="G421" s="203">
        <v>45090</v>
      </c>
    </row>
    <row r="422" spans="2:7">
      <c r="C422" s="245" t="s">
        <v>565</v>
      </c>
      <c r="D422" s="245" t="s">
        <v>2866</v>
      </c>
      <c r="E422" s="201">
        <v>130</v>
      </c>
      <c r="F422" s="201">
        <f>100/7</f>
        <v>14.285714285714286</v>
      </c>
      <c r="G422" s="203">
        <v>44323</v>
      </c>
    </row>
    <row r="423" spans="2:7">
      <c r="C423" s="245" t="s">
        <v>402</v>
      </c>
      <c r="D423" s="245" t="s">
        <v>2866</v>
      </c>
      <c r="E423" s="201">
        <v>44</v>
      </c>
      <c r="F423" s="201">
        <v>14</v>
      </c>
      <c r="G423" s="203">
        <v>43909</v>
      </c>
    </row>
    <row r="424" spans="2:7">
      <c r="G424" s="203"/>
    </row>
    <row r="425" spans="2:7">
      <c r="B425" s="64" t="s">
        <v>796</v>
      </c>
      <c r="C425" s="191" t="s">
        <v>491</v>
      </c>
      <c r="D425" s="191" t="s">
        <v>759</v>
      </c>
      <c r="F425" s="188">
        <f>SUM(F426:F444)</f>
        <v>113.82142857142857</v>
      </c>
      <c r="G425" s="202">
        <f>+G429</f>
        <v>44900</v>
      </c>
    </row>
    <row r="426" spans="2:7">
      <c r="C426" s="200" t="s">
        <v>565</v>
      </c>
      <c r="D426" s="200" t="s">
        <v>797</v>
      </c>
      <c r="E426" s="201">
        <v>100</v>
      </c>
      <c r="F426" s="201">
        <v>20</v>
      </c>
      <c r="G426" s="203">
        <v>44690</v>
      </c>
    </row>
    <row r="427" spans="2:7">
      <c r="C427" s="200" t="s">
        <v>402</v>
      </c>
      <c r="D427" s="200" t="s">
        <v>797</v>
      </c>
      <c r="E427" s="201">
        <v>40</v>
      </c>
      <c r="F427" s="201">
        <v>20</v>
      </c>
      <c r="G427" s="203">
        <v>44327</v>
      </c>
    </row>
    <row r="428" spans="2:7">
      <c r="C428" s="200" t="s">
        <v>544</v>
      </c>
      <c r="D428" s="200" t="s">
        <v>797</v>
      </c>
      <c r="E428" s="201">
        <v>15</v>
      </c>
      <c r="F428" s="201">
        <v>5</v>
      </c>
      <c r="G428" s="203">
        <v>43816</v>
      </c>
    </row>
    <row r="429" spans="2:7">
      <c r="C429" s="200" t="s">
        <v>565</v>
      </c>
      <c r="D429" s="200" t="s">
        <v>864</v>
      </c>
      <c r="E429" s="201">
        <v>50</v>
      </c>
      <c r="F429" s="201">
        <v>6</v>
      </c>
      <c r="G429" s="203">
        <v>44900</v>
      </c>
    </row>
    <row r="430" spans="2:7">
      <c r="C430" s="200" t="s">
        <v>402</v>
      </c>
      <c r="D430" s="200" t="s">
        <v>864</v>
      </c>
      <c r="E430" s="201">
        <v>35</v>
      </c>
      <c r="F430" s="201">
        <v>5</v>
      </c>
      <c r="G430" s="203">
        <v>44543</v>
      </c>
    </row>
    <row r="431" spans="2:7">
      <c r="C431" s="200" t="s">
        <v>544</v>
      </c>
      <c r="D431" s="200" t="s">
        <v>864</v>
      </c>
      <c r="E431" s="201">
        <v>8.5</v>
      </c>
      <c r="F431" s="201">
        <v>1</v>
      </c>
      <c r="G431" s="203">
        <v>44181</v>
      </c>
    </row>
    <row r="432" spans="2:7">
      <c r="C432" s="200" t="s">
        <v>549</v>
      </c>
      <c r="D432" s="200" t="s">
        <v>864</v>
      </c>
      <c r="E432" s="201">
        <v>2</v>
      </c>
      <c r="F432" s="201">
        <v>2</v>
      </c>
      <c r="G432" s="203">
        <v>43435</v>
      </c>
    </row>
    <row r="433" spans="2:11">
      <c r="C433" s="200" t="s">
        <v>544</v>
      </c>
      <c r="D433" s="200" t="s">
        <v>611</v>
      </c>
      <c r="E433" s="201">
        <v>20</v>
      </c>
      <c r="F433" s="201">
        <v>4</v>
      </c>
      <c r="G433" s="203">
        <v>43949</v>
      </c>
    </row>
    <row r="434" spans="2:11">
      <c r="C434" s="200" t="s">
        <v>549</v>
      </c>
      <c r="D434" s="200" t="s">
        <v>611</v>
      </c>
      <c r="E434" s="201">
        <v>5</v>
      </c>
      <c r="F434" s="201">
        <v>1</v>
      </c>
      <c r="G434" s="203">
        <v>43438</v>
      </c>
    </row>
    <row r="435" spans="2:11">
      <c r="C435" s="228" t="s">
        <v>549</v>
      </c>
      <c r="D435" s="228" t="s">
        <v>1580</v>
      </c>
      <c r="E435" s="201">
        <v>7</v>
      </c>
      <c r="F435" s="201">
        <v>0.7142857142857143</v>
      </c>
      <c r="G435" s="203">
        <v>43046</v>
      </c>
    </row>
    <row r="436" spans="2:11">
      <c r="C436" s="238" t="s">
        <v>402</v>
      </c>
      <c r="D436" s="238" t="s">
        <v>2754</v>
      </c>
      <c r="E436" s="201">
        <v>32</v>
      </c>
      <c r="F436" s="201">
        <f>20/7</f>
        <v>2.8571428571428572</v>
      </c>
      <c r="G436" s="203">
        <v>44364</v>
      </c>
    </row>
    <row r="437" spans="2:11">
      <c r="C437" s="238" t="s">
        <v>402</v>
      </c>
      <c r="D437" s="253" t="s">
        <v>2754</v>
      </c>
      <c r="E437" s="201">
        <v>10.199999999999999</v>
      </c>
      <c r="F437" s="201">
        <v>3</v>
      </c>
      <c r="G437" s="203">
        <v>43732</v>
      </c>
    </row>
    <row r="438" spans="2:11">
      <c r="C438" s="253" t="s">
        <v>565</v>
      </c>
      <c r="D438" s="253" t="s">
        <v>1632</v>
      </c>
      <c r="E438" s="201">
        <v>110</v>
      </c>
      <c r="F438" s="201">
        <f>70/5</f>
        <v>14</v>
      </c>
      <c r="G438" s="203">
        <v>44369</v>
      </c>
    </row>
    <row r="439" spans="2:11">
      <c r="C439" s="253" t="s">
        <v>402</v>
      </c>
      <c r="D439" s="253" t="s">
        <v>1632</v>
      </c>
      <c r="E439" s="201">
        <v>40</v>
      </c>
      <c r="F439" s="201">
        <v>8</v>
      </c>
      <c r="G439" s="203">
        <v>43419</v>
      </c>
    </row>
    <row r="440" spans="2:11">
      <c r="C440" s="253" t="s">
        <v>544</v>
      </c>
      <c r="D440" s="253" t="s">
        <v>1632</v>
      </c>
      <c r="E440" s="201">
        <v>14.7</v>
      </c>
      <c r="F440" s="201">
        <v>2.25</v>
      </c>
      <c r="G440" s="203">
        <v>43032</v>
      </c>
    </row>
    <row r="441" spans="2:11">
      <c r="C441" s="273" t="s">
        <v>755</v>
      </c>
      <c r="D441" s="273" t="s">
        <v>1803</v>
      </c>
      <c r="E441" s="201">
        <v>111</v>
      </c>
      <c r="F441" s="201">
        <v>7</v>
      </c>
      <c r="G441" s="203">
        <v>44622</v>
      </c>
    </row>
    <row r="442" spans="2:11">
      <c r="C442" s="273" t="s">
        <v>565</v>
      </c>
      <c r="D442" s="273" t="s">
        <v>1803</v>
      </c>
      <c r="E442" s="201">
        <v>55</v>
      </c>
      <c r="F442" s="201">
        <v>6</v>
      </c>
      <c r="G442" s="203">
        <v>44314</v>
      </c>
    </row>
    <row r="443" spans="2:11">
      <c r="C443" s="273" t="s">
        <v>402</v>
      </c>
      <c r="D443" s="273" t="s">
        <v>1803</v>
      </c>
      <c r="E443" s="201">
        <v>16</v>
      </c>
      <c r="F443" s="201">
        <v>2</v>
      </c>
      <c r="G443" s="203">
        <v>44009</v>
      </c>
    </row>
    <row r="444" spans="2:11">
      <c r="C444" s="273" t="s">
        <v>544</v>
      </c>
      <c r="D444" s="273" t="s">
        <v>1803</v>
      </c>
      <c r="E444" s="201">
        <v>14</v>
      </c>
      <c r="F444" s="201">
        <v>4</v>
      </c>
      <c r="G444" s="203">
        <v>43690</v>
      </c>
    </row>
    <row r="445" spans="2:11">
      <c r="C445" s="273" t="s">
        <v>549</v>
      </c>
      <c r="D445" s="273" t="s">
        <v>1803</v>
      </c>
      <c r="E445" s="201">
        <v>3.5</v>
      </c>
      <c r="F445" s="201">
        <f>+E445/9</f>
        <v>0.3888888888888889</v>
      </c>
      <c r="G445" s="203">
        <v>42979</v>
      </c>
    </row>
    <row r="446" spans="2:11">
      <c r="G446" s="203"/>
    </row>
    <row r="447" spans="2:11">
      <c r="B447" s="64" t="s">
        <v>743</v>
      </c>
      <c r="C447" s="191" t="s">
        <v>491</v>
      </c>
      <c r="D447" s="191" t="s">
        <v>759</v>
      </c>
      <c r="E447" s="188"/>
      <c r="F447" s="188">
        <f>SUM(F448:F449)</f>
        <v>80</v>
      </c>
      <c r="G447" s="202">
        <f>G449</f>
        <v>44679</v>
      </c>
      <c r="I447" s="199">
        <v>7000</v>
      </c>
      <c r="J447" s="232">
        <f>+F447/I447</f>
        <v>1.1428571428571429E-2</v>
      </c>
      <c r="K447" s="199">
        <v>2012</v>
      </c>
    </row>
    <row r="448" spans="2:11">
      <c r="C448" s="200" t="s">
        <v>738</v>
      </c>
      <c r="D448" s="200" t="s">
        <v>751</v>
      </c>
      <c r="E448" s="201">
        <v>325</v>
      </c>
      <c r="F448" s="201">
        <f>32.5*2</f>
        <v>65</v>
      </c>
      <c r="G448" s="203">
        <v>44299</v>
      </c>
    </row>
    <row r="449" spans="2:7">
      <c r="C449" s="200" t="s">
        <v>544</v>
      </c>
      <c r="D449" s="200" t="s">
        <v>462</v>
      </c>
      <c r="E449" s="201">
        <v>25</v>
      </c>
      <c r="F449" s="201">
        <v>15</v>
      </c>
      <c r="G449" s="203">
        <v>44679</v>
      </c>
    </row>
    <row r="450" spans="2:7">
      <c r="G450" s="203"/>
    </row>
    <row r="451" spans="2:7">
      <c r="B451" s="64" t="s">
        <v>1706</v>
      </c>
      <c r="C451" s="191" t="s">
        <v>491</v>
      </c>
      <c r="D451" s="191" t="s">
        <v>759</v>
      </c>
      <c r="E451" s="188"/>
      <c r="F451" s="188">
        <f>SUM(F452:F456)</f>
        <v>77.5</v>
      </c>
      <c r="G451" s="202">
        <f>G452</f>
        <v>45042</v>
      </c>
    </row>
    <row r="452" spans="2:7">
      <c r="C452" s="200" t="s">
        <v>402</v>
      </c>
      <c r="D452" s="200" t="s">
        <v>409</v>
      </c>
      <c r="E452" s="201">
        <v>100</v>
      </c>
      <c r="F452" s="201">
        <v>5</v>
      </c>
      <c r="G452" s="203">
        <v>45042</v>
      </c>
    </row>
    <row r="453" spans="2:7">
      <c r="B453" s="210"/>
      <c r="C453" s="211" t="s">
        <v>565</v>
      </c>
      <c r="D453" s="211" t="s">
        <v>433</v>
      </c>
      <c r="E453" s="201">
        <v>200</v>
      </c>
      <c r="F453" s="201">
        <v>20</v>
      </c>
      <c r="G453" s="203">
        <v>44377</v>
      </c>
    </row>
    <row r="454" spans="2:7">
      <c r="B454" s="210"/>
      <c r="C454" s="211" t="s">
        <v>402</v>
      </c>
      <c r="D454" s="211" t="s">
        <v>433</v>
      </c>
      <c r="E454" s="201">
        <v>75</v>
      </c>
      <c r="F454" s="201">
        <v>20</v>
      </c>
      <c r="G454" s="203">
        <v>43783</v>
      </c>
    </row>
    <row r="455" spans="2:7">
      <c r="B455" s="210"/>
      <c r="C455" s="225" t="s">
        <v>755</v>
      </c>
      <c r="D455" s="225" t="s">
        <v>445</v>
      </c>
      <c r="E455" s="201">
        <v>100</v>
      </c>
      <c r="F455" s="201">
        <f>50/4</f>
        <v>12.5</v>
      </c>
      <c r="G455" s="203">
        <v>44419</v>
      </c>
    </row>
    <row r="456" spans="2:7">
      <c r="B456" s="210"/>
      <c r="C456" s="225" t="s">
        <v>565</v>
      </c>
      <c r="D456" s="225" t="s">
        <v>445</v>
      </c>
      <c r="E456" s="201">
        <v>60</v>
      </c>
      <c r="F456" s="201">
        <v>20</v>
      </c>
      <c r="G456" s="203">
        <v>43606</v>
      </c>
    </row>
    <row r="457" spans="2:7">
      <c r="B457" s="210"/>
      <c r="C457" s="211"/>
      <c r="D457" s="211"/>
      <c r="G457" s="203"/>
    </row>
    <row r="458" spans="2:7">
      <c r="B458" s="64" t="s">
        <v>744</v>
      </c>
      <c r="C458" s="191" t="s">
        <v>491</v>
      </c>
      <c r="D458" s="191" t="s">
        <v>759</v>
      </c>
      <c r="E458" s="188"/>
      <c r="F458" s="188">
        <f>SUM(F459:F464)</f>
        <v>77</v>
      </c>
      <c r="G458" s="202">
        <f>G459</f>
        <v>44299</v>
      </c>
    </row>
    <row r="459" spans="2:7">
      <c r="C459" s="200" t="s">
        <v>738</v>
      </c>
      <c r="D459" s="200" t="s">
        <v>751</v>
      </c>
      <c r="E459" s="201">
        <v>325</v>
      </c>
      <c r="F459" s="201">
        <v>18.5</v>
      </c>
      <c r="G459" s="203">
        <v>44299</v>
      </c>
    </row>
    <row r="460" spans="2:7">
      <c r="C460" s="200" t="s">
        <v>565</v>
      </c>
      <c r="D460" s="200" t="s">
        <v>751</v>
      </c>
      <c r="E460" s="201">
        <v>100</v>
      </c>
      <c r="F460" s="201">
        <v>35</v>
      </c>
      <c r="G460" s="203">
        <v>43682</v>
      </c>
    </row>
    <row r="461" spans="2:7">
      <c r="C461" s="200" t="s">
        <v>544</v>
      </c>
      <c r="D461" s="200" t="s">
        <v>1094</v>
      </c>
      <c r="E461" s="201">
        <v>50</v>
      </c>
      <c r="F461" s="201">
        <f>30/12</f>
        <v>2.5</v>
      </c>
      <c r="G461" s="203">
        <v>44796</v>
      </c>
    </row>
    <row r="462" spans="2:7">
      <c r="C462" s="200" t="s">
        <v>544</v>
      </c>
      <c r="D462" s="200" t="s">
        <v>462</v>
      </c>
      <c r="E462" s="201">
        <v>25</v>
      </c>
      <c r="F462" s="201">
        <v>10</v>
      </c>
      <c r="G462" s="203">
        <v>44679</v>
      </c>
    </row>
    <row r="463" spans="2:7">
      <c r="C463" s="200" t="s">
        <v>549</v>
      </c>
      <c r="D463" s="200" t="s">
        <v>462</v>
      </c>
      <c r="E463" s="201">
        <v>3</v>
      </c>
      <c r="F463" s="201">
        <v>1</v>
      </c>
      <c r="G463" s="203">
        <v>44197</v>
      </c>
    </row>
    <row r="464" spans="2:7">
      <c r="C464" s="211" t="s">
        <v>402</v>
      </c>
      <c r="D464" s="211" t="s">
        <v>547</v>
      </c>
      <c r="E464" s="201">
        <v>27</v>
      </c>
      <c r="F464" s="201">
        <v>10</v>
      </c>
      <c r="G464" s="203">
        <v>44882</v>
      </c>
    </row>
    <row r="465" spans="2:18">
      <c r="G465" s="203"/>
    </row>
    <row r="466" spans="2:18" s="64" customFormat="1">
      <c r="B466" s="64" t="s">
        <v>852</v>
      </c>
      <c r="C466" s="191" t="s">
        <v>491</v>
      </c>
      <c r="D466" s="191" t="s">
        <v>759</v>
      </c>
      <c r="E466" s="188"/>
      <c r="F466" s="188">
        <f>SUM(F467:F471)</f>
        <v>74.5</v>
      </c>
      <c r="G466" s="202">
        <f>G469</f>
        <v>45077</v>
      </c>
      <c r="M466" s="191"/>
      <c r="N466" s="191"/>
      <c r="O466" s="191"/>
      <c r="P466" s="191"/>
      <c r="Q466" s="191"/>
      <c r="R466" s="191"/>
    </row>
    <row r="467" spans="2:18">
      <c r="C467" s="200" t="s">
        <v>565</v>
      </c>
      <c r="D467" s="200" t="s">
        <v>850</v>
      </c>
      <c r="E467" s="201">
        <v>135</v>
      </c>
      <c r="F467" s="201">
        <v>42.5</v>
      </c>
      <c r="G467" s="203">
        <v>44482</v>
      </c>
    </row>
    <row r="468" spans="2:18">
      <c r="C468" s="200" t="s">
        <v>565</v>
      </c>
      <c r="D468" s="200" t="s">
        <v>864</v>
      </c>
      <c r="E468" s="201">
        <v>50</v>
      </c>
      <c r="F468" s="201">
        <v>20</v>
      </c>
      <c r="G468" s="203">
        <v>44900</v>
      </c>
    </row>
    <row r="469" spans="2:18">
      <c r="C469" s="218" t="s">
        <v>544</v>
      </c>
      <c r="D469" s="218" t="s">
        <v>581</v>
      </c>
      <c r="E469" s="201">
        <v>28.5</v>
      </c>
      <c r="F469" s="201">
        <v>6</v>
      </c>
      <c r="G469" s="203">
        <v>45077</v>
      </c>
    </row>
    <row r="470" spans="2:18">
      <c r="C470" s="228" t="s">
        <v>402</v>
      </c>
      <c r="D470" s="228" t="s">
        <v>1530</v>
      </c>
      <c r="E470" s="201">
        <v>16</v>
      </c>
      <c r="F470" s="201">
        <v>4</v>
      </c>
      <c r="G470" s="229">
        <v>42995</v>
      </c>
    </row>
    <row r="471" spans="2:18">
      <c r="C471" s="228" t="s">
        <v>544</v>
      </c>
      <c r="D471" s="228" t="s">
        <v>1530</v>
      </c>
      <c r="E471" s="201">
        <v>8</v>
      </c>
      <c r="F471" s="201">
        <v>2</v>
      </c>
      <c r="G471" s="229">
        <v>42416</v>
      </c>
    </row>
    <row r="472" spans="2:18">
      <c r="G472" s="203"/>
    </row>
    <row r="473" spans="2:18">
      <c r="B473" s="64" t="s">
        <v>770</v>
      </c>
      <c r="C473" s="191" t="s">
        <v>491</v>
      </c>
      <c r="D473" s="191" t="s">
        <v>759</v>
      </c>
      <c r="E473" s="188"/>
      <c r="F473" s="188">
        <f>SUM(F474:F476)</f>
        <v>73.920454545454547</v>
      </c>
      <c r="G473" s="202">
        <f>G474</f>
        <v>45069</v>
      </c>
    </row>
    <row r="474" spans="2:18">
      <c r="C474" s="200" t="s">
        <v>565</v>
      </c>
      <c r="D474" s="200" t="s">
        <v>144</v>
      </c>
      <c r="E474" s="201">
        <v>450</v>
      </c>
      <c r="F474" s="201">
        <f>300/5</f>
        <v>60</v>
      </c>
      <c r="G474" s="203">
        <v>45069</v>
      </c>
    </row>
    <row r="475" spans="2:18">
      <c r="C475" s="225" t="s">
        <v>565</v>
      </c>
      <c r="D475" s="225" t="s">
        <v>2162</v>
      </c>
      <c r="E475" s="201">
        <v>125</v>
      </c>
      <c r="F475" s="201">
        <f>75/8</f>
        <v>9.375</v>
      </c>
      <c r="G475" s="203">
        <v>44663</v>
      </c>
    </row>
    <row r="476" spans="2:18">
      <c r="C476" s="228" t="s">
        <v>755</v>
      </c>
      <c r="D476" s="228" t="s">
        <v>1257</v>
      </c>
      <c r="E476" s="201">
        <v>90</v>
      </c>
      <c r="F476" s="201">
        <f>50/11</f>
        <v>4.5454545454545459</v>
      </c>
      <c r="G476" s="203">
        <v>44776</v>
      </c>
    </row>
    <row r="477" spans="2:18">
      <c r="G477" s="203"/>
    </row>
    <row r="478" spans="2:18">
      <c r="B478" s="64" t="s">
        <v>799</v>
      </c>
      <c r="C478" s="191" t="s">
        <v>491</v>
      </c>
      <c r="D478" s="191" t="s">
        <v>759</v>
      </c>
      <c r="F478" s="188">
        <f>SUM(F479:F494)</f>
        <v>73.033333333333331</v>
      </c>
      <c r="G478" s="202">
        <f>G487</f>
        <v>45041</v>
      </c>
    </row>
    <row r="479" spans="2:18">
      <c r="B479" s="64"/>
      <c r="C479" s="200" t="s">
        <v>402</v>
      </c>
      <c r="D479" s="200" t="s">
        <v>431</v>
      </c>
      <c r="E479" s="201">
        <v>350</v>
      </c>
      <c r="F479" s="201">
        <v>20</v>
      </c>
      <c r="G479" s="203">
        <v>44999</v>
      </c>
    </row>
    <row r="480" spans="2:18">
      <c r="C480" s="200" t="s">
        <v>565</v>
      </c>
      <c r="D480" s="200" t="s">
        <v>797</v>
      </c>
      <c r="E480" s="201">
        <v>100</v>
      </c>
      <c r="F480" s="201">
        <v>9</v>
      </c>
      <c r="G480" s="203">
        <v>44690</v>
      </c>
    </row>
    <row r="481" spans="3:7">
      <c r="C481" s="200" t="s">
        <v>549</v>
      </c>
      <c r="D481" s="200" t="s">
        <v>797</v>
      </c>
      <c r="E481" s="201">
        <v>4</v>
      </c>
      <c r="F481" s="201">
        <v>1</v>
      </c>
      <c r="G481" s="203">
        <v>43243</v>
      </c>
    </row>
    <row r="482" spans="3:7">
      <c r="C482" s="200" t="s">
        <v>810</v>
      </c>
      <c r="D482" s="200" t="s">
        <v>797</v>
      </c>
      <c r="E482" s="201">
        <v>1.2</v>
      </c>
      <c r="F482" s="201">
        <v>0.2</v>
      </c>
      <c r="G482" s="203">
        <v>42799</v>
      </c>
    </row>
    <row r="483" spans="3:7">
      <c r="C483" s="200" t="s">
        <v>544</v>
      </c>
      <c r="D483" s="200" t="s">
        <v>601</v>
      </c>
      <c r="E483" s="201">
        <v>150</v>
      </c>
      <c r="F483" s="201">
        <v>10</v>
      </c>
      <c r="G483" s="203">
        <v>45008</v>
      </c>
    </row>
    <row r="484" spans="3:7">
      <c r="C484" s="200" t="s">
        <v>549</v>
      </c>
      <c r="D484" s="200" t="s">
        <v>611</v>
      </c>
      <c r="E484" s="201">
        <v>5</v>
      </c>
      <c r="F484" s="201">
        <v>1</v>
      </c>
      <c r="G484" s="203">
        <v>43438</v>
      </c>
    </row>
    <row r="485" spans="3:7">
      <c r="C485" s="200" t="s">
        <v>549</v>
      </c>
      <c r="D485" s="200" t="s">
        <v>454</v>
      </c>
      <c r="E485" s="201">
        <v>30</v>
      </c>
      <c r="F485" s="201">
        <v>5</v>
      </c>
      <c r="G485" s="203">
        <v>44742</v>
      </c>
    </row>
    <row r="486" spans="3:7">
      <c r="C486" s="200" t="s">
        <v>544</v>
      </c>
      <c r="D486" s="200" t="s">
        <v>1158</v>
      </c>
      <c r="E486" s="201">
        <v>21</v>
      </c>
      <c r="F486" s="201">
        <f>11/3</f>
        <v>3.6666666666666665</v>
      </c>
      <c r="G486" s="203">
        <v>45027</v>
      </c>
    </row>
    <row r="487" spans="3:7">
      <c r="C487" s="200" t="s">
        <v>402</v>
      </c>
      <c r="D487" s="200" t="s">
        <v>392</v>
      </c>
      <c r="E487" s="201">
        <v>97.4</v>
      </c>
      <c r="F487" s="201">
        <f>47/6</f>
        <v>7.833333333333333</v>
      </c>
      <c r="G487" s="203">
        <v>45041</v>
      </c>
    </row>
    <row r="488" spans="3:7">
      <c r="C488" s="211" t="s">
        <v>669</v>
      </c>
      <c r="D488" s="211" t="s">
        <v>701</v>
      </c>
      <c r="E488" s="201">
        <v>4.5</v>
      </c>
      <c r="F488" s="201">
        <v>1</v>
      </c>
      <c r="G488" s="203">
        <v>44691</v>
      </c>
    </row>
    <row r="489" spans="3:7">
      <c r="C489" s="218" t="s">
        <v>544</v>
      </c>
      <c r="D489" s="218" t="s">
        <v>706</v>
      </c>
      <c r="E489" s="201">
        <v>5.3</v>
      </c>
      <c r="F489" s="201">
        <v>2.5</v>
      </c>
      <c r="G489" s="203">
        <v>44978</v>
      </c>
    </row>
    <row r="490" spans="3:7">
      <c r="C490" s="225" t="s">
        <v>544</v>
      </c>
      <c r="D490" s="225" t="s">
        <v>445</v>
      </c>
      <c r="E490" s="201">
        <v>7</v>
      </c>
      <c r="F490" s="201">
        <v>1</v>
      </c>
      <c r="G490" s="203">
        <v>42885</v>
      </c>
    </row>
    <row r="491" spans="3:7">
      <c r="C491" s="225" t="s">
        <v>549</v>
      </c>
      <c r="D491" s="225" t="s">
        <v>445</v>
      </c>
      <c r="E491" s="201">
        <v>3</v>
      </c>
      <c r="F491" s="201">
        <v>0.5</v>
      </c>
      <c r="G491" s="203">
        <v>42606</v>
      </c>
    </row>
    <row r="492" spans="3:7">
      <c r="C492" s="225" t="s">
        <v>402</v>
      </c>
      <c r="D492" s="225" t="s">
        <v>2407</v>
      </c>
      <c r="E492" s="201">
        <v>18</v>
      </c>
      <c r="F492" s="201">
        <v>4.5</v>
      </c>
      <c r="G492" s="203">
        <v>44831</v>
      </c>
    </row>
    <row r="493" spans="3:7">
      <c r="C493" s="228" t="s">
        <v>544</v>
      </c>
      <c r="D493" s="225" t="s">
        <v>2407</v>
      </c>
      <c r="E493" s="201">
        <v>18.5</v>
      </c>
      <c r="F493" s="201">
        <v>5</v>
      </c>
      <c r="G493" s="203">
        <v>44658</v>
      </c>
    </row>
    <row r="494" spans="3:7">
      <c r="C494" s="228" t="s">
        <v>549</v>
      </c>
      <c r="D494" s="228" t="s">
        <v>1580</v>
      </c>
      <c r="E494" s="201">
        <v>7</v>
      </c>
      <c r="F494" s="201">
        <v>0.83333333333333337</v>
      </c>
      <c r="G494" s="203">
        <v>43046</v>
      </c>
    </row>
    <row r="495" spans="3:7">
      <c r="C495" s="253" t="s">
        <v>549</v>
      </c>
      <c r="D495" s="253" t="s">
        <v>1647</v>
      </c>
      <c r="E495" s="201">
        <v>1.8</v>
      </c>
      <c r="F495" s="201">
        <f>+E495/9</f>
        <v>0.2</v>
      </c>
      <c r="G495" s="254">
        <v>42690</v>
      </c>
    </row>
    <row r="496" spans="3:7">
      <c r="G496" s="203"/>
    </row>
    <row r="497" spans="2:18">
      <c r="B497" s="64" t="s">
        <v>826</v>
      </c>
      <c r="C497" s="191" t="s">
        <v>491</v>
      </c>
      <c r="D497" s="191" t="s">
        <v>759</v>
      </c>
      <c r="F497" s="188">
        <f>SUM(F498:F505)</f>
        <v>72.5</v>
      </c>
      <c r="G497" s="202">
        <f>G498</f>
        <v>44852</v>
      </c>
    </row>
    <row r="498" spans="2:18">
      <c r="C498" s="200" t="s">
        <v>544</v>
      </c>
      <c r="D498" s="200" t="s">
        <v>420</v>
      </c>
      <c r="E498" s="201">
        <v>125</v>
      </c>
      <c r="F498" s="201">
        <v>15</v>
      </c>
      <c r="G498" s="203">
        <v>44852</v>
      </c>
    </row>
    <row r="499" spans="2:18">
      <c r="C499" s="200" t="s">
        <v>549</v>
      </c>
      <c r="D499" s="200" t="s">
        <v>420</v>
      </c>
      <c r="E499" s="201">
        <v>6</v>
      </c>
      <c r="F499" s="201">
        <v>4</v>
      </c>
      <c r="G499" s="203">
        <v>44352</v>
      </c>
    </row>
    <row r="500" spans="2:18">
      <c r="C500" s="200" t="s">
        <v>980</v>
      </c>
      <c r="D500" s="200" t="s">
        <v>616</v>
      </c>
      <c r="E500" s="201">
        <v>99</v>
      </c>
      <c r="F500" s="201">
        <v>20</v>
      </c>
      <c r="G500" s="203">
        <v>44796</v>
      </c>
    </row>
    <row r="501" spans="2:18">
      <c r="C501" s="200" t="s">
        <v>983</v>
      </c>
      <c r="D501" s="200" t="s">
        <v>616</v>
      </c>
      <c r="E501" s="201">
        <v>100</v>
      </c>
      <c r="F501" s="201">
        <f>40/3</f>
        <v>13.333333333333334</v>
      </c>
      <c r="G501" s="203">
        <v>44537</v>
      </c>
    </row>
    <row r="502" spans="2:18">
      <c r="C502" s="200" t="s">
        <v>402</v>
      </c>
      <c r="D502" s="200" t="s">
        <v>616</v>
      </c>
      <c r="E502" s="201">
        <v>40</v>
      </c>
      <c r="F502" s="201">
        <v>8</v>
      </c>
      <c r="G502" s="203">
        <v>44125</v>
      </c>
    </row>
    <row r="503" spans="2:18">
      <c r="C503" s="200" t="s">
        <v>402</v>
      </c>
      <c r="D503" s="200" t="s">
        <v>652</v>
      </c>
      <c r="E503" s="201">
        <v>38</v>
      </c>
      <c r="F503" s="201">
        <f>20/3</f>
        <v>6.666666666666667</v>
      </c>
      <c r="G503" s="203">
        <v>44812</v>
      </c>
    </row>
    <row r="504" spans="2:18">
      <c r="C504" s="200" t="s">
        <v>544</v>
      </c>
      <c r="D504" s="200" t="s">
        <v>652</v>
      </c>
      <c r="E504" s="201">
        <v>19</v>
      </c>
      <c r="F504" s="201">
        <v>3.5</v>
      </c>
      <c r="G504" s="203">
        <v>44467</v>
      </c>
    </row>
    <row r="505" spans="2:18">
      <c r="C505" s="200" t="s">
        <v>549</v>
      </c>
      <c r="D505" s="200" t="s">
        <v>652</v>
      </c>
      <c r="E505" s="201">
        <v>4</v>
      </c>
      <c r="F505" s="201">
        <v>2</v>
      </c>
      <c r="G505" s="203">
        <v>43873</v>
      </c>
    </row>
    <row r="506" spans="2:18">
      <c r="C506" s="273" t="s">
        <v>549</v>
      </c>
      <c r="D506" s="273" t="s">
        <v>1803</v>
      </c>
      <c r="E506" s="201">
        <v>3.5</v>
      </c>
      <c r="F506" s="201">
        <f>+E506/9</f>
        <v>0.3888888888888889</v>
      </c>
      <c r="G506" s="203">
        <v>42979</v>
      </c>
    </row>
    <row r="507" spans="2:18">
      <c r="G507" s="203"/>
    </row>
    <row r="508" spans="2:18" s="64" customFormat="1">
      <c r="B508" s="64" t="s">
        <v>1508</v>
      </c>
      <c r="C508" s="191" t="s">
        <v>491</v>
      </c>
      <c r="D508" s="191" t="s">
        <v>759</v>
      </c>
      <c r="E508" s="188"/>
      <c r="F508" s="188">
        <f>SUM(F509:F513)</f>
        <v>68.900000000000006</v>
      </c>
      <c r="G508" s="202">
        <f>G509</f>
        <v>44679</v>
      </c>
    </row>
    <row r="509" spans="2:18">
      <c r="C509" s="200" t="s">
        <v>544</v>
      </c>
      <c r="D509" s="200" t="s">
        <v>692</v>
      </c>
      <c r="E509" s="201">
        <v>17</v>
      </c>
      <c r="F509" s="201">
        <v>1.5</v>
      </c>
      <c r="G509" s="203">
        <v>44679</v>
      </c>
      <c r="M509" s="199"/>
      <c r="N509" s="199"/>
      <c r="O509" s="199"/>
      <c r="P509" s="199"/>
      <c r="Q509" s="199"/>
      <c r="R509" s="199"/>
    </row>
    <row r="510" spans="2:18">
      <c r="C510" s="220" t="s">
        <v>544</v>
      </c>
      <c r="D510" s="220" t="s">
        <v>707</v>
      </c>
      <c r="E510" s="201">
        <v>12.6</v>
      </c>
      <c r="F510" s="201">
        <v>3</v>
      </c>
      <c r="G510" s="203">
        <v>44579</v>
      </c>
      <c r="M510" s="199"/>
      <c r="N510" s="199"/>
      <c r="O510" s="199"/>
      <c r="P510" s="199"/>
      <c r="Q510" s="199"/>
      <c r="R510" s="199"/>
    </row>
    <row r="511" spans="2:18">
      <c r="C511" s="225" t="s">
        <v>544</v>
      </c>
      <c r="D511" s="225" t="s">
        <v>502</v>
      </c>
      <c r="E511" s="201">
        <v>14.5</v>
      </c>
      <c r="F511" s="201">
        <v>3</v>
      </c>
      <c r="G511" s="203">
        <v>43389</v>
      </c>
      <c r="M511" s="199"/>
      <c r="N511" s="199"/>
      <c r="O511" s="199"/>
      <c r="P511" s="199"/>
      <c r="Q511" s="199"/>
      <c r="R511" s="199"/>
    </row>
    <row r="512" spans="2:18">
      <c r="C512" s="240" t="s">
        <v>755</v>
      </c>
      <c r="D512" s="240" t="s">
        <v>2810</v>
      </c>
      <c r="E512" s="201">
        <v>140</v>
      </c>
      <c r="F512" s="201">
        <v>60</v>
      </c>
      <c r="G512" s="203">
        <v>44286</v>
      </c>
      <c r="M512" s="199"/>
      <c r="N512" s="199"/>
      <c r="O512" s="199"/>
      <c r="P512" s="199"/>
      <c r="Q512" s="199"/>
      <c r="R512" s="199"/>
    </row>
    <row r="513" spans="2:18">
      <c r="C513" s="253" t="s">
        <v>544</v>
      </c>
      <c r="D513" s="253" t="s">
        <v>1647</v>
      </c>
      <c r="E513" s="201">
        <v>10</v>
      </c>
      <c r="F513" s="201">
        <v>1.4</v>
      </c>
      <c r="G513" s="203">
        <v>44637</v>
      </c>
      <c r="M513" s="199"/>
      <c r="N513" s="199"/>
      <c r="O513" s="199"/>
      <c r="P513" s="199"/>
      <c r="Q513" s="199"/>
      <c r="R513" s="199"/>
    </row>
    <row r="514" spans="2:18">
      <c r="G514" s="203"/>
      <c r="M514" s="199"/>
      <c r="N514" s="199"/>
      <c r="O514" s="199"/>
      <c r="P514" s="199"/>
      <c r="Q514" s="199"/>
      <c r="R514" s="199"/>
    </row>
    <row r="515" spans="2:18">
      <c r="B515" s="64" t="s">
        <v>805</v>
      </c>
      <c r="C515" s="191" t="s">
        <v>491</v>
      </c>
      <c r="D515" s="191" t="s">
        <v>759</v>
      </c>
      <c r="F515" s="188">
        <f>SUM(F516:F525)</f>
        <v>65.214285714285708</v>
      </c>
      <c r="G515" s="202">
        <f>G518</f>
        <v>44690</v>
      </c>
      <c r="I515" s="199">
        <f>140+191</f>
        <v>331</v>
      </c>
      <c r="J515" s="232">
        <f>+F515/I515</f>
        <v>0.19702201122140697</v>
      </c>
      <c r="K515" s="199">
        <v>2014</v>
      </c>
    </row>
    <row r="516" spans="2:18">
      <c r="B516" s="64"/>
      <c r="C516" s="200" t="s">
        <v>544</v>
      </c>
      <c r="D516" s="200" t="s">
        <v>601</v>
      </c>
      <c r="E516" s="201">
        <v>150</v>
      </c>
      <c r="F516" s="201">
        <v>15</v>
      </c>
      <c r="G516" s="203">
        <v>45008</v>
      </c>
    </row>
    <row r="517" spans="2:18">
      <c r="B517" s="64"/>
      <c r="C517" s="200" t="s">
        <v>402</v>
      </c>
      <c r="D517" s="200" t="s">
        <v>431</v>
      </c>
      <c r="E517" s="201">
        <v>350</v>
      </c>
      <c r="F517" s="201">
        <v>10</v>
      </c>
      <c r="G517" s="203">
        <v>44999</v>
      </c>
    </row>
    <row r="518" spans="2:18">
      <c r="C518" s="200" t="s">
        <v>565</v>
      </c>
      <c r="D518" s="200" t="s">
        <v>797</v>
      </c>
      <c r="E518" s="201">
        <v>100</v>
      </c>
      <c r="F518" s="201">
        <v>9</v>
      </c>
      <c r="G518" s="203">
        <v>44690</v>
      </c>
    </row>
    <row r="519" spans="2:18">
      <c r="C519" s="200" t="s">
        <v>402</v>
      </c>
      <c r="D519" s="200" t="s">
        <v>797</v>
      </c>
      <c r="E519" s="201">
        <v>40</v>
      </c>
      <c r="F519" s="201">
        <v>7</v>
      </c>
      <c r="G519" s="203">
        <v>44327</v>
      </c>
    </row>
    <row r="520" spans="2:18">
      <c r="C520" s="200" t="s">
        <v>544</v>
      </c>
      <c r="D520" s="200" t="s">
        <v>797</v>
      </c>
      <c r="E520" s="201">
        <v>15</v>
      </c>
      <c r="F520" s="201">
        <v>3</v>
      </c>
      <c r="G520" s="203">
        <v>43816</v>
      </c>
    </row>
    <row r="521" spans="2:18">
      <c r="C521" s="200" t="s">
        <v>549</v>
      </c>
      <c r="D521" s="200" t="s">
        <v>797</v>
      </c>
      <c r="E521" s="201">
        <v>4</v>
      </c>
      <c r="F521" s="201">
        <v>1</v>
      </c>
      <c r="G521" s="203">
        <v>43243</v>
      </c>
    </row>
    <row r="522" spans="2:18">
      <c r="C522" s="200" t="s">
        <v>544</v>
      </c>
      <c r="D522" s="200" t="s">
        <v>392</v>
      </c>
      <c r="E522" s="201">
        <v>20</v>
      </c>
      <c r="F522" s="201">
        <v>10</v>
      </c>
      <c r="G522" s="203">
        <v>44245</v>
      </c>
    </row>
    <row r="523" spans="2:18">
      <c r="C523" s="225" t="s">
        <v>402</v>
      </c>
      <c r="D523" s="225" t="s">
        <v>577</v>
      </c>
      <c r="E523" s="201">
        <v>18</v>
      </c>
      <c r="F523" s="201">
        <v>4.5</v>
      </c>
      <c r="G523" s="203">
        <v>44831</v>
      </c>
    </row>
    <row r="524" spans="2:18">
      <c r="C524" s="228" t="s">
        <v>544</v>
      </c>
      <c r="D524" s="225" t="s">
        <v>577</v>
      </c>
      <c r="E524" s="201">
        <v>18.5</v>
      </c>
      <c r="F524" s="201">
        <v>5</v>
      </c>
      <c r="G524" s="203">
        <v>44658</v>
      </c>
    </row>
    <row r="525" spans="2:18">
      <c r="C525" s="228" t="s">
        <v>549</v>
      </c>
      <c r="D525" s="228" t="s">
        <v>1580</v>
      </c>
      <c r="E525" s="201">
        <v>7</v>
      </c>
      <c r="F525" s="201">
        <v>0.7142857142857143</v>
      </c>
      <c r="G525" s="203">
        <v>43046</v>
      </c>
    </row>
    <row r="526" spans="2:18">
      <c r="G526" s="203"/>
    </row>
    <row r="527" spans="2:18">
      <c r="B527" s="64" t="s">
        <v>999</v>
      </c>
      <c r="C527" s="191" t="s">
        <v>491</v>
      </c>
      <c r="D527" s="191" t="s">
        <v>759</v>
      </c>
      <c r="F527" s="188">
        <f>SUM(F528:F531)</f>
        <v>75</v>
      </c>
      <c r="G527" s="202">
        <f>+G530</f>
        <v>44622</v>
      </c>
    </row>
    <row r="528" spans="2:18">
      <c r="C528" s="200" t="s">
        <v>565</v>
      </c>
      <c r="D528" s="200" t="s">
        <v>626</v>
      </c>
      <c r="E528" s="201">
        <v>50</v>
      </c>
      <c r="F528" s="201">
        <v>8</v>
      </c>
      <c r="G528" s="203">
        <v>44496</v>
      </c>
    </row>
    <row r="529" spans="2:18">
      <c r="C529" s="211" t="s">
        <v>565</v>
      </c>
      <c r="D529" s="211" t="s">
        <v>433</v>
      </c>
      <c r="E529" s="201">
        <v>200</v>
      </c>
      <c r="F529" s="201">
        <v>50</v>
      </c>
      <c r="G529" s="203">
        <v>44377</v>
      </c>
    </row>
    <row r="530" spans="2:18">
      <c r="C530" s="273" t="s">
        <v>755</v>
      </c>
      <c r="D530" s="273" t="s">
        <v>1803</v>
      </c>
      <c r="E530" s="201">
        <v>111</v>
      </c>
      <c r="F530" s="201">
        <v>7</v>
      </c>
      <c r="G530" s="203">
        <v>44622</v>
      </c>
    </row>
    <row r="531" spans="2:18">
      <c r="C531" s="273" t="s">
        <v>565</v>
      </c>
      <c r="D531" s="273" t="s">
        <v>1803</v>
      </c>
      <c r="E531" s="201">
        <v>55</v>
      </c>
      <c r="F531" s="201">
        <v>10</v>
      </c>
      <c r="G531" s="203">
        <v>44314</v>
      </c>
    </row>
    <row r="532" spans="2:18">
      <c r="C532" s="211"/>
      <c r="D532" s="211"/>
      <c r="G532" s="203"/>
    </row>
    <row r="533" spans="2:18" s="64" customFormat="1">
      <c r="B533" s="64" t="s">
        <v>1240</v>
      </c>
      <c r="C533" s="191" t="s">
        <v>491</v>
      </c>
      <c r="D533" s="191" t="s">
        <v>759</v>
      </c>
      <c r="E533" s="188"/>
      <c r="F533" s="188">
        <f>SUM(F534:F547)</f>
        <v>61.583333333333329</v>
      </c>
      <c r="G533" s="202">
        <f>G534</f>
        <v>45041</v>
      </c>
      <c r="M533" s="191"/>
      <c r="N533" s="191"/>
      <c r="O533" s="191"/>
      <c r="P533" s="191"/>
      <c r="Q533" s="191"/>
      <c r="R533" s="191"/>
    </row>
    <row r="534" spans="2:18">
      <c r="C534" s="200" t="s">
        <v>402</v>
      </c>
      <c r="D534" s="200" t="s">
        <v>392</v>
      </c>
      <c r="E534" s="201">
        <v>97.4</v>
      </c>
      <c r="F534" s="201">
        <f>47/6</f>
        <v>7.833333333333333</v>
      </c>
      <c r="G534" s="203">
        <v>45041</v>
      </c>
    </row>
    <row r="535" spans="2:18">
      <c r="C535" s="225" t="s">
        <v>402</v>
      </c>
      <c r="D535" s="225" t="s">
        <v>1525</v>
      </c>
      <c r="E535" s="201">
        <v>40</v>
      </c>
      <c r="F535" s="201">
        <f>25/4</f>
        <v>6.25</v>
      </c>
      <c r="G535" s="203">
        <v>44811</v>
      </c>
    </row>
    <row r="536" spans="2:18">
      <c r="C536" s="225" t="s">
        <v>544</v>
      </c>
      <c r="D536" s="225" t="s">
        <v>1525</v>
      </c>
      <c r="E536" s="201">
        <v>14</v>
      </c>
      <c r="F536" s="201">
        <v>6</v>
      </c>
      <c r="G536" s="203">
        <v>44447</v>
      </c>
    </row>
    <row r="537" spans="2:18">
      <c r="C537" s="228" t="s">
        <v>544</v>
      </c>
      <c r="D537" s="228" t="s">
        <v>1202</v>
      </c>
      <c r="E537" s="201">
        <v>15.5</v>
      </c>
      <c r="F537" s="201">
        <v>1.625</v>
      </c>
      <c r="G537" s="203">
        <v>44727</v>
      </c>
    </row>
    <row r="538" spans="2:18">
      <c r="C538" s="228" t="s">
        <v>544</v>
      </c>
      <c r="D538" s="228" t="s">
        <v>1202</v>
      </c>
      <c r="E538" s="201">
        <v>12</v>
      </c>
      <c r="F538" s="201">
        <v>3</v>
      </c>
      <c r="G538" s="203">
        <v>43948</v>
      </c>
    </row>
    <row r="539" spans="2:18">
      <c r="C539" s="228" t="s">
        <v>544</v>
      </c>
      <c r="D539" s="228" t="s">
        <v>1227</v>
      </c>
      <c r="E539" s="201">
        <v>5</v>
      </c>
      <c r="F539" s="201">
        <v>3</v>
      </c>
      <c r="G539" s="203">
        <v>44514</v>
      </c>
    </row>
    <row r="540" spans="2:18">
      <c r="C540" s="228" t="s">
        <v>755</v>
      </c>
      <c r="D540" s="228" t="s">
        <v>1257</v>
      </c>
      <c r="E540" s="201">
        <v>90</v>
      </c>
      <c r="F540" s="201">
        <v>5</v>
      </c>
      <c r="G540" s="203">
        <v>44776</v>
      </c>
    </row>
    <row r="541" spans="2:18">
      <c r="C541" s="228" t="s">
        <v>565</v>
      </c>
      <c r="D541" s="228" t="s">
        <v>1257</v>
      </c>
      <c r="E541" s="201">
        <v>40</v>
      </c>
      <c r="F541" s="201">
        <v>4</v>
      </c>
      <c r="G541" s="203">
        <v>44176</v>
      </c>
    </row>
    <row r="542" spans="2:18">
      <c r="C542" s="228" t="s">
        <v>402</v>
      </c>
      <c r="D542" s="228" t="s">
        <v>1257</v>
      </c>
      <c r="E542" s="201">
        <v>20</v>
      </c>
      <c r="F542" s="201">
        <v>3</v>
      </c>
      <c r="G542" s="203">
        <v>43879</v>
      </c>
    </row>
    <row r="543" spans="2:18">
      <c r="C543" s="228" t="s">
        <v>402</v>
      </c>
      <c r="D543" s="228" t="s">
        <v>1530</v>
      </c>
      <c r="E543" s="201">
        <v>16</v>
      </c>
      <c r="F543" s="201">
        <v>4</v>
      </c>
      <c r="G543" s="203">
        <v>42995</v>
      </c>
    </row>
    <row r="544" spans="2:18">
      <c r="C544" s="228" t="s">
        <v>544</v>
      </c>
      <c r="D544" s="228" t="s">
        <v>1530</v>
      </c>
      <c r="E544" s="201">
        <v>8</v>
      </c>
      <c r="F544" s="201">
        <v>4</v>
      </c>
      <c r="G544" s="203">
        <v>42416</v>
      </c>
    </row>
    <row r="545" spans="2:18">
      <c r="C545" s="247" t="s">
        <v>402</v>
      </c>
      <c r="D545" s="247" t="s">
        <v>1358</v>
      </c>
      <c r="E545" s="201">
        <v>27.5</v>
      </c>
      <c r="F545" s="201">
        <f>E545/4</f>
        <v>6.875</v>
      </c>
      <c r="G545" s="203">
        <v>44181</v>
      </c>
    </row>
    <row r="546" spans="2:18">
      <c r="C546" s="247" t="s">
        <v>544</v>
      </c>
      <c r="D546" s="247" t="s">
        <v>1358</v>
      </c>
      <c r="E546" s="201">
        <v>10.7</v>
      </c>
      <c r="F546" s="201">
        <v>4</v>
      </c>
      <c r="G546" s="203">
        <v>43250</v>
      </c>
    </row>
    <row r="547" spans="2:18">
      <c r="C547" s="253" t="s">
        <v>544</v>
      </c>
      <c r="D547" s="253" t="s">
        <v>1647</v>
      </c>
      <c r="E547" s="201">
        <v>10</v>
      </c>
      <c r="F547" s="201">
        <v>3</v>
      </c>
      <c r="G547" s="203">
        <v>44637</v>
      </c>
    </row>
    <row r="548" spans="2:18">
      <c r="C548" s="253" t="s">
        <v>549</v>
      </c>
      <c r="D548" s="253" t="s">
        <v>1647</v>
      </c>
      <c r="E548" s="201">
        <v>4.5</v>
      </c>
      <c r="F548" s="201">
        <v>2</v>
      </c>
      <c r="G548" s="203">
        <v>44175</v>
      </c>
    </row>
    <row r="549" spans="2:18">
      <c r="C549" s="273" t="s">
        <v>549</v>
      </c>
      <c r="D549" s="273" t="s">
        <v>1759</v>
      </c>
      <c r="E549" s="201">
        <v>4.3</v>
      </c>
      <c r="F549" s="201">
        <f>E549/3</f>
        <v>1.4333333333333333</v>
      </c>
      <c r="G549" s="203">
        <v>42821</v>
      </c>
    </row>
    <row r="550" spans="2:18">
      <c r="C550" s="253"/>
      <c r="D550" s="253"/>
      <c r="G550" s="203"/>
    </row>
    <row r="551" spans="2:18">
      <c r="G551" s="203"/>
    </row>
    <row r="552" spans="2:18" s="64" customFormat="1">
      <c r="B552" s="64" t="s">
        <v>740</v>
      </c>
      <c r="C552" s="191" t="s">
        <v>491</v>
      </c>
      <c r="D552" s="191" t="s">
        <v>759</v>
      </c>
      <c r="E552" s="188"/>
      <c r="F552" s="188">
        <f>SUM(F553:F575)</f>
        <v>61.108333333333327</v>
      </c>
      <c r="G552" s="202">
        <f>+G557</f>
        <v>45041</v>
      </c>
      <c r="M552" s="191"/>
      <c r="N552" s="191"/>
      <c r="O552" s="191"/>
      <c r="P552" s="191"/>
      <c r="Q552" s="191"/>
      <c r="R552" s="191"/>
    </row>
    <row r="553" spans="2:18">
      <c r="C553" s="200" t="s">
        <v>738</v>
      </c>
      <c r="D553" s="200" t="s">
        <v>751</v>
      </c>
      <c r="E553" s="201">
        <v>325</v>
      </c>
      <c r="F553" s="201">
        <v>18.5</v>
      </c>
      <c r="G553" s="203">
        <v>44299</v>
      </c>
    </row>
    <row r="554" spans="2:18">
      <c r="C554" s="200" t="s">
        <v>402</v>
      </c>
      <c r="D554" s="200" t="s">
        <v>751</v>
      </c>
      <c r="E554" s="201">
        <v>18</v>
      </c>
      <c r="F554" s="201">
        <v>3</v>
      </c>
      <c r="G554" s="203">
        <v>43319</v>
      </c>
    </row>
    <row r="555" spans="2:18">
      <c r="C555" s="200" t="s">
        <v>544</v>
      </c>
      <c r="D555" s="200" t="s">
        <v>751</v>
      </c>
      <c r="E555" s="201">
        <v>4.5</v>
      </c>
      <c r="F555" s="201">
        <v>1.5</v>
      </c>
      <c r="G555" s="203">
        <v>42878</v>
      </c>
    </row>
    <row r="556" spans="2:18">
      <c r="C556" s="200" t="s">
        <v>549</v>
      </c>
      <c r="D556" s="200" t="s">
        <v>751</v>
      </c>
      <c r="E556" s="201">
        <v>0.12</v>
      </c>
      <c r="F556" s="201">
        <v>0.12</v>
      </c>
      <c r="G556" s="203">
        <v>42604</v>
      </c>
    </row>
    <row r="557" spans="2:18">
      <c r="C557" s="200" t="s">
        <v>402</v>
      </c>
      <c r="D557" s="200" t="s">
        <v>392</v>
      </c>
      <c r="E557" s="201">
        <v>97.4</v>
      </c>
      <c r="F557" s="201">
        <f>47/6</f>
        <v>7.833333333333333</v>
      </c>
      <c r="G557" s="203">
        <v>45041</v>
      </c>
    </row>
    <row r="558" spans="2:18">
      <c r="C558" s="200" t="s">
        <v>549</v>
      </c>
      <c r="D558" s="200" t="s">
        <v>688</v>
      </c>
      <c r="E558" s="201">
        <v>0.12</v>
      </c>
      <c r="F558" s="201">
        <v>0.12</v>
      </c>
      <c r="G558" s="203">
        <v>44068</v>
      </c>
    </row>
    <row r="559" spans="2:18">
      <c r="C559" s="200" t="s">
        <v>549</v>
      </c>
      <c r="D559" s="200" t="s">
        <v>1531</v>
      </c>
      <c r="E559" s="201">
        <v>5.5</v>
      </c>
      <c r="F559" s="201">
        <v>0.5</v>
      </c>
      <c r="G559" s="203">
        <v>45092</v>
      </c>
    </row>
    <row r="560" spans="2:18">
      <c r="C560" s="200" t="s">
        <v>669</v>
      </c>
      <c r="D560" s="200" t="s">
        <v>1531</v>
      </c>
      <c r="E560" s="201">
        <v>0.125</v>
      </c>
      <c r="F560" s="201">
        <v>0.125</v>
      </c>
      <c r="G560" s="203">
        <f>G559</f>
        <v>45092</v>
      </c>
    </row>
    <row r="561" spans="3:7">
      <c r="C561" s="211" t="s">
        <v>544</v>
      </c>
      <c r="D561" s="211" t="s">
        <v>699</v>
      </c>
      <c r="E561" s="201">
        <v>15</v>
      </c>
      <c r="F561" s="201">
        <v>3.3</v>
      </c>
      <c r="G561" s="203">
        <v>44482</v>
      </c>
    </row>
    <row r="562" spans="3:7">
      <c r="C562" s="211" t="s">
        <v>549</v>
      </c>
      <c r="D562" s="211" t="s">
        <v>699</v>
      </c>
      <c r="E562" s="201">
        <v>4.5</v>
      </c>
      <c r="F562" s="201">
        <v>0.5</v>
      </c>
      <c r="G562" s="203">
        <v>44362</v>
      </c>
    </row>
    <row r="563" spans="3:7">
      <c r="C563" s="211" t="s">
        <v>549</v>
      </c>
      <c r="D563" s="211" t="s">
        <v>699</v>
      </c>
      <c r="E563" s="201">
        <v>0.125</v>
      </c>
      <c r="F563" s="201">
        <v>0.125</v>
      </c>
      <c r="G563" s="203">
        <v>44246</v>
      </c>
    </row>
    <row r="564" spans="3:7">
      <c r="C564" s="218" t="s">
        <v>544</v>
      </c>
      <c r="D564" s="218" t="s">
        <v>706</v>
      </c>
      <c r="E564" s="201">
        <v>12.5</v>
      </c>
      <c r="F564" s="201">
        <v>3</v>
      </c>
      <c r="G564" s="203">
        <v>44978</v>
      </c>
    </row>
    <row r="565" spans="3:7">
      <c r="C565" s="222" t="s">
        <v>669</v>
      </c>
      <c r="D565" s="222" t="s">
        <v>1913</v>
      </c>
      <c r="E565" s="201">
        <v>0.5</v>
      </c>
      <c r="F565" s="201">
        <v>0.5</v>
      </c>
      <c r="G565" s="203">
        <v>45021</v>
      </c>
    </row>
    <row r="566" spans="3:7">
      <c r="C566" s="225" t="s">
        <v>544</v>
      </c>
      <c r="D566" s="225" t="s">
        <v>2162</v>
      </c>
      <c r="E566" s="201">
        <v>8</v>
      </c>
      <c r="F566" s="201">
        <v>1</v>
      </c>
      <c r="G566" s="203">
        <v>43249</v>
      </c>
    </row>
    <row r="567" spans="3:7">
      <c r="C567" s="225" t="s">
        <v>669</v>
      </c>
      <c r="D567" s="225" t="s">
        <v>2162</v>
      </c>
      <c r="E567" s="201">
        <v>0.12</v>
      </c>
      <c r="F567" s="201">
        <v>0.12</v>
      </c>
      <c r="G567" s="203">
        <v>43104</v>
      </c>
    </row>
    <row r="568" spans="3:7">
      <c r="C568" s="225" t="s">
        <v>669</v>
      </c>
      <c r="D568" s="225" t="s">
        <v>593</v>
      </c>
      <c r="E568" s="201">
        <v>0.12</v>
      </c>
      <c r="F568" s="201">
        <v>0.12</v>
      </c>
      <c r="G568" s="203">
        <v>44439</v>
      </c>
    </row>
    <row r="569" spans="3:7">
      <c r="C569" s="225" t="s">
        <v>565</v>
      </c>
      <c r="D569" s="225" t="s">
        <v>445</v>
      </c>
      <c r="E569" s="201">
        <v>60</v>
      </c>
      <c r="F569" s="201">
        <v>5</v>
      </c>
      <c r="G569" s="203">
        <v>43606</v>
      </c>
    </row>
    <row r="570" spans="3:7">
      <c r="C570" s="225" t="s">
        <v>402</v>
      </c>
      <c r="D570" s="225" t="s">
        <v>445</v>
      </c>
      <c r="E570" s="201">
        <v>30</v>
      </c>
      <c r="F570" s="201">
        <v>5</v>
      </c>
      <c r="G570" s="203">
        <v>43396</v>
      </c>
    </row>
    <row r="571" spans="3:7">
      <c r="C571" s="225" t="s">
        <v>549</v>
      </c>
      <c r="D571" s="225" t="s">
        <v>445</v>
      </c>
      <c r="E571" s="201">
        <v>3</v>
      </c>
      <c r="F571" s="201">
        <v>0.5</v>
      </c>
      <c r="G571" s="203">
        <v>42606</v>
      </c>
    </row>
    <row r="572" spans="3:7">
      <c r="C572" s="228" t="s">
        <v>402</v>
      </c>
      <c r="D572" s="228" t="s">
        <v>1527</v>
      </c>
      <c r="E572" s="201">
        <v>30</v>
      </c>
      <c r="F572" s="201">
        <v>5</v>
      </c>
      <c r="G572" s="203">
        <v>44756</v>
      </c>
    </row>
    <row r="573" spans="3:7">
      <c r="C573" s="228" t="s">
        <v>544</v>
      </c>
      <c r="D573" s="228" t="s">
        <v>1527</v>
      </c>
      <c r="E573" s="201">
        <v>28</v>
      </c>
      <c r="F573" s="201">
        <v>5</v>
      </c>
      <c r="G573" s="203">
        <v>44624</v>
      </c>
    </row>
    <row r="574" spans="3:7">
      <c r="C574" s="228" t="s">
        <v>549</v>
      </c>
      <c r="D574" s="228" t="s">
        <v>1527</v>
      </c>
      <c r="E574" s="201">
        <v>0.12</v>
      </c>
      <c r="F574" s="201">
        <v>0.12</v>
      </c>
      <c r="G574" s="203">
        <v>42970</v>
      </c>
    </row>
    <row r="575" spans="3:7">
      <c r="C575" s="273" t="s">
        <v>549</v>
      </c>
      <c r="D575" s="273" t="s">
        <v>1790</v>
      </c>
      <c r="E575" s="201">
        <v>0.125</v>
      </c>
      <c r="F575" s="201">
        <v>0.125</v>
      </c>
      <c r="G575" s="203">
        <v>44265</v>
      </c>
    </row>
    <row r="576" spans="3:7">
      <c r="G576" s="203"/>
    </row>
    <row r="577" spans="2:18">
      <c r="B577" s="64" t="s">
        <v>1033</v>
      </c>
      <c r="C577" s="191" t="s">
        <v>491</v>
      </c>
      <c r="D577" s="191" t="s">
        <v>759</v>
      </c>
      <c r="F577" s="188">
        <f>SUM(F578:F584)</f>
        <v>57.5</v>
      </c>
      <c r="G577" s="202">
        <f>+G584</f>
        <v>45055</v>
      </c>
      <c r="I577" s="227" t="s">
        <v>496</v>
      </c>
      <c r="J577" s="227" t="s">
        <v>496</v>
      </c>
      <c r="K577" s="227" t="s">
        <v>496</v>
      </c>
    </row>
    <row r="578" spans="2:18">
      <c r="B578" s="64"/>
      <c r="C578" s="200" t="s">
        <v>402</v>
      </c>
      <c r="D578" s="200" t="s">
        <v>431</v>
      </c>
      <c r="E578" s="201">
        <v>350</v>
      </c>
      <c r="F578" s="201">
        <v>20</v>
      </c>
      <c r="G578" s="203">
        <v>44999</v>
      </c>
    </row>
    <row r="579" spans="2:18">
      <c r="C579" s="200" t="s">
        <v>544</v>
      </c>
      <c r="D579" s="200" t="s">
        <v>424</v>
      </c>
      <c r="E579" s="201">
        <v>65</v>
      </c>
      <c r="F579" s="201">
        <v>10</v>
      </c>
      <c r="G579" s="203">
        <v>44984</v>
      </c>
    </row>
    <row r="580" spans="2:18">
      <c r="C580" s="200" t="s">
        <v>544</v>
      </c>
      <c r="D580" s="200" t="s">
        <v>632</v>
      </c>
      <c r="E580" s="201">
        <v>44</v>
      </c>
      <c r="F580" s="201">
        <v>10</v>
      </c>
      <c r="G580" s="203">
        <v>44671</v>
      </c>
    </row>
    <row r="581" spans="2:18">
      <c r="C581" s="200" t="s">
        <v>544</v>
      </c>
      <c r="D581" s="200" t="s">
        <v>1094</v>
      </c>
      <c r="E581" s="201">
        <v>50</v>
      </c>
      <c r="F581" s="201">
        <f>30/12</f>
        <v>2.5</v>
      </c>
      <c r="G581" s="203">
        <v>44796</v>
      </c>
    </row>
    <row r="582" spans="2:18">
      <c r="C582" s="200" t="s">
        <v>549</v>
      </c>
      <c r="D582" s="200" t="s">
        <v>1094</v>
      </c>
      <c r="E582" s="201">
        <v>12.5</v>
      </c>
      <c r="F582" s="201">
        <v>3</v>
      </c>
      <c r="G582" s="203">
        <v>44623</v>
      </c>
    </row>
    <row r="583" spans="2:18">
      <c r="C583" s="228" t="s">
        <v>402</v>
      </c>
      <c r="D583" s="228" t="s">
        <v>1236</v>
      </c>
      <c r="E583" s="201">
        <v>26.8</v>
      </c>
      <c r="F583" s="201">
        <v>4</v>
      </c>
      <c r="G583" s="203">
        <v>44600</v>
      </c>
    </row>
    <row r="584" spans="2:18">
      <c r="C584" s="249" t="s">
        <v>565</v>
      </c>
      <c r="D584" s="249" t="s">
        <v>1603</v>
      </c>
      <c r="E584" s="201">
        <v>8</v>
      </c>
      <c r="F584" s="201">
        <v>8</v>
      </c>
      <c r="G584" s="203">
        <v>45055</v>
      </c>
    </row>
    <row r="585" spans="2:18">
      <c r="G585" s="203"/>
    </row>
    <row r="586" spans="2:18" s="64" customFormat="1">
      <c r="B586" s="64" t="s">
        <v>910</v>
      </c>
      <c r="C586" s="191" t="s">
        <v>491</v>
      </c>
      <c r="D586" s="191" t="s">
        <v>759</v>
      </c>
      <c r="E586" s="188"/>
      <c r="F586" s="188">
        <f>SUM(F587:F598)</f>
        <v>54.738095238095234</v>
      </c>
      <c r="G586" s="202">
        <f>G587</f>
        <v>45042</v>
      </c>
      <c r="M586" s="191"/>
      <c r="N586" s="191"/>
      <c r="O586" s="191"/>
      <c r="P586" s="191"/>
      <c r="Q586" s="191"/>
      <c r="R586" s="191"/>
    </row>
    <row r="587" spans="2:18">
      <c r="C587" s="200" t="s">
        <v>402</v>
      </c>
      <c r="D587" s="200" t="s">
        <v>409</v>
      </c>
      <c r="E587" s="201">
        <v>100</v>
      </c>
      <c r="F587" s="201">
        <v>5</v>
      </c>
      <c r="G587" s="203">
        <v>45042</v>
      </c>
    </row>
    <row r="588" spans="2:18">
      <c r="C588" s="200" t="s">
        <v>544</v>
      </c>
      <c r="D588" s="200" t="s">
        <v>409</v>
      </c>
      <c r="E588" s="201">
        <v>28</v>
      </c>
      <c r="F588" s="201">
        <v>6</v>
      </c>
      <c r="G588" s="203">
        <v>44649</v>
      </c>
    </row>
    <row r="589" spans="2:18">
      <c r="C589" s="200" t="s">
        <v>549</v>
      </c>
      <c r="D589" s="200" t="s">
        <v>409</v>
      </c>
      <c r="E589" s="201">
        <v>10</v>
      </c>
      <c r="F589" s="201">
        <v>5</v>
      </c>
      <c r="G589" s="203">
        <v>44223</v>
      </c>
    </row>
    <row r="590" spans="2:18">
      <c r="C590" s="200" t="s">
        <v>402</v>
      </c>
      <c r="D590" s="200" t="s">
        <v>647</v>
      </c>
      <c r="E590" s="201">
        <v>43</v>
      </c>
      <c r="F590" s="201">
        <f>30/5</f>
        <v>6</v>
      </c>
      <c r="G590" s="203">
        <v>44978</v>
      </c>
    </row>
    <row r="591" spans="2:18">
      <c r="C591" s="200" t="s">
        <v>402</v>
      </c>
      <c r="D591" s="200" t="s">
        <v>671</v>
      </c>
      <c r="E591" s="201">
        <v>25</v>
      </c>
      <c r="F591" s="201">
        <f>18/7</f>
        <v>2.5714285714285716</v>
      </c>
      <c r="G591" s="203">
        <v>44636</v>
      </c>
    </row>
    <row r="592" spans="2:18">
      <c r="C592" s="200" t="s">
        <v>544</v>
      </c>
      <c r="D592" s="200" t="s">
        <v>671</v>
      </c>
      <c r="E592" s="201">
        <v>12.2</v>
      </c>
      <c r="F592" s="201">
        <v>4</v>
      </c>
      <c r="G592" s="203">
        <v>44179</v>
      </c>
    </row>
    <row r="593" spans="2:18">
      <c r="C593" s="200" t="s">
        <v>549</v>
      </c>
      <c r="D593" s="200" t="s">
        <v>671</v>
      </c>
      <c r="E593" s="201">
        <v>5.0999999999999996</v>
      </c>
      <c r="F593" s="201">
        <v>1</v>
      </c>
      <c r="G593" s="203">
        <v>44046</v>
      </c>
    </row>
    <row r="594" spans="2:18">
      <c r="C594" s="200" t="s">
        <v>549</v>
      </c>
      <c r="D594" s="200" t="s">
        <v>575</v>
      </c>
      <c r="E594" s="201">
        <v>4.5</v>
      </c>
      <c r="F594" s="201">
        <v>0.5</v>
      </c>
      <c r="G594" s="203">
        <v>45056</v>
      </c>
    </row>
    <row r="595" spans="2:18">
      <c r="C595" s="222" t="s">
        <v>544</v>
      </c>
      <c r="D595" s="222" t="s">
        <v>719</v>
      </c>
      <c r="E595" s="201">
        <v>11</v>
      </c>
      <c r="F595" s="201">
        <v>4</v>
      </c>
      <c r="G595" s="203">
        <v>44483</v>
      </c>
    </row>
    <row r="596" spans="2:18">
      <c r="C596" s="240" t="s">
        <v>402</v>
      </c>
      <c r="D596" s="240" t="s">
        <v>2790</v>
      </c>
      <c r="E596" s="201">
        <v>37</v>
      </c>
      <c r="F596" s="201">
        <v>4</v>
      </c>
      <c r="G596" s="203">
        <v>44860</v>
      </c>
    </row>
    <row r="597" spans="2:18">
      <c r="C597" s="240" t="s">
        <v>402</v>
      </c>
      <c r="D597" s="240" t="s">
        <v>2790</v>
      </c>
      <c r="E597" s="201">
        <v>80</v>
      </c>
      <c r="F597" s="201">
        <v>10</v>
      </c>
      <c r="G597" s="203">
        <v>44327</v>
      </c>
    </row>
    <row r="598" spans="2:18">
      <c r="C598" s="240" t="s">
        <v>544</v>
      </c>
      <c r="D598" s="240" t="s">
        <v>2790</v>
      </c>
      <c r="E598" s="201">
        <v>30</v>
      </c>
      <c r="F598" s="201">
        <v>6.666666666666667</v>
      </c>
      <c r="G598" s="203">
        <v>43963</v>
      </c>
    </row>
    <row r="599" spans="2:18">
      <c r="G599" s="203"/>
    </row>
    <row r="600" spans="2:18">
      <c r="B600" s="64" t="s">
        <v>785</v>
      </c>
      <c r="C600" s="191" t="s">
        <v>491</v>
      </c>
      <c r="D600" s="191" t="s">
        <v>759</v>
      </c>
      <c r="F600" s="188">
        <f>SUM(F601:F604)</f>
        <v>54.133333333333333</v>
      </c>
      <c r="G600" s="202">
        <f>G602</f>
        <v>45070</v>
      </c>
    </row>
    <row r="601" spans="2:18">
      <c r="C601" s="200" t="s">
        <v>565</v>
      </c>
      <c r="D601" s="200" t="s">
        <v>404</v>
      </c>
      <c r="E601" s="201">
        <v>270</v>
      </c>
      <c r="F601" s="201">
        <v>50</v>
      </c>
      <c r="G601" s="203">
        <v>45048</v>
      </c>
    </row>
    <row r="602" spans="2:18">
      <c r="C602" s="200" t="s">
        <v>544</v>
      </c>
      <c r="D602" s="200" t="s">
        <v>568</v>
      </c>
      <c r="E602" s="201">
        <v>10.9</v>
      </c>
      <c r="F602" s="201">
        <f>8/6</f>
        <v>1.3333333333333333</v>
      </c>
      <c r="G602" s="203">
        <v>45070</v>
      </c>
    </row>
    <row r="603" spans="2:18">
      <c r="C603" s="211" t="s">
        <v>544</v>
      </c>
      <c r="D603" s="211" t="s">
        <v>1578</v>
      </c>
      <c r="E603" s="201">
        <v>6</v>
      </c>
      <c r="F603" s="201">
        <v>1</v>
      </c>
      <c r="G603" s="203">
        <v>44917</v>
      </c>
    </row>
    <row r="604" spans="2:18">
      <c r="C604" s="211" t="s">
        <v>549</v>
      </c>
      <c r="D604" s="211" t="s">
        <v>1578</v>
      </c>
      <c r="E604" s="201">
        <v>3.6</v>
      </c>
      <c r="F604" s="201">
        <v>1.8</v>
      </c>
      <c r="G604" s="203">
        <v>43361</v>
      </c>
    </row>
    <row r="605" spans="2:18">
      <c r="C605" s="253" t="s">
        <v>544</v>
      </c>
      <c r="D605" s="253" t="s">
        <v>1655</v>
      </c>
      <c r="E605" s="201">
        <v>15</v>
      </c>
      <c r="F605" s="201">
        <v>2</v>
      </c>
      <c r="G605" s="203">
        <v>44314</v>
      </c>
    </row>
    <row r="606" spans="2:18">
      <c r="C606" s="211"/>
      <c r="D606" s="211"/>
      <c r="G606" s="203"/>
    </row>
    <row r="607" spans="2:18" s="64" customFormat="1">
      <c r="B607" s="64" t="s">
        <v>971</v>
      </c>
      <c r="C607" s="191" t="s">
        <v>491</v>
      </c>
      <c r="D607" s="191" t="s">
        <v>759</v>
      </c>
      <c r="E607" s="188"/>
      <c r="F607" s="188">
        <f>SUM(F608:F613)</f>
        <v>54.3</v>
      </c>
      <c r="G607" s="202">
        <f>+G608</f>
        <v>44754</v>
      </c>
      <c r="M607" s="191"/>
      <c r="N607" s="191"/>
      <c r="O607" s="191"/>
      <c r="P607" s="191"/>
      <c r="Q607" s="191"/>
      <c r="R607" s="191"/>
    </row>
    <row r="608" spans="2:18">
      <c r="C608" s="200" t="s">
        <v>565</v>
      </c>
      <c r="D608" s="200" t="s">
        <v>611</v>
      </c>
      <c r="E608" s="201">
        <v>100</v>
      </c>
      <c r="F608" s="201">
        <v>10</v>
      </c>
      <c r="G608" s="203">
        <v>44754</v>
      </c>
    </row>
    <row r="609" spans="2:7">
      <c r="C609" s="200" t="s">
        <v>402</v>
      </c>
      <c r="D609" s="200" t="s">
        <v>649</v>
      </c>
      <c r="E609" s="201">
        <v>40</v>
      </c>
      <c r="F609" s="201">
        <v>5</v>
      </c>
      <c r="G609" s="203">
        <v>44728</v>
      </c>
    </row>
    <row r="610" spans="2:7">
      <c r="C610" s="200" t="s">
        <v>402</v>
      </c>
      <c r="D610" s="200" t="s">
        <v>649</v>
      </c>
      <c r="E610" s="201">
        <v>18.600000000000001</v>
      </c>
      <c r="F610" s="201">
        <f>8.6/2</f>
        <v>4.3</v>
      </c>
      <c r="G610" s="203">
        <v>44112</v>
      </c>
    </row>
    <row r="611" spans="2:7">
      <c r="C611" s="211" t="s">
        <v>565</v>
      </c>
      <c r="D611" s="211" t="s">
        <v>433</v>
      </c>
      <c r="E611" s="201">
        <v>200</v>
      </c>
      <c r="F611" s="201">
        <v>20</v>
      </c>
      <c r="G611" s="203">
        <v>44377</v>
      </c>
    </row>
    <row r="612" spans="2:7">
      <c r="C612" s="211" t="s">
        <v>402</v>
      </c>
      <c r="D612" s="211" t="s">
        <v>433</v>
      </c>
      <c r="E612" s="201">
        <v>75</v>
      </c>
      <c r="F612" s="201">
        <v>5</v>
      </c>
      <c r="G612" s="203">
        <v>43783</v>
      </c>
    </row>
    <row r="613" spans="2:7">
      <c r="C613" s="211" t="s">
        <v>544</v>
      </c>
      <c r="D613" s="211" t="s">
        <v>433</v>
      </c>
      <c r="E613" s="201">
        <v>30</v>
      </c>
      <c r="F613" s="201">
        <v>10</v>
      </c>
      <c r="G613" s="203">
        <v>43573</v>
      </c>
    </row>
    <row r="614" spans="2:7">
      <c r="G614" s="203"/>
    </row>
    <row r="615" spans="2:7">
      <c r="B615" s="64" t="s">
        <v>791</v>
      </c>
      <c r="C615" s="191" t="s">
        <v>491</v>
      </c>
      <c r="D615" s="191" t="s">
        <v>759</v>
      </c>
      <c r="E615" s="188"/>
      <c r="F615" s="188">
        <f>SUM(F616:F624)</f>
        <v>67.571428571428555</v>
      </c>
      <c r="G615" s="202">
        <f>G618</f>
        <v>44796</v>
      </c>
    </row>
    <row r="616" spans="2:7">
      <c r="C616" s="200" t="s">
        <v>402</v>
      </c>
      <c r="D616" s="200" t="s">
        <v>404</v>
      </c>
      <c r="E616" s="201">
        <v>130</v>
      </c>
      <c r="F616" s="201">
        <f>70/3</f>
        <v>23.333333333333332</v>
      </c>
      <c r="G616" s="203">
        <v>44607</v>
      </c>
    </row>
    <row r="617" spans="2:7">
      <c r="C617" s="200" t="s">
        <v>544</v>
      </c>
      <c r="D617" s="200" t="s">
        <v>404</v>
      </c>
      <c r="E617" s="201">
        <v>40</v>
      </c>
      <c r="F617" s="201">
        <v>10</v>
      </c>
      <c r="G617" s="203">
        <v>44446</v>
      </c>
    </row>
    <row r="618" spans="2:7">
      <c r="C618" s="200" t="s">
        <v>544</v>
      </c>
      <c r="D618" s="200" t="s">
        <v>1094</v>
      </c>
      <c r="E618" s="201">
        <v>50</v>
      </c>
      <c r="F618" s="201">
        <v>10</v>
      </c>
      <c r="G618" s="203">
        <v>44796</v>
      </c>
    </row>
    <row r="619" spans="2:7">
      <c r="C619" s="200" t="s">
        <v>544</v>
      </c>
      <c r="D619" s="200" t="s">
        <v>674</v>
      </c>
      <c r="E619" s="201">
        <v>25</v>
      </c>
      <c r="F619" s="201">
        <f>18/7</f>
        <v>2.5714285714285716</v>
      </c>
      <c r="G619" s="203">
        <v>44757</v>
      </c>
    </row>
    <row r="620" spans="2:7">
      <c r="C620" s="200" t="s">
        <v>549</v>
      </c>
      <c r="D620" s="200" t="s">
        <v>674</v>
      </c>
      <c r="E620" s="201">
        <v>4</v>
      </c>
      <c r="F620" s="201">
        <v>0.5</v>
      </c>
      <c r="G620" s="203">
        <v>44340</v>
      </c>
    </row>
    <row r="621" spans="2:7">
      <c r="C621" s="200" t="s">
        <v>549</v>
      </c>
      <c r="D621" s="200" t="s">
        <v>674</v>
      </c>
      <c r="E621" s="201">
        <v>1.5</v>
      </c>
      <c r="F621" s="201">
        <v>0.5</v>
      </c>
      <c r="G621" s="203">
        <v>43979</v>
      </c>
    </row>
    <row r="622" spans="2:7">
      <c r="C622" s="253" t="s">
        <v>402</v>
      </c>
      <c r="D622" s="253" t="s">
        <v>1632</v>
      </c>
      <c r="E622" s="201">
        <v>40</v>
      </c>
      <c r="F622" s="201">
        <f>32/8</f>
        <v>4</v>
      </c>
      <c r="G622" s="203">
        <v>43419</v>
      </c>
    </row>
    <row r="623" spans="2:7">
      <c r="C623" s="273" t="s">
        <v>565</v>
      </c>
      <c r="D623" s="273" t="s">
        <v>1759</v>
      </c>
      <c r="E623" s="201">
        <v>40</v>
      </c>
      <c r="F623" s="201">
        <f>20/3</f>
        <v>6.666666666666667</v>
      </c>
      <c r="G623" s="203">
        <v>44599</v>
      </c>
    </row>
    <row r="624" spans="2:7">
      <c r="C624" s="273" t="s">
        <v>402</v>
      </c>
      <c r="D624" s="273" t="s">
        <v>1759</v>
      </c>
      <c r="E624" s="201">
        <v>28</v>
      </c>
      <c r="F624" s="201">
        <v>10</v>
      </c>
      <c r="G624" s="203">
        <v>44377</v>
      </c>
    </row>
    <row r="625" spans="2:18">
      <c r="G625" s="203"/>
    </row>
    <row r="626" spans="2:18">
      <c r="B626" s="64" t="s">
        <v>602</v>
      </c>
      <c r="C626" s="191" t="s">
        <v>491</v>
      </c>
      <c r="D626" s="191" t="s">
        <v>759</v>
      </c>
      <c r="E626" s="188"/>
      <c r="F626" s="188">
        <f>SUM(F627:F629)</f>
        <v>48</v>
      </c>
      <c r="G626" s="202">
        <f>G627</f>
        <v>45048</v>
      </c>
      <c r="I626" s="227" t="s">
        <v>496</v>
      </c>
      <c r="J626" s="227" t="s">
        <v>496</v>
      </c>
      <c r="K626" s="227" t="s">
        <v>496</v>
      </c>
    </row>
    <row r="627" spans="2:18">
      <c r="C627" s="200" t="s">
        <v>565</v>
      </c>
      <c r="D627" s="200" t="s">
        <v>404</v>
      </c>
      <c r="E627" s="201">
        <v>270</v>
      </c>
      <c r="F627" s="201">
        <v>24</v>
      </c>
      <c r="G627" s="203">
        <v>45048</v>
      </c>
    </row>
    <row r="628" spans="2:18">
      <c r="C628" s="200" t="s">
        <v>402</v>
      </c>
      <c r="D628" s="200" t="s">
        <v>431</v>
      </c>
      <c r="E628" s="201">
        <v>350</v>
      </c>
      <c r="F628" s="201">
        <v>20</v>
      </c>
      <c r="G628" s="203">
        <v>44999</v>
      </c>
    </row>
    <row r="629" spans="2:18">
      <c r="C629" s="228" t="s">
        <v>402</v>
      </c>
      <c r="D629" s="228" t="s">
        <v>1236</v>
      </c>
      <c r="E629" s="201">
        <v>26.8</v>
      </c>
      <c r="F629" s="201">
        <f>20/5</f>
        <v>4</v>
      </c>
      <c r="G629" s="203">
        <v>44600</v>
      </c>
    </row>
    <row r="630" spans="2:18">
      <c r="G630" s="203"/>
    </row>
    <row r="631" spans="2:18" s="64" customFormat="1">
      <c r="B631" s="64" t="s">
        <v>2575</v>
      </c>
      <c r="C631" s="191" t="s">
        <v>491</v>
      </c>
      <c r="D631" s="191" t="s">
        <v>759</v>
      </c>
      <c r="E631" s="188"/>
      <c r="F631" s="188">
        <f>SUM(F632:F635)</f>
        <v>46.5</v>
      </c>
      <c r="G631" s="202">
        <f>G634</f>
        <v>44599</v>
      </c>
    </row>
    <row r="632" spans="2:18">
      <c r="B632" s="227"/>
      <c r="C632" s="228" t="s">
        <v>402</v>
      </c>
      <c r="D632" s="228" t="s">
        <v>1265</v>
      </c>
      <c r="E632" s="201">
        <v>25</v>
      </c>
      <c r="F632" s="201">
        <v>10</v>
      </c>
      <c r="G632" s="203">
        <v>43972</v>
      </c>
      <c r="M632" s="199"/>
      <c r="N632" s="199"/>
      <c r="O632" s="199"/>
      <c r="P632" s="199"/>
      <c r="Q632" s="199"/>
      <c r="R632" s="199"/>
    </row>
    <row r="633" spans="2:18">
      <c r="C633" s="228" t="s">
        <v>544</v>
      </c>
      <c r="D633" s="228" t="s">
        <v>1265</v>
      </c>
      <c r="E633" s="201">
        <v>11.5</v>
      </c>
      <c r="F633" s="201">
        <v>11.5</v>
      </c>
      <c r="G633" s="229">
        <v>43104</v>
      </c>
      <c r="M633" s="199"/>
      <c r="N633" s="199"/>
      <c r="O633" s="199"/>
      <c r="P633" s="199"/>
      <c r="Q633" s="199"/>
      <c r="R633" s="199"/>
    </row>
    <row r="634" spans="2:18">
      <c r="C634" s="273" t="s">
        <v>565</v>
      </c>
      <c r="D634" s="273" t="s">
        <v>1759</v>
      </c>
      <c r="E634" s="201">
        <v>40</v>
      </c>
      <c r="F634" s="201">
        <v>7</v>
      </c>
      <c r="G634" s="229">
        <v>44599</v>
      </c>
      <c r="M634" s="199"/>
      <c r="N634" s="199"/>
      <c r="O634" s="199"/>
      <c r="P634" s="199"/>
      <c r="Q634" s="199"/>
      <c r="R634" s="199"/>
    </row>
    <row r="635" spans="2:18">
      <c r="C635" s="273" t="s">
        <v>402</v>
      </c>
      <c r="D635" s="273" t="s">
        <v>1759</v>
      </c>
      <c r="E635" s="201">
        <v>28</v>
      </c>
      <c r="F635" s="201">
        <v>18</v>
      </c>
      <c r="G635" s="229">
        <v>44377</v>
      </c>
      <c r="M635" s="199"/>
      <c r="N635" s="199"/>
      <c r="O635" s="199"/>
      <c r="P635" s="199"/>
      <c r="Q635" s="199"/>
      <c r="R635" s="199"/>
    </row>
    <row r="636" spans="2:18">
      <c r="C636" s="228"/>
      <c r="D636" s="228"/>
      <c r="G636" s="229"/>
      <c r="M636" s="199"/>
      <c r="N636" s="199"/>
      <c r="O636" s="199"/>
      <c r="P636" s="199"/>
      <c r="Q636" s="199"/>
      <c r="R636" s="199"/>
    </row>
    <row r="637" spans="2:18">
      <c r="B637" s="64" t="s">
        <v>827</v>
      </c>
      <c r="C637" s="191" t="s">
        <v>491</v>
      </c>
      <c r="D637" s="191" t="s">
        <v>759</v>
      </c>
      <c r="F637" s="188">
        <f>SUM(F638:F645)</f>
        <v>44.785714285714285</v>
      </c>
      <c r="G637" s="202">
        <f>G638</f>
        <v>44852</v>
      </c>
    </row>
    <row r="638" spans="2:18">
      <c r="C638" s="200" t="s">
        <v>544</v>
      </c>
      <c r="D638" s="200" t="s">
        <v>420</v>
      </c>
      <c r="E638" s="201">
        <v>125</v>
      </c>
      <c r="F638" s="201">
        <v>15</v>
      </c>
      <c r="G638" s="203">
        <v>44852</v>
      </c>
    </row>
    <row r="639" spans="2:18">
      <c r="C639" s="200" t="s">
        <v>544</v>
      </c>
      <c r="D639" s="200" t="s">
        <v>1479</v>
      </c>
      <c r="E639" s="201">
        <v>12.5</v>
      </c>
      <c r="F639" s="201">
        <v>2</v>
      </c>
      <c r="G639" s="203">
        <v>44784</v>
      </c>
    </row>
    <row r="640" spans="2:18">
      <c r="C640" s="200" t="s">
        <v>544</v>
      </c>
      <c r="D640" s="200" t="s">
        <v>1479</v>
      </c>
      <c r="E640" s="201">
        <v>10</v>
      </c>
      <c r="F640" s="201">
        <v>2</v>
      </c>
      <c r="G640" s="203">
        <v>44110</v>
      </c>
    </row>
    <row r="641" spans="2:7">
      <c r="C641" s="225" t="s">
        <v>402</v>
      </c>
      <c r="D641" s="225" t="s">
        <v>441</v>
      </c>
      <c r="E641" s="201">
        <v>25</v>
      </c>
      <c r="F641" s="201">
        <v>2</v>
      </c>
      <c r="G641" s="203">
        <v>43440</v>
      </c>
    </row>
    <row r="642" spans="2:7">
      <c r="C642" s="245" t="s">
        <v>565</v>
      </c>
      <c r="D642" s="245" t="s">
        <v>2866</v>
      </c>
      <c r="E642" s="201">
        <v>130</v>
      </c>
      <c r="F642" s="201">
        <v>14.285714285714286</v>
      </c>
      <c r="G642" s="203">
        <v>44323</v>
      </c>
    </row>
    <row r="643" spans="2:7">
      <c r="C643" s="245" t="s">
        <v>402</v>
      </c>
      <c r="D643" s="245" t="s">
        <v>2866</v>
      </c>
      <c r="E643" s="201">
        <v>44</v>
      </c>
      <c r="F643" s="201">
        <v>5</v>
      </c>
      <c r="G643" s="203">
        <v>43909</v>
      </c>
    </row>
    <row r="644" spans="2:7">
      <c r="C644" s="245" t="s">
        <v>544</v>
      </c>
      <c r="D644" s="245" t="s">
        <v>2866</v>
      </c>
      <c r="E644" s="201">
        <v>15</v>
      </c>
      <c r="F644" s="201">
        <v>3</v>
      </c>
      <c r="G644" s="203">
        <v>43452</v>
      </c>
    </row>
    <row r="645" spans="2:7">
      <c r="C645" s="245" t="s">
        <v>549</v>
      </c>
      <c r="D645" s="245" t="s">
        <v>2866</v>
      </c>
      <c r="E645" s="201">
        <v>2.5</v>
      </c>
      <c r="F645" s="201">
        <v>1.5</v>
      </c>
      <c r="G645" s="203">
        <v>42936</v>
      </c>
    </row>
    <row r="646" spans="2:7">
      <c r="G646" s="203"/>
    </row>
    <row r="647" spans="2:7">
      <c r="B647" s="64" t="s">
        <v>892</v>
      </c>
      <c r="C647" s="191" t="s">
        <v>491</v>
      </c>
      <c r="D647" s="191" t="s">
        <v>759</v>
      </c>
      <c r="E647" s="188"/>
      <c r="F647" s="188">
        <f>SUM(F648:F658)</f>
        <v>42.2</v>
      </c>
      <c r="G647" s="202">
        <f>G655</f>
        <v>45005</v>
      </c>
    </row>
    <row r="648" spans="2:7">
      <c r="C648" s="200" t="s">
        <v>565</v>
      </c>
      <c r="D648" s="200" t="s">
        <v>864</v>
      </c>
      <c r="E648" s="201">
        <v>50</v>
      </c>
      <c r="F648" s="201">
        <f>30/5</f>
        <v>6</v>
      </c>
      <c r="G648" s="203">
        <v>44900</v>
      </c>
    </row>
    <row r="649" spans="2:7">
      <c r="C649" s="200" t="s">
        <v>565</v>
      </c>
      <c r="D649" s="200" t="s">
        <v>617</v>
      </c>
      <c r="E649" s="201">
        <v>85</v>
      </c>
      <c r="F649" s="201">
        <v>10</v>
      </c>
      <c r="G649" s="203">
        <v>44501</v>
      </c>
    </row>
    <row r="650" spans="2:7">
      <c r="C650" s="200" t="s">
        <v>402</v>
      </c>
      <c r="D650" s="200" t="s">
        <v>617</v>
      </c>
      <c r="E650" s="201">
        <v>28</v>
      </c>
      <c r="F650" s="201">
        <v>5</v>
      </c>
      <c r="G650" s="203">
        <v>44272</v>
      </c>
    </row>
    <row r="651" spans="2:7">
      <c r="C651" s="200" t="s">
        <v>544</v>
      </c>
      <c r="D651" s="200" t="s">
        <v>617</v>
      </c>
      <c r="E651" s="201">
        <v>15</v>
      </c>
      <c r="F651" s="201">
        <v>5</v>
      </c>
      <c r="G651" s="203">
        <v>43924</v>
      </c>
    </row>
    <row r="652" spans="2:7">
      <c r="C652" s="200" t="s">
        <v>549</v>
      </c>
      <c r="D652" s="200" t="s">
        <v>617</v>
      </c>
      <c r="E652" s="201">
        <v>3.9</v>
      </c>
      <c r="F652" s="201">
        <v>2.9</v>
      </c>
      <c r="G652" s="203">
        <v>43761</v>
      </c>
    </row>
    <row r="653" spans="2:7">
      <c r="C653" s="200" t="s">
        <v>549</v>
      </c>
      <c r="D653" s="200" t="s">
        <v>1221</v>
      </c>
      <c r="E653" s="201">
        <v>2.8</v>
      </c>
      <c r="F653" s="201">
        <v>0.8</v>
      </c>
      <c r="G653" s="203">
        <v>44994</v>
      </c>
    </row>
    <row r="654" spans="2:7">
      <c r="C654" s="200" t="s">
        <v>549</v>
      </c>
      <c r="D654" s="200" t="s">
        <v>1221</v>
      </c>
      <c r="E654" s="201">
        <v>2.6</v>
      </c>
      <c r="F654" s="201">
        <v>1</v>
      </c>
      <c r="G654" s="203">
        <v>44147</v>
      </c>
    </row>
    <row r="655" spans="2:7">
      <c r="C655" s="218" t="s">
        <v>544</v>
      </c>
      <c r="D655" s="218" t="s">
        <v>705</v>
      </c>
      <c r="E655" s="201">
        <v>12.5</v>
      </c>
      <c r="F655" s="201">
        <v>7</v>
      </c>
      <c r="G655" s="203">
        <v>45005</v>
      </c>
    </row>
    <row r="656" spans="2:7">
      <c r="C656" s="220" t="s">
        <v>549</v>
      </c>
      <c r="D656" s="220" t="s">
        <v>465</v>
      </c>
      <c r="E656" s="201">
        <v>12</v>
      </c>
      <c r="F656" s="201">
        <v>2</v>
      </c>
      <c r="G656" s="203">
        <v>44971</v>
      </c>
    </row>
    <row r="657" spans="2:18">
      <c r="C657" s="225" t="s">
        <v>549</v>
      </c>
      <c r="D657" s="225" t="s">
        <v>586</v>
      </c>
      <c r="E657" s="201">
        <v>6</v>
      </c>
      <c r="F657" s="201">
        <v>2</v>
      </c>
      <c r="G657" s="203">
        <v>44781</v>
      </c>
    </row>
    <row r="658" spans="2:18">
      <c r="C658" s="225" t="s">
        <v>669</v>
      </c>
      <c r="D658" s="225" t="s">
        <v>586</v>
      </c>
      <c r="E658" s="201">
        <v>1</v>
      </c>
      <c r="F658" s="201">
        <v>0.5</v>
      </c>
      <c r="G658" s="203">
        <v>44476</v>
      </c>
    </row>
    <row r="659" spans="2:18">
      <c r="G659" s="203"/>
    </row>
    <row r="660" spans="2:18" s="64" customFormat="1">
      <c r="B660" s="64" t="s">
        <v>1192</v>
      </c>
      <c r="C660" s="191" t="s">
        <v>491</v>
      </c>
      <c r="D660" s="191" t="s">
        <v>759</v>
      </c>
      <c r="E660" s="188"/>
      <c r="F660" s="188">
        <f>SUM(F661:F666)</f>
        <v>39.5</v>
      </c>
      <c r="G660" s="202">
        <f>G663</f>
        <v>44578</v>
      </c>
      <c r="M660" s="191"/>
      <c r="N660" s="191"/>
      <c r="O660" s="191"/>
      <c r="P660" s="191"/>
      <c r="Q660" s="191"/>
      <c r="R660" s="191"/>
    </row>
    <row r="661" spans="2:18">
      <c r="C661" s="200" t="s">
        <v>544</v>
      </c>
      <c r="D661" s="200" t="s">
        <v>659</v>
      </c>
      <c r="E661" s="201">
        <v>30</v>
      </c>
      <c r="F661" s="201">
        <v>4</v>
      </c>
      <c r="G661" s="203">
        <v>44522</v>
      </c>
    </row>
    <row r="662" spans="2:18">
      <c r="C662" s="200" t="s">
        <v>549</v>
      </c>
      <c r="D662" s="200" t="s">
        <v>659</v>
      </c>
      <c r="E662" s="201">
        <v>5.5</v>
      </c>
      <c r="F662" s="201">
        <v>3.5</v>
      </c>
      <c r="G662" s="203">
        <v>44096</v>
      </c>
    </row>
    <row r="663" spans="2:18">
      <c r="C663" s="200" t="s">
        <v>544</v>
      </c>
      <c r="D663" s="200" t="s">
        <v>1452</v>
      </c>
      <c r="E663" s="201">
        <v>20</v>
      </c>
      <c r="F663" s="201">
        <v>2</v>
      </c>
      <c r="G663" s="203">
        <v>44578</v>
      </c>
    </row>
    <row r="664" spans="2:18">
      <c r="C664" s="225" t="s">
        <v>738</v>
      </c>
      <c r="D664" s="225" t="s">
        <v>441</v>
      </c>
      <c r="E664" s="201">
        <v>132</v>
      </c>
      <c r="F664" s="201">
        <v>20</v>
      </c>
      <c r="G664" s="203">
        <v>44215</v>
      </c>
    </row>
    <row r="665" spans="2:18">
      <c r="C665" s="225" t="s">
        <v>565</v>
      </c>
      <c r="D665" s="225" t="s">
        <v>445</v>
      </c>
      <c r="E665" s="201">
        <v>60</v>
      </c>
      <c r="F665" s="201">
        <v>5</v>
      </c>
      <c r="G665" s="203">
        <v>43606</v>
      </c>
    </row>
    <row r="666" spans="2:18">
      <c r="C666" s="225" t="s">
        <v>402</v>
      </c>
      <c r="D666" s="225" t="s">
        <v>445</v>
      </c>
      <c r="E666" s="201">
        <v>30</v>
      </c>
      <c r="F666" s="201">
        <v>5</v>
      </c>
      <c r="G666" s="203">
        <v>43396</v>
      </c>
    </row>
    <row r="667" spans="2:18">
      <c r="C667" s="273" t="s">
        <v>402</v>
      </c>
      <c r="D667" s="273" t="s">
        <v>1825</v>
      </c>
      <c r="E667" s="201">
        <v>21</v>
      </c>
      <c r="F667" s="201">
        <v>21</v>
      </c>
      <c r="G667" s="203">
        <v>43140</v>
      </c>
    </row>
    <row r="668" spans="2:18">
      <c r="C668" s="273" t="s">
        <v>402</v>
      </c>
      <c r="D668" s="273" t="s">
        <v>1825</v>
      </c>
      <c r="E668" s="201">
        <v>11</v>
      </c>
      <c r="F668" s="201">
        <v>11</v>
      </c>
      <c r="G668" s="203">
        <v>43025</v>
      </c>
    </row>
    <row r="669" spans="2:18">
      <c r="G669" s="203"/>
    </row>
    <row r="670" spans="2:18">
      <c r="B670" s="64" t="s">
        <v>855</v>
      </c>
      <c r="C670" s="191" t="s">
        <v>491</v>
      </c>
      <c r="D670" s="191" t="s">
        <v>759</v>
      </c>
      <c r="E670" s="188"/>
      <c r="F670" s="188">
        <f>SUM(F671:F681)</f>
        <v>40.25</v>
      </c>
      <c r="G670" s="202">
        <f>G674</f>
        <v>45041</v>
      </c>
    </row>
    <row r="671" spans="2:18">
      <c r="C671" s="200" t="s">
        <v>402</v>
      </c>
      <c r="D671" s="200" t="s">
        <v>850</v>
      </c>
      <c r="E671" s="201">
        <v>45</v>
      </c>
      <c r="F671" s="201">
        <v>10</v>
      </c>
      <c r="G671" s="203">
        <v>44228</v>
      </c>
    </row>
    <row r="672" spans="2:18">
      <c r="C672" s="200" t="s">
        <v>544</v>
      </c>
      <c r="D672" s="200" t="s">
        <v>850</v>
      </c>
      <c r="E672" s="201">
        <v>5</v>
      </c>
      <c r="F672" s="201">
        <v>1</v>
      </c>
      <c r="G672" s="203">
        <v>43251</v>
      </c>
    </row>
    <row r="673" spans="2:18">
      <c r="C673" s="200" t="s">
        <v>544</v>
      </c>
      <c r="D673" s="200" t="s">
        <v>650</v>
      </c>
      <c r="E673" s="201">
        <v>14</v>
      </c>
      <c r="F673" s="201">
        <v>2</v>
      </c>
      <c r="G673" s="203">
        <v>44131</v>
      </c>
    </row>
    <row r="674" spans="2:18">
      <c r="C674" s="200" t="s">
        <v>402</v>
      </c>
      <c r="D674" s="200" t="s">
        <v>392</v>
      </c>
      <c r="E674" s="201">
        <v>97.4</v>
      </c>
      <c r="F674" s="201">
        <f>47/6</f>
        <v>7.833333333333333</v>
      </c>
      <c r="G674" s="203">
        <v>45041</v>
      </c>
    </row>
    <row r="675" spans="2:18">
      <c r="C675" s="200" t="s">
        <v>544</v>
      </c>
      <c r="D675" s="200" t="s">
        <v>392</v>
      </c>
      <c r="E675" s="201">
        <v>80</v>
      </c>
      <c r="F675" s="201">
        <f>40/6</f>
        <v>6.666666666666667</v>
      </c>
      <c r="G675" s="203">
        <v>44539</v>
      </c>
    </row>
    <row r="676" spans="2:18">
      <c r="C676" s="220" t="s">
        <v>549</v>
      </c>
      <c r="D676" s="220" t="s">
        <v>465</v>
      </c>
      <c r="E676" s="201">
        <v>12</v>
      </c>
      <c r="F676" s="201">
        <v>2</v>
      </c>
      <c r="G676" s="203">
        <v>44971</v>
      </c>
    </row>
    <row r="677" spans="2:18">
      <c r="C677" s="220" t="s">
        <v>549</v>
      </c>
      <c r="D677" s="220" t="s">
        <v>465</v>
      </c>
      <c r="E677" s="201">
        <v>5</v>
      </c>
      <c r="F677" s="201">
        <v>1</v>
      </c>
      <c r="G677" s="203">
        <v>44769</v>
      </c>
    </row>
    <row r="678" spans="2:18">
      <c r="C678" s="238" t="s">
        <v>402</v>
      </c>
      <c r="D678" s="238" t="s">
        <v>2754</v>
      </c>
      <c r="E678" s="201">
        <v>32</v>
      </c>
      <c r="F678" s="201">
        <v>3</v>
      </c>
      <c r="G678" s="203">
        <v>44364</v>
      </c>
    </row>
    <row r="679" spans="2:18">
      <c r="C679" s="238" t="s">
        <v>544</v>
      </c>
      <c r="D679" s="238" t="s">
        <v>2754</v>
      </c>
      <c r="E679" s="201">
        <v>10.199999999999999</v>
      </c>
      <c r="F679" s="201">
        <v>2</v>
      </c>
      <c r="G679" s="203">
        <v>43732</v>
      </c>
    </row>
    <row r="680" spans="2:18">
      <c r="C680" s="238" t="s">
        <v>549</v>
      </c>
      <c r="D680" s="238" t="s">
        <v>2754</v>
      </c>
      <c r="E680" s="201">
        <v>3</v>
      </c>
      <c r="F680" s="201">
        <v>0.75</v>
      </c>
      <c r="G680" s="203">
        <v>43374</v>
      </c>
    </row>
    <row r="681" spans="2:18">
      <c r="C681" s="253" t="s">
        <v>402</v>
      </c>
      <c r="D681" s="253" t="s">
        <v>1632</v>
      </c>
      <c r="E681" s="201">
        <v>40</v>
      </c>
      <c r="F681" s="201">
        <v>4</v>
      </c>
      <c r="G681" s="203">
        <v>43419</v>
      </c>
    </row>
    <row r="682" spans="2:18">
      <c r="G682" s="203"/>
    </row>
    <row r="683" spans="2:18" s="64" customFormat="1">
      <c r="B683" s="64" t="s">
        <v>741</v>
      </c>
      <c r="C683" s="191" t="s">
        <v>491</v>
      </c>
      <c r="D683" s="191" t="s">
        <v>759</v>
      </c>
      <c r="E683" s="188"/>
      <c r="F683" s="188">
        <f>SUM(F684:F685)</f>
        <v>39.5</v>
      </c>
      <c r="G683" s="202">
        <f>G685</f>
        <v>44867</v>
      </c>
      <c r="M683" s="191"/>
      <c r="N683" s="191"/>
      <c r="O683" s="191"/>
      <c r="P683" s="191"/>
      <c r="Q683" s="191"/>
      <c r="R683" s="191"/>
    </row>
    <row r="684" spans="2:18">
      <c r="C684" s="200" t="s">
        <v>738</v>
      </c>
      <c r="D684" s="200" t="s">
        <v>751</v>
      </c>
      <c r="E684" s="201">
        <v>325</v>
      </c>
      <c r="F684" s="201">
        <v>18.5</v>
      </c>
      <c r="G684" s="203">
        <v>44299</v>
      </c>
    </row>
    <row r="685" spans="2:18">
      <c r="C685" s="249" t="s">
        <v>565</v>
      </c>
      <c r="D685" s="249" t="s">
        <v>1603</v>
      </c>
      <c r="E685" s="201">
        <v>91</v>
      </c>
      <c r="F685" s="201">
        <v>21</v>
      </c>
      <c r="G685" s="203">
        <v>44867</v>
      </c>
    </row>
    <row r="686" spans="2:18">
      <c r="C686" s="273" t="s">
        <v>755</v>
      </c>
      <c r="D686" s="273" t="s">
        <v>1827</v>
      </c>
      <c r="E686" s="201">
        <v>130</v>
      </c>
      <c r="F686" s="201">
        <v>12</v>
      </c>
      <c r="G686" s="203">
        <v>42080</v>
      </c>
    </row>
    <row r="687" spans="2:18">
      <c r="C687" s="273" t="s">
        <v>813</v>
      </c>
      <c r="D687" s="273" t="s">
        <v>1829</v>
      </c>
      <c r="E687" s="201">
        <v>200</v>
      </c>
      <c r="F687" s="201">
        <v>100</v>
      </c>
      <c r="G687" s="203">
        <v>44907</v>
      </c>
      <c r="I687" s="199">
        <v>3500</v>
      </c>
    </row>
    <row r="688" spans="2:18">
      <c r="G688" s="203"/>
    </row>
    <row r="689" spans="2:18" s="64" customFormat="1">
      <c r="B689" s="64" t="s">
        <v>1742</v>
      </c>
      <c r="C689" s="191" t="s">
        <v>491</v>
      </c>
      <c r="D689" s="191" t="s">
        <v>759</v>
      </c>
      <c r="E689" s="188"/>
      <c r="F689" s="188">
        <f>SUM(F690:F694)</f>
        <v>38.4</v>
      </c>
      <c r="G689" s="202">
        <f>G690</f>
        <v>44698</v>
      </c>
      <c r="M689" s="191"/>
      <c r="N689" s="191"/>
      <c r="O689" s="191"/>
      <c r="P689" s="191"/>
      <c r="Q689" s="191"/>
      <c r="R689" s="191"/>
    </row>
    <row r="690" spans="2:18">
      <c r="B690" s="219"/>
      <c r="C690" s="220" t="s">
        <v>544</v>
      </c>
      <c r="D690" s="220" t="s">
        <v>711</v>
      </c>
      <c r="E690" s="201">
        <v>12.8</v>
      </c>
      <c r="F690" s="201">
        <v>6.8</v>
      </c>
      <c r="G690" s="203">
        <v>44698</v>
      </c>
    </row>
    <row r="691" spans="2:18">
      <c r="B691" s="219"/>
      <c r="C691" s="225" t="s">
        <v>544</v>
      </c>
      <c r="D691" s="225" t="s">
        <v>1525</v>
      </c>
      <c r="E691" s="201">
        <v>14</v>
      </c>
      <c r="F691" s="201">
        <f>8/5</f>
        <v>1.6</v>
      </c>
      <c r="G691" s="203">
        <v>44447</v>
      </c>
    </row>
    <row r="692" spans="2:18">
      <c r="B692" s="219"/>
      <c r="C692" s="225" t="s">
        <v>544</v>
      </c>
      <c r="D692" s="225" t="s">
        <v>1525</v>
      </c>
      <c r="E692" s="201">
        <v>12</v>
      </c>
      <c r="F692" s="201">
        <f>8/4</f>
        <v>2</v>
      </c>
      <c r="G692" s="203">
        <v>43532</v>
      </c>
    </row>
    <row r="693" spans="2:18">
      <c r="B693" s="219"/>
      <c r="C693" s="228" t="s">
        <v>738</v>
      </c>
      <c r="D693" s="228" t="s">
        <v>2441</v>
      </c>
      <c r="E693" s="201">
        <v>206</v>
      </c>
      <c r="F693" s="201">
        <v>14</v>
      </c>
      <c r="G693" s="203">
        <v>43725</v>
      </c>
    </row>
    <row r="694" spans="2:18">
      <c r="B694" s="219"/>
      <c r="C694" s="253" t="s">
        <v>565</v>
      </c>
      <c r="D694" s="253" t="s">
        <v>1632</v>
      </c>
      <c r="E694" s="201">
        <v>110</v>
      </c>
      <c r="F694" s="201">
        <v>14</v>
      </c>
      <c r="G694" s="203">
        <v>44369</v>
      </c>
    </row>
    <row r="695" spans="2:18">
      <c r="B695" s="219"/>
      <c r="C695" s="220"/>
      <c r="D695" s="220"/>
      <c r="G695" s="203"/>
    </row>
    <row r="696" spans="2:18" s="64" customFormat="1">
      <c r="B696" s="64" t="s">
        <v>1124</v>
      </c>
      <c r="C696" s="191" t="s">
        <v>491</v>
      </c>
      <c r="D696" s="191" t="s">
        <v>759</v>
      </c>
      <c r="E696" s="188"/>
      <c r="F696" s="188">
        <f>SUM(F697:F698)</f>
        <v>38</v>
      </c>
      <c r="G696" s="202">
        <f>G697</f>
        <v>44812</v>
      </c>
      <c r="M696" s="191"/>
      <c r="N696" s="191"/>
      <c r="O696" s="191"/>
      <c r="P696" s="191"/>
      <c r="Q696" s="191"/>
      <c r="R696" s="191"/>
    </row>
    <row r="697" spans="2:18">
      <c r="C697" s="200" t="s">
        <v>402</v>
      </c>
      <c r="D697" s="200" t="s">
        <v>652</v>
      </c>
      <c r="E697" s="201">
        <v>38</v>
      </c>
      <c r="F697" s="201">
        <v>18</v>
      </c>
      <c r="G697" s="203">
        <v>44812</v>
      </c>
    </row>
    <row r="698" spans="2:18">
      <c r="C698" s="273" t="s">
        <v>565</v>
      </c>
      <c r="D698" s="273" t="s">
        <v>1759</v>
      </c>
      <c r="E698" s="201">
        <v>40</v>
      </c>
      <c r="F698" s="201">
        <v>20</v>
      </c>
      <c r="G698" s="203">
        <v>44599</v>
      </c>
    </row>
    <row r="699" spans="2:18">
      <c r="G699" s="203"/>
    </row>
    <row r="700" spans="2:18" s="64" customFormat="1">
      <c r="B700" s="64" t="s">
        <v>44</v>
      </c>
      <c r="C700" s="191" t="s">
        <v>491</v>
      </c>
      <c r="D700" s="191" t="s">
        <v>759</v>
      </c>
      <c r="E700" s="188"/>
      <c r="F700" s="188">
        <f>SUM(F701:F703)</f>
        <v>38</v>
      </c>
      <c r="G700" s="202">
        <f>G702</f>
        <v>45104</v>
      </c>
      <c r="I700" s="227" t="s">
        <v>496</v>
      </c>
      <c r="J700" s="227" t="s">
        <v>496</v>
      </c>
      <c r="K700" s="227" t="s">
        <v>496</v>
      </c>
      <c r="M700" s="191"/>
      <c r="N700" s="191"/>
      <c r="O700" s="191"/>
      <c r="P700" s="191"/>
      <c r="Q700" s="191"/>
      <c r="R700" s="191"/>
    </row>
    <row r="701" spans="2:18">
      <c r="C701" s="200" t="s">
        <v>565</v>
      </c>
      <c r="D701" s="200" t="s">
        <v>611</v>
      </c>
      <c r="E701" s="201">
        <v>100</v>
      </c>
      <c r="F701" s="201">
        <v>10</v>
      </c>
      <c r="G701" s="203">
        <v>44754</v>
      </c>
    </row>
    <row r="702" spans="2:18">
      <c r="C702" s="225" t="s">
        <v>544</v>
      </c>
      <c r="D702" s="225" t="s">
        <v>2305</v>
      </c>
      <c r="E702" s="201">
        <v>58</v>
      </c>
      <c r="F702" s="201">
        <v>8</v>
      </c>
      <c r="G702" s="203">
        <v>45104</v>
      </c>
    </row>
    <row r="703" spans="2:18">
      <c r="C703" s="228" t="s">
        <v>813</v>
      </c>
      <c r="D703" s="228" t="s">
        <v>2441</v>
      </c>
      <c r="E703" s="201">
        <v>50</v>
      </c>
      <c r="F703" s="201">
        <v>20</v>
      </c>
      <c r="G703" s="203">
        <v>44174</v>
      </c>
    </row>
    <row r="704" spans="2:18">
      <c r="G704" s="203"/>
    </row>
    <row r="705" spans="2:18" s="64" customFormat="1">
      <c r="B705" s="64" t="s">
        <v>401</v>
      </c>
      <c r="C705" s="191" t="s">
        <v>491</v>
      </c>
      <c r="D705" s="191" t="s">
        <v>759</v>
      </c>
      <c r="E705" s="188"/>
      <c r="F705" s="188">
        <f>SUM(F706:F709)</f>
        <v>36.666666666666664</v>
      </c>
      <c r="G705" s="202">
        <f>G706</f>
        <v>45027</v>
      </c>
      <c r="M705" s="191"/>
      <c r="N705" s="191"/>
      <c r="O705" s="191"/>
      <c r="P705" s="191"/>
      <c r="Q705" s="191"/>
      <c r="R705" s="191"/>
    </row>
    <row r="706" spans="2:18">
      <c r="C706" s="200" t="s">
        <v>544</v>
      </c>
      <c r="D706" s="200" t="s">
        <v>1158</v>
      </c>
      <c r="E706" s="201">
        <v>21</v>
      </c>
      <c r="F706" s="201">
        <f>11/3</f>
        <v>3.6666666666666665</v>
      </c>
      <c r="G706" s="203">
        <v>45027</v>
      </c>
    </row>
    <row r="707" spans="2:18">
      <c r="C707" s="200" t="s">
        <v>549</v>
      </c>
      <c r="D707" s="200" t="s">
        <v>1158</v>
      </c>
      <c r="E707" s="201">
        <v>5</v>
      </c>
      <c r="F707" s="201">
        <v>3</v>
      </c>
      <c r="G707" s="203">
        <v>44888</v>
      </c>
    </row>
    <row r="708" spans="2:18">
      <c r="C708" s="200" t="s">
        <v>544</v>
      </c>
      <c r="D708" s="200" t="s">
        <v>546</v>
      </c>
      <c r="E708" s="201">
        <v>23.5</v>
      </c>
      <c r="F708" s="201">
        <v>15</v>
      </c>
      <c r="G708" s="203">
        <v>44875</v>
      </c>
    </row>
    <row r="709" spans="2:18">
      <c r="C709" s="211" t="s">
        <v>402</v>
      </c>
      <c r="D709" s="211" t="s">
        <v>547</v>
      </c>
      <c r="E709" s="201">
        <v>27</v>
      </c>
      <c r="F709" s="201">
        <v>15</v>
      </c>
      <c r="G709" s="203">
        <v>44882</v>
      </c>
    </row>
    <row r="710" spans="2:18">
      <c r="G710" s="203"/>
    </row>
    <row r="711" spans="2:18" s="64" customFormat="1">
      <c r="B711" s="64" t="s">
        <v>788</v>
      </c>
      <c r="C711" s="191" t="s">
        <v>491</v>
      </c>
      <c r="D711" s="191" t="s">
        <v>759</v>
      </c>
      <c r="E711" s="188"/>
      <c r="F711" s="188">
        <f>SUM(F712:F714)</f>
        <v>37</v>
      </c>
      <c r="G711" s="202">
        <f>G712</f>
        <v>45048</v>
      </c>
      <c r="M711" s="191"/>
      <c r="N711" s="191"/>
      <c r="O711" s="191"/>
      <c r="P711" s="191"/>
      <c r="Q711" s="191"/>
      <c r="R711" s="191"/>
    </row>
    <row r="712" spans="2:18">
      <c r="C712" s="200" t="s">
        <v>565</v>
      </c>
      <c r="D712" s="200" t="s">
        <v>404</v>
      </c>
      <c r="E712" s="201">
        <v>270</v>
      </c>
      <c r="F712" s="201">
        <v>24</v>
      </c>
      <c r="G712" s="203">
        <v>45048</v>
      </c>
    </row>
    <row r="713" spans="2:18">
      <c r="C713" s="228" t="s">
        <v>402</v>
      </c>
      <c r="D713" s="228" t="s">
        <v>1521</v>
      </c>
      <c r="E713" s="201">
        <v>90</v>
      </c>
      <c r="F713" s="201">
        <v>6</v>
      </c>
      <c r="G713" s="203">
        <v>44398</v>
      </c>
    </row>
    <row r="714" spans="2:18">
      <c r="C714" s="273" t="s">
        <v>755</v>
      </c>
      <c r="D714" s="273" t="s">
        <v>1803</v>
      </c>
      <c r="E714" s="201">
        <v>111</v>
      </c>
      <c r="F714" s="201">
        <v>7</v>
      </c>
      <c r="G714" s="203">
        <v>44622</v>
      </c>
    </row>
    <row r="715" spans="2:18">
      <c r="G715" s="203"/>
    </row>
    <row r="716" spans="2:18" s="64" customFormat="1">
      <c r="B716" s="64" t="s">
        <v>877</v>
      </c>
      <c r="C716" s="191" t="s">
        <v>491</v>
      </c>
      <c r="D716" s="191" t="s">
        <v>759</v>
      </c>
      <c r="E716" s="188"/>
      <c r="F716" s="188">
        <f>SUM(F717:F719)</f>
        <v>39.625</v>
      </c>
      <c r="G716" s="202">
        <f>G717</f>
        <v>44999</v>
      </c>
      <c r="M716" s="191"/>
      <c r="N716" s="191"/>
      <c r="O716" s="191"/>
      <c r="P716" s="191"/>
      <c r="Q716" s="191"/>
      <c r="R716" s="191"/>
    </row>
    <row r="717" spans="2:18">
      <c r="C717" s="200" t="s">
        <v>402</v>
      </c>
      <c r="D717" s="200" t="s">
        <v>431</v>
      </c>
      <c r="E717" s="201">
        <v>350</v>
      </c>
      <c r="F717" s="201">
        <v>20</v>
      </c>
      <c r="G717" s="203">
        <v>44999</v>
      </c>
    </row>
    <row r="718" spans="2:18">
      <c r="C718" s="273" t="s">
        <v>755</v>
      </c>
      <c r="D718" s="273" t="s">
        <v>1803</v>
      </c>
      <c r="E718" s="201">
        <v>111</v>
      </c>
      <c r="F718" s="201">
        <v>14</v>
      </c>
      <c r="G718" s="203">
        <v>44622</v>
      </c>
    </row>
    <row r="719" spans="2:18">
      <c r="C719" s="273" t="s">
        <v>565</v>
      </c>
      <c r="D719" s="273" t="s">
        <v>1803</v>
      </c>
      <c r="E719" s="201">
        <v>55</v>
      </c>
      <c r="F719" s="201">
        <v>5.625</v>
      </c>
      <c r="G719" s="203">
        <v>44314</v>
      </c>
    </row>
    <row r="720" spans="2:18">
      <c r="G720" s="203"/>
    </row>
    <row r="721" spans="2:7" s="64" customFormat="1">
      <c r="B721" s="64" t="s">
        <v>3206</v>
      </c>
      <c r="C721" s="191" t="s">
        <v>491</v>
      </c>
      <c r="D721" s="191" t="s">
        <v>759</v>
      </c>
      <c r="E721" s="188"/>
      <c r="F721" s="188">
        <f>SUM(F722:F728)</f>
        <v>30.847619047619045</v>
      </c>
      <c r="G721" s="202">
        <f>G724</f>
        <v>44727</v>
      </c>
    </row>
    <row r="722" spans="2:7">
      <c r="B722" s="248"/>
      <c r="C722" s="200" t="s">
        <v>544</v>
      </c>
      <c r="D722" s="200" t="s">
        <v>672</v>
      </c>
      <c r="E722" s="201">
        <v>25</v>
      </c>
      <c r="F722" s="201">
        <f>15/4</f>
        <v>3.75</v>
      </c>
      <c r="G722" s="203">
        <v>44615</v>
      </c>
    </row>
    <row r="723" spans="2:7">
      <c r="C723" s="200" t="s">
        <v>544</v>
      </c>
      <c r="D723" s="200" t="s">
        <v>673</v>
      </c>
      <c r="E723" s="201">
        <v>21</v>
      </c>
      <c r="F723" s="201">
        <f>14/5</f>
        <v>2.8</v>
      </c>
      <c r="G723" s="203">
        <v>44489</v>
      </c>
    </row>
    <row r="724" spans="2:7">
      <c r="C724" s="228" t="s">
        <v>544</v>
      </c>
      <c r="D724" s="228" t="s">
        <v>1202</v>
      </c>
      <c r="E724" s="201">
        <v>15.5</v>
      </c>
      <c r="F724" s="201">
        <v>3</v>
      </c>
      <c r="G724" s="203">
        <v>44727</v>
      </c>
    </row>
    <row r="725" spans="2:7">
      <c r="C725" s="228" t="s">
        <v>549</v>
      </c>
      <c r="D725" s="228" t="s">
        <v>1580</v>
      </c>
      <c r="E725" s="201">
        <v>7</v>
      </c>
      <c r="F725" s="201">
        <v>0.7142857142857143</v>
      </c>
      <c r="G725" s="203">
        <v>43046</v>
      </c>
    </row>
    <row r="726" spans="2:7">
      <c r="B726" s="246"/>
      <c r="C726" s="247" t="s">
        <v>402</v>
      </c>
      <c r="D726" s="247" t="s">
        <v>3022</v>
      </c>
      <c r="E726" s="201">
        <v>120</v>
      </c>
      <c r="F726" s="201">
        <f t="shared" ref="F726:F2054" si="2">90/8</f>
        <v>11.25</v>
      </c>
      <c r="G726" s="203">
        <v>44602</v>
      </c>
    </row>
    <row r="727" spans="2:7">
      <c r="B727" s="246"/>
      <c r="C727" s="249" t="s">
        <v>544</v>
      </c>
      <c r="D727" s="249" t="s">
        <v>1613</v>
      </c>
      <c r="E727" s="201">
        <v>57</v>
      </c>
      <c r="F727" s="201">
        <v>6</v>
      </c>
      <c r="G727" s="203">
        <v>44508</v>
      </c>
    </row>
    <row r="728" spans="2:7">
      <c r="B728" s="246"/>
      <c r="C728" s="253" t="s">
        <v>565</v>
      </c>
      <c r="D728" s="253" t="s">
        <v>3715</v>
      </c>
      <c r="E728" s="201">
        <v>38</v>
      </c>
      <c r="F728" s="201">
        <f>20/6</f>
        <v>3.3333333333333335</v>
      </c>
      <c r="G728" s="203">
        <v>43104</v>
      </c>
    </row>
    <row r="729" spans="2:7">
      <c r="G729" s="203"/>
    </row>
    <row r="730" spans="2:7">
      <c r="B730" s="64" t="s">
        <v>1327</v>
      </c>
      <c r="C730" s="191" t="s">
        <v>491</v>
      </c>
      <c r="D730" s="191" t="s">
        <v>759</v>
      </c>
      <c r="E730" s="188"/>
      <c r="F730" s="188">
        <f>SUM(F731:F737)</f>
        <v>28.683333333333334</v>
      </c>
      <c r="G730" s="202">
        <f>G734</f>
        <v>44861</v>
      </c>
    </row>
    <row r="731" spans="2:7">
      <c r="C731" s="200" t="s">
        <v>544</v>
      </c>
      <c r="D731" s="200" t="s">
        <v>672</v>
      </c>
      <c r="E731" s="201">
        <v>25</v>
      </c>
      <c r="F731" s="201">
        <f>15/4</f>
        <v>3.75</v>
      </c>
      <c r="G731" s="203">
        <v>44615</v>
      </c>
    </row>
    <row r="732" spans="2:7">
      <c r="C732" s="200" t="s">
        <v>549</v>
      </c>
      <c r="D732" s="200" t="s">
        <v>672</v>
      </c>
      <c r="E732" s="201">
        <v>5</v>
      </c>
      <c r="F732" s="201">
        <v>2</v>
      </c>
      <c r="G732" s="203">
        <v>44292</v>
      </c>
    </row>
    <row r="733" spans="2:7">
      <c r="C733" s="225" t="s">
        <v>549</v>
      </c>
      <c r="D733" s="225" t="s">
        <v>597</v>
      </c>
      <c r="E733" s="201">
        <v>9</v>
      </c>
      <c r="F733" s="201">
        <v>2</v>
      </c>
      <c r="G733" s="203">
        <v>44859</v>
      </c>
    </row>
    <row r="734" spans="2:7">
      <c r="C734" s="249" t="s">
        <v>402</v>
      </c>
      <c r="D734" s="249" t="s">
        <v>1357</v>
      </c>
      <c r="E734" s="201">
        <v>22</v>
      </c>
      <c r="F734" s="201">
        <v>5</v>
      </c>
      <c r="G734" s="203">
        <v>44861</v>
      </c>
    </row>
    <row r="735" spans="2:7">
      <c r="C735" s="249" t="s">
        <v>544</v>
      </c>
      <c r="D735" s="249" t="s">
        <v>1357</v>
      </c>
      <c r="E735" s="201">
        <v>15</v>
      </c>
      <c r="F735" s="201">
        <v>9</v>
      </c>
      <c r="G735" s="203">
        <v>44487</v>
      </c>
    </row>
    <row r="736" spans="2:7">
      <c r="C736" s="273" t="s">
        <v>544</v>
      </c>
      <c r="D736" s="273" t="s">
        <v>1760</v>
      </c>
      <c r="E736" s="201">
        <v>13</v>
      </c>
      <c r="F736" s="201">
        <f>+E736/3</f>
        <v>4.333333333333333</v>
      </c>
      <c r="G736" s="203">
        <v>44453</v>
      </c>
    </row>
    <row r="737" spans="2:18">
      <c r="C737" s="273" t="s">
        <v>549</v>
      </c>
      <c r="D737" s="273" t="s">
        <v>1760</v>
      </c>
      <c r="E737" s="201">
        <v>6.2</v>
      </c>
      <c r="F737" s="201">
        <v>2.6</v>
      </c>
      <c r="G737" s="203">
        <v>44201</v>
      </c>
    </row>
    <row r="738" spans="2:18">
      <c r="G738" s="203"/>
    </row>
    <row r="739" spans="2:18" s="64" customFormat="1">
      <c r="B739" s="64" t="s">
        <v>1322</v>
      </c>
      <c r="C739" s="191" t="s">
        <v>491</v>
      </c>
      <c r="D739" s="191" t="s">
        <v>759</v>
      </c>
      <c r="E739" s="188"/>
      <c r="F739" s="188">
        <f>SUM(F740:F742)</f>
        <v>27</v>
      </c>
      <c r="G739" s="202">
        <f>G740</f>
        <v>44636</v>
      </c>
      <c r="M739" s="191"/>
      <c r="N739" s="191"/>
      <c r="O739" s="191"/>
      <c r="P739" s="191"/>
      <c r="Q739" s="191"/>
      <c r="R739" s="191"/>
    </row>
    <row r="740" spans="2:18">
      <c r="C740" s="200" t="s">
        <v>402</v>
      </c>
      <c r="D740" s="200" t="s">
        <v>671</v>
      </c>
      <c r="E740" s="201">
        <v>25</v>
      </c>
      <c r="F740" s="201">
        <v>3</v>
      </c>
      <c r="G740" s="203">
        <v>44636</v>
      </c>
    </row>
    <row r="741" spans="2:18">
      <c r="C741" s="200" t="s">
        <v>544</v>
      </c>
      <c r="D741" s="200" t="s">
        <v>671</v>
      </c>
      <c r="E741" s="201">
        <v>12</v>
      </c>
      <c r="F741" s="201">
        <v>2</v>
      </c>
      <c r="G741" s="203">
        <v>44179</v>
      </c>
    </row>
    <row r="742" spans="2:18">
      <c r="C742" s="228" t="s">
        <v>813</v>
      </c>
      <c r="D742" s="228" t="s">
        <v>2441</v>
      </c>
      <c r="E742" s="201">
        <v>270</v>
      </c>
      <c r="F742" s="201">
        <v>22</v>
      </c>
      <c r="G742" s="203">
        <v>44152</v>
      </c>
    </row>
    <row r="743" spans="2:18">
      <c r="C743" s="253" t="s">
        <v>565</v>
      </c>
      <c r="D743" s="253" t="s">
        <v>3715</v>
      </c>
      <c r="E743" s="201">
        <v>38</v>
      </c>
      <c r="F743" s="201">
        <v>6</v>
      </c>
      <c r="G743" s="203">
        <v>43104</v>
      </c>
    </row>
    <row r="744" spans="2:18">
      <c r="G744" s="203"/>
    </row>
    <row r="745" spans="2:18">
      <c r="B745" s="64" t="s">
        <v>1601</v>
      </c>
      <c r="C745" s="191" t="s">
        <v>491</v>
      </c>
      <c r="D745" s="191" t="s">
        <v>759</v>
      </c>
      <c r="E745" s="188"/>
      <c r="F745" s="188">
        <f>SUM(F746:F751)</f>
        <v>23.566666666666666</v>
      </c>
      <c r="G745" s="202">
        <f>G746</f>
        <v>45069</v>
      </c>
    </row>
    <row r="746" spans="2:18">
      <c r="B746" s="210"/>
      <c r="C746" s="211" t="s">
        <v>549</v>
      </c>
      <c r="D746" s="211" t="s">
        <v>571</v>
      </c>
      <c r="E746" s="201">
        <v>5.3</v>
      </c>
      <c r="F746" s="201">
        <v>2</v>
      </c>
      <c r="G746" s="203">
        <v>45069</v>
      </c>
    </row>
    <row r="747" spans="2:18">
      <c r="B747" s="210"/>
      <c r="C747" s="225" t="s">
        <v>565</v>
      </c>
      <c r="D747" s="225" t="s">
        <v>2162</v>
      </c>
      <c r="E747" s="201">
        <v>125</v>
      </c>
      <c r="F747" s="201">
        <v>9</v>
      </c>
      <c r="G747" s="203">
        <v>44663</v>
      </c>
    </row>
    <row r="748" spans="2:18">
      <c r="B748" s="210"/>
      <c r="C748" s="225" t="s">
        <v>402</v>
      </c>
      <c r="D748" s="225" t="s">
        <v>2162</v>
      </c>
      <c r="E748" s="201">
        <v>54</v>
      </c>
      <c r="F748" s="201">
        <f>40/6</f>
        <v>6.666666666666667</v>
      </c>
      <c r="G748" s="203">
        <v>44089</v>
      </c>
    </row>
    <row r="749" spans="2:18">
      <c r="B749" s="210"/>
      <c r="C749" s="225" t="s">
        <v>544</v>
      </c>
      <c r="D749" s="225" t="s">
        <v>2162</v>
      </c>
      <c r="E749" s="201">
        <v>26</v>
      </c>
      <c r="F749" s="201">
        <v>4</v>
      </c>
      <c r="G749" s="203">
        <v>43809</v>
      </c>
    </row>
    <row r="750" spans="2:18">
      <c r="B750" s="210"/>
      <c r="C750" s="225" t="s">
        <v>544</v>
      </c>
      <c r="D750" s="225" t="s">
        <v>2162</v>
      </c>
      <c r="E750" s="201">
        <v>8</v>
      </c>
      <c r="F750" s="201">
        <v>1</v>
      </c>
      <c r="G750" s="203">
        <v>43249</v>
      </c>
    </row>
    <row r="751" spans="2:18">
      <c r="B751" s="210"/>
      <c r="C751" s="225" t="s">
        <v>544</v>
      </c>
      <c r="D751" s="225" t="s">
        <v>2162</v>
      </c>
      <c r="E751" s="201">
        <v>0.9</v>
      </c>
      <c r="F751" s="201">
        <v>0.9</v>
      </c>
      <c r="G751" s="203">
        <v>42951</v>
      </c>
    </row>
    <row r="752" spans="2:18">
      <c r="B752" s="210"/>
      <c r="C752" s="225" t="s">
        <v>544</v>
      </c>
      <c r="D752" s="225" t="s">
        <v>587</v>
      </c>
      <c r="E752" s="201">
        <v>20</v>
      </c>
      <c r="F752" s="201">
        <v>5</v>
      </c>
      <c r="G752" s="203">
        <v>44671</v>
      </c>
    </row>
    <row r="753" spans="2:11">
      <c r="B753" s="210"/>
      <c r="C753" s="211"/>
      <c r="D753" s="211"/>
      <c r="G753" s="203"/>
      <c r="I753" s="227"/>
      <c r="J753" s="227"/>
      <c r="K753" s="227"/>
    </row>
    <row r="754" spans="2:11">
      <c r="B754" s="64" t="s">
        <v>829</v>
      </c>
      <c r="C754" s="191" t="s">
        <v>491</v>
      </c>
      <c r="D754" s="191" t="s">
        <v>759</v>
      </c>
      <c r="E754" s="188"/>
      <c r="F754" s="188">
        <f>SUM(F755:F762)</f>
        <v>23.5</v>
      </c>
      <c r="G754" s="202">
        <f>+G760</f>
        <v>44398</v>
      </c>
    </row>
    <row r="755" spans="2:11">
      <c r="C755" s="200" t="s">
        <v>669</v>
      </c>
      <c r="D755" s="200" t="s">
        <v>420</v>
      </c>
      <c r="E755" s="201">
        <v>1</v>
      </c>
      <c r="F755" s="201">
        <v>0.5</v>
      </c>
      <c r="G755" s="203">
        <v>44287</v>
      </c>
    </row>
    <row r="756" spans="2:11">
      <c r="C756" s="200" t="s">
        <v>544</v>
      </c>
      <c r="D756" s="200" t="s">
        <v>864</v>
      </c>
      <c r="E756" s="201">
        <v>8.5</v>
      </c>
      <c r="F756" s="201">
        <v>1</v>
      </c>
      <c r="G756" s="203">
        <v>44181</v>
      </c>
    </row>
    <row r="757" spans="2:11">
      <c r="C757" s="200" t="s">
        <v>544</v>
      </c>
      <c r="D757" s="200" t="s">
        <v>684</v>
      </c>
      <c r="E757" s="201">
        <v>20</v>
      </c>
      <c r="F757" s="201">
        <f>10/4</f>
        <v>2.5</v>
      </c>
      <c r="G757" s="203">
        <v>44392</v>
      </c>
    </row>
    <row r="758" spans="2:11">
      <c r="C758" s="200" t="s">
        <v>549</v>
      </c>
      <c r="D758" s="200" t="s">
        <v>692</v>
      </c>
      <c r="E758" s="201">
        <v>4.5</v>
      </c>
      <c r="F758" s="201">
        <v>0.5</v>
      </c>
      <c r="G758" s="203">
        <v>44293</v>
      </c>
    </row>
    <row r="759" spans="2:11">
      <c r="C759" s="225" t="s">
        <v>402</v>
      </c>
      <c r="D759" s="225" t="s">
        <v>442</v>
      </c>
      <c r="E759" s="201">
        <v>54</v>
      </c>
      <c r="F759" s="201">
        <f>40/5</f>
        <v>8</v>
      </c>
      <c r="G759" s="203">
        <v>44089</v>
      </c>
    </row>
    <row r="760" spans="2:11">
      <c r="C760" s="228" t="s">
        <v>402</v>
      </c>
      <c r="D760" s="228" t="s">
        <v>1521</v>
      </c>
      <c r="E760" s="201">
        <v>90</v>
      </c>
      <c r="F760" s="201">
        <v>6</v>
      </c>
      <c r="G760" s="203">
        <v>44398</v>
      </c>
    </row>
    <row r="761" spans="2:11">
      <c r="C761" s="238" t="s">
        <v>402</v>
      </c>
      <c r="D761" s="238" t="s">
        <v>2754</v>
      </c>
      <c r="E761" s="201">
        <v>32</v>
      </c>
      <c r="F761" s="201">
        <v>3</v>
      </c>
      <c r="G761" s="203">
        <v>44364</v>
      </c>
    </row>
    <row r="762" spans="2:11">
      <c r="C762" s="253" t="s">
        <v>544</v>
      </c>
      <c r="D762" s="253" t="s">
        <v>1655</v>
      </c>
      <c r="E762" s="201">
        <v>15</v>
      </c>
      <c r="F762" s="201">
        <v>2</v>
      </c>
      <c r="G762" s="203">
        <v>44314</v>
      </c>
    </row>
    <row r="764" spans="2:11">
      <c r="B764" s="64" t="s">
        <v>962</v>
      </c>
      <c r="C764" s="191" t="s">
        <v>491</v>
      </c>
      <c r="D764" s="191" t="s">
        <v>759</v>
      </c>
      <c r="F764" s="188">
        <f>+F765+F766</f>
        <v>23.333333333333336</v>
      </c>
      <c r="G764" s="202">
        <f>+G765</f>
        <v>44699</v>
      </c>
      <c r="I764" s="227" t="s">
        <v>496</v>
      </c>
      <c r="J764" s="227" t="s">
        <v>496</v>
      </c>
      <c r="K764" s="227" t="s">
        <v>496</v>
      </c>
    </row>
    <row r="765" spans="2:11">
      <c r="C765" s="200" t="s">
        <v>565</v>
      </c>
      <c r="D765" s="200" t="s">
        <v>423</v>
      </c>
      <c r="E765" s="201">
        <v>100</v>
      </c>
      <c r="F765" s="201">
        <v>15</v>
      </c>
      <c r="G765" s="203">
        <v>44699</v>
      </c>
    </row>
    <row r="766" spans="2:11">
      <c r="C766" s="200" t="s">
        <v>402</v>
      </c>
      <c r="D766" s="200" t="s">
        <v>423</v>
      </c>
      <c r="E766" s="201">
        <v>100</v>
      </c>
      <c r="F766" s="201">
        <f>25/3</f>
        <v>8.3333333333333339</v>
      </c>
      <c r="G766" s="203">
        <v>44286</v>
      </c>
    </row>
    <row r="767" spans="2:11">
      <c r="G767" s="203"/>
    </row>
    <row r="768" spans="2:11">
      <c r="B768" s="64" t="s">
        <v>802</v>
      </c>
      <c r="C768" s="191" t="s">
        <v>491</v>
      </c>
      <c r="D768" s="191" t="s">
        <v>759</v>
      </c>
      <c r="F768" s="188">
        <f>SUM(F769:F775)</f>
        <v>22.866666666666667</v>
      </c>
      <c r="G768" s="202">
        <f>G769</f>
        <v>44690</v>
      </c>
    </row>
    <row r="769" spans="2:7">
      <c r="C769" s="200" t="s">
        <v>565</v>
      </c>
      <c r="D769" s="200" t="s">
        <v>797</v>
      </c>
      <c r="E769" s="201">
        <v>100</v>
      </c>
      <c r="F769" s="201">
        <v>9</v>
      </c>
      <c r="G769" s="203">
        <v>44690</v>
      </c>
    </row>
    <row r="770" spans="2:7">
      <c r="C770" s="200" t="s">
        <v>402</v>
      </c>
      <c r="D770" s="200" t="s">
        <v>797</v>
      </c>
      <c r="E770" s="201">
        <v>40</v>
      </c>
      <c r="F770" s="201">
        <f>20/3</f>
        <v>6.666666666666667</v>
      </c>
      <c r="G770" s="203">
        <v>44327</v>
      </c>
    </row>
    <row r="771" spans="2:7">
      <c r="C771" s="200" t="s">
        <v>544</v>
      </c>
      <c r="D771" s="200" t="s">
        <v>797</v>
      </c>
      <c r="E771" s="201">
        <v>15</v>
      </c>
      <c r="F771" s="201">
        <v>3</v>
      </c>
      <c r="G771" s="203">
        <v>43816</v>
      </c>
    </row>
    <row r="772" spans="2:7">
      <c r="C772" s="200" t="s">
        <v>549</v>
      </c>
      <c r="D772" s="200" t="s">
        <v>797</v>
      </c>
      <c r="E772" s="201">
        <v>4</v>
      </c>
      <c r="F772" s="201">
        <v>1</v>
      </c>
      <c r="G772" s="203">
        <v>43243</v>
      </c>
    </row>
    <row r="773" spans="2:7">
      <c r="C773" s="200" t="s">
        <v>810</v>
      </c>
      <c r="D773" s="200" t="s">
        <v>797</v>
      </c>
      <c r="E773" s="201">
        <v>1.2</v>
      </c>
      <c r="F773" s="201">
        <v>0.2</v>
      </c>
      <c r="G773" s="203">
        <v>42799</v>
      </c>
    </row>
    <row r="774" spans="2:7">
      <c r="C774" s="220" t="s">
        <v>544</v>
      </c>
      <c r="D774" s="220" t="s">
        <v>712</v>
      </c>
      <c r="E774" s="201">
        <v>13</v>
      </c>
      <c r="F774" s="201">
        <v>2</v>
      </c>
      <c r="G774" s="203">
        <v>44642</v>
      </c>
    </row>
    <row r="775" spans="2:7">
      <c r="C775" s="220" t="s">
        <v>549</v>
      </c>
      <c r="D775" s="220" t="s">
        <v>712</v>
      </c>
      <c r="E775" s="201">
        <v>3.5</v>
      </c>
      <c r="F775" s="201">
        <v>1</v>
      </c>
      <c r="G775" s="203">
        <v>44124</v>
      </c>
    </row>
    <row r="776" spans="2:7">
      <c r="C776" s="228" t="s">
        <v>549</v>
      </c>
      <c r="D776" s="228" t="s">
        <v>2483</v>
      </c>
      <c r="E776" s="201">
        <v>2</v>
      </c>
      <c r="F776" s="201">
        <v>0.5</v>
      </c>
      <c r="G776" s="203">
        <v>43876</v>
      </c>
    </row>
    <row r="777" spans="2:7">
      <c r="G777" s="203"/>
    </row>
    <row r="778" spans="2:7">
      <c r="B778" s="64" t="s">
        <v>982</v>
      </c>
      <c r="C778" s="191" t="s">
        <v>491</v>
      </c>
      <c r="D778" s="191" t="s">
        <v>759</v>
      </c>
      <c r="E778" s="188"/>
      <c r="F778" s="188">
        <f>SUM(F779:F780)</f>
        <v>23</v>
      </c>
      <c r="G778" s="202">
        <f>G779</f>
        <v>44796</v>
      </c>
    </row>
    <row r="779" spans="2:7">
      <c r="C779" s="200" t="s">
        <v>980</v>
      </c>
      <c r="D779" s="200" t="s">
        <v>616</v>
      </c>
      <c r="E779" s="201">
        <v>99</v>
      </c>
      <c r="F779" s="201">
        <v>20</v>
      </c>
      <c r="G779" s="203">
        <v>44796</v>
      </c>
    </row>
    <row r="780" spans="2:7">
      <c r="C780" s="218" t="s">
        <v>544</v>
      </c>
      <c r="D780" s="218" t="s">
        <v>581</v>
      </c>
      <c r="E780" s="201">
        <v>29</v>
      </c>
      <c r="F780" s="201">
        <v>3</v>
      </c>
      <c r="G780" s="203">
        <v>44783</v>
      </c>
    </row>
    <row r="781" spans="2:7">
      <c r="C781" s="218"/>
      <c r="D781" s="218"/>
      <c r="G781" s="203"/>
    </row>
    <row r="782" spans="2:7">
      <c r="B782" s="64" t="s">
        <v>1042</v>
      </c>
      <c r="C782" s="191" t="s">
        <v>491</v>
      </c>
      <c r="D782" s="191" t="s">
        <v>759</v>
      </c>
      <c r="F782" s="188">
        <f>SUM(F783:F786)</f>
        <v>22.666666666666668</v>
      </c>
      <c r="G782" s="202">
        <f>G783</f>
        <v>45036</v>
      </c>
    </row>
    <row r="783" spans="2:7">
      <c r="C783" s="200" t="s">
        <v>402</v>
      </c>
      <c r="D783" s="200" t="s">
        <v>623</v>
      </c>
      <c r="E783" s="201">
        <v>50</v>
      </c>
      <c r="F783" s="201">
        <v>6</v>
      </c>
      <c r="G783" s="203">
        <v>45036</v>
      </c>
    </row>
    <row r="784" spans="2:7">
      <c r="C784" s="200" t="s">
        <v>402</v>
      </c>
      <c r="D784" s="200" t="s">
        <v>652</v>
      </c>
      <c r="E784" s="201">
        <v>38</v>
      </c>
      <c r="F784" s="201">
        <f>20/3</f>
        <v>6.666666666666667</v>
      </c>
      <c r="G784" s="203">
        <v>44812</v>
      </c>
    </row>
    <row r="785" spans="2:18">
      <c r="C785" s="200" t="s">
        <v>544</v>
      </c>
      <c r="D785" s="200" t="s">
        <v>652</v>
      </c>
      <c r="E785" s="201">
        <v>19</v>
      </c>
      <c r="F785" s="201">
        <v>7</v>
      </c>
      <c r="G785" s="203">
        <v>44467</v>
      </c>
    </row>
    <row r="786" spans="2:18">
      <c r="C786" s="225" t="s">
        <v>544</v>
      </c>
      <c r="D786" s="225" t="s">
        <v>502</v>
      </c>
      <c r="E786" s="201">
        <v>14.5</v>
      </c>
      <c r="F786" s="201">
        <v>3</v>
      </c>
      <c r="G786" s="203">
        <v>43389</v>
      </c>
    </row>
    <row r="787" spans="2:18">
      <c r="G787" s="203"/>
    </row>
    <row r="788" spans="2:18" s="64" customFormat="1">
      <c r="B788" s="64" t="s">
        <v>1743</v>
      </c>
      <c r="C788" s="191" t="s">
        <v>491</v>
      </c>
      <c r="D788" s="191" t="s">
        <v>759</v>
      </c>
      <c r="E788" s="188"/>
      <c r="F788" s="188">
        <f>SUM(F789:F794)</f>
        <v>23.4</v>
      </c>
      <c r="G788" s="202">
        <f>+G789</f>
        <v>44698</v>
      </c>
      <c r="M788" s="191"/>
      <c r="N788" s="191"/>
      <c r="O788" s="191"/>
      <c r="P788" s="191"/>
      <c r="Q788" s="191"/>
      <c r="R788" s="191"/>
    </row>
    <row r="789" spans="2:18">
      <c r="B789" s="219"/>
      <c r="C789" s="220" t="s">
        <v>544</v>
      </c>
      <c r="D789" s="220" t="s">
        <v>711</v>
      </c>
      <c r="E789" s="201">
        <v>12.8</v>
      </c>
      <c r="F789" s="201">
        <v>3</v>
      </c>
      <c r="G789" s="203">
        <v>44698</v>
      </c>
    </row>
    <row r="790" spans="2:18">
      <c r="B790" s="219"/>
      <c r="C790" s="220" t="s">
        <v>549</v>
      </c>
      <c r="D790" s="220" t="s">
        <v>711</v>
      </c>
      <c r="E790" s="201">
        <v>5.5</v>
      </c>
      <c r="F790" s="201">
        <v>1</v>
      </c>
      <c r="G790" s="203">
        <v>44488</v>
      </c>
    </row>
    <row r="791" spans="2:18">
      <c r="B791" s="219"/>
      <c r="C791" s="220" t="s">
        <v>549</v>
      </c>
      <c r="D791" s="220" t="s">
        <v>715</v>
      </c>
      <c r="E791" s="201">
        <v>8</v>
      </c>
      <c r="F791" s="201">
        <v>1</v>
      </c>
      <c r="G791" s="203">
        <v>44677</v>
      </c>
    </row>
    <row r="792" spans="2:18">
      <c r="B792" s="219"/>
      <c r="C792" s="228" t="s">
        <v>402</v>
      </c>
      <c r="D792" s="228" t="s">
        <v>1521</v>
      </c>
      <c r="E792" s="201">
        <v>90</v>
      </c>
      <c r="F792" s="201">
        <v>6</v>
      </c>
      <c r="G792" s="229">
        <v>44398</v>
      </c>
    </row>
    <row r="793" spans="2:18">
      <c r="B793" s="219"/>
      <c r="C793" s="228" t="s">
        <v>544</v>
      </c>
      <c r="D793" s="228" t="s">
        <v>1521</v>
      </c>
      <c r="E793" s="201">
        <v>22.8</v>
      </c>
      <c r="F793" s="201">
        <v>6.4</v>
      </c>
      <c r="G793" s="229">
        <v>43160</v>
      </c>
    </row>
    <row r="794" spans="2:18">
      <c r="B794" s="219"/>
      <c r="C794" s="249" t="s">
        <v>544</v>
      </c>
      <c r="D794" s="249" t="s">
        <v>1613</v>
      </c>
      <c r="E794" s="201">
        <v>57</v>
      </c>
      <c r="F794" s="201">
        <v>6</v>
      </c>
      <c r="G794" s="229">
        <v>44508</v>
      </c>
    </row>
    <row r="795" spans="2:18">
      <c r="B795" s="219"/>
      <c r="C795" s="220"/>
      <c r="D795" s="220"/>
      <c r="G795" s="203"/>
    </row>
    <row r="796" spans="2:18" s="64" customFormat="1">
      <c r="B796" s="64" t="s">
        <v>858</v>
      </c>
      <c r="C796" s="191" t="s">
        <v>491</v>
      </c>
      <c r="D796" s="191" t="s">
        <v>759</v>
      </c>
      <c r="E796" s="188"/>
      <c r="F796" s="188">
        <f>SUM(F797:F800)</f>
        <v>22.83</v>
      </c>
      <c r="G796" s="202">
        <f>G798</f>
        <v>44419</v>
      </c>
      <c r="M796" s="191"/>
      <c r="N796" s="191"/>
      <c r="O796" s="191"/>
      <c r="P796" s="191"/>
      <c r="Q796" s="191"/>
      <c r="R796" s="191"/>
    </row>
    <row r="797" spans="2:18">
      <c r="C797" s="200" t="s">
        <v>544</v>
      </c>
      <c r="D797" s="200" t="s">
        <v>850</v>
      </c>
      <c r="E797" s="201">
        <v>5</v>
      </c>
      <c r="F797" s="201">
        <v>1</v>
      </c>
      <c r="G797" s="203">
        <v>43251</v>
      </c>
    </row>
    <row r="798" spans="2:18">
      <c r="C798" s="225" t="s">
        <v>755</v>
      </c>
      <c r="D798" s="225" t="s">
        <v>445</v>
      </c>
      <c r="E798" s="201">
        <v>100</v>
      </c>
      <c r="F798" s="201">
        <f>50/4</f>
        <v>12.5</v>
      </c>
      <c r="G798" s="203">
        <v>44419</v>
      </c>
    </row>
    <row r="799" spans="2:18">
      <c r="C799" s="228" t="s">
        <v>402</v>
      </c>
      <c r="D799" s="228" t="s">
        <v>1521</v>
      </c>
      <c r="E799" s="201">
        <v>90</v>
      </c>
      <c r="F799" s="201">
        <v>6</v>
      </c>
      <c r="G799" s="203">
        <v>44398</v>
      </c>
    </row>
    <row r="800" spans="2:18">
      <c r="C800" s="228" t="s">
        <v>544</v>
      </c>
      <c r="D800" s="228" t="s">
        <v>1521</v>
      </c>
      <c r="E800" s="201">
        <v>22.8</v>
      </c>
      <c r="F800" s="201">
        <v>3.33</v>
      </c>
      <c r="G800" s="203">
        <v>43160</v>
      </c>
    </row>
    <row r="801" spans="2:18">
      <c r="G801" s="203"/>
    </row>
    <row r="802" spans="2:18" s="64" customFormat="1">
      <c r="B802" s="64" t="s">
        <v>1667</v>
      </c>
      <c r="C802" s="191" t="s">
        <v>491</v>
      </c>
      <c r="D802" s="191" t="s">
        <v>759</v>
      </c>
      <c r="E802" s="188"/>
      <c r="F802" s="188">
        <f>SUM(F803:F809)</f>
        <v>21.549999999999997</v>
      </c>
      <c r="G802" s="202">
        <f>G803</f>
        <v>44952</v>
      </c>
    </row>
    <row r="803" spans="2:18">
      <c r="B803" s="210"/>
      <c r="C803" s="211" t="s">
        <v>544</v>
      </c>
      <c r="D803" s="211" t="s">
        <v>578</v>
      </c>
      <c r="E803" s="201">
        <v>12.7</v>
      </c>
      <c r="F803" s="201">
        <f>8/5</f>
        <v>1.6</v>
      </c>
      <c r="G803" s="203">
        <v>44952</v>
      </c>
      <c r="M803" s="199"/>
      <c r="N803" s="199"/>
      <c r="O803" s="199"/>
      <c r="P803" s="199"/>
      <c r="Q803" s="199"/>
      <c r="R803" s="199"/>
    </row>
    <row r="804" spans="2:18">
      <c r="B804" s="210"/>
      <c r="C804" s="225" t="s">
        <v>565</v>
      </c>
      <c r="D804" s="225" t="s">
        <v>441</v>
      </c>
      <c r="E804" s="201">
        <v>48</v>
      </c>
      <c r="F804" s="201">
        <v>4</v>
      </c>
      <c r="G804" s="203">
        <v>43888</v>
      </c>
      <c r="M804" s="199"/>
      <c r="N804" s="199"/>
      <c r="O804" s="199"/>
      <c r="P804" s="199"/>
      <c r="Q804" s="199"/>
      <c r="R804" s="199"/>
    </row>
    <row r="805" spans="2:18">
      <c r="B805" s="210"/>
      <c r="C805" s="225" t="s">
        <v>402</v>
      </c>
      <c r="D805" s="225" t="s">
        <v>441</v>
      </c>
      <c r="E805" s="201">
        <v>25</v>
      </c>
      <c r="F805" s="201">
        <v>5</v>
      </c>
      <c r="G805" s="203">
        <v>43440</v>
      </c>
      <c r="M805" s="199"/>
      <c r="N805" s="199"/>
      <c r="O805" s="199"/>
      <c r="P805" s="199"/>
      <c r="Q805" s="199"/>
      <c r="R805" s="199"/>
    </row>
    <row r="806" spans="2:18">
      <c r="C806" s="225" t="s">
        <v>544</v>
      </c>
      <c r="D806" s="225" t="s">
        <v>441</v>
      </c>
      <c r="E806" s="201">
        <v>5.8</v>
      </c>
      <c r="F806" s="201">
        <f>E806/4</f>
        <v>1.45</v>
      </c>
      <c r="G806" s="203">
        <v>43117</v>
      </c>
      <c r="M806" s="199"/>
      <c r="N806" s="199"/>
      <c r="O806" s="199"/>
      <c r="P806" s="199"/>
      <c r="Q806" s="199"/>
      <c r="R806" s="199"/>
    </row>
    <row r="807" spans="2:18">
      <c r="C807" s="225" t="s">
        <v>549</v>
      </c>
      <c r="D807" s="225" t="s">
        <v>441</v>
      </c>
      <c r="E807" s="201">
        <v>3.3</v>
      </c>
      <c r="F807" s="201">
        <v>0.5</v>
      </c>
      <c r="G807" s="203">
        <v>42678</v>
      </c>
      <c r="M807" s="199"/>
      <c r="N807" s="199"/>
      <c r="O807" s="199"/>
      <c r="P807" s="199"/>
      <c r="Q807" s="199"/>
      <c r="R807" s="199"/>
    </row>
    <row r="808" spans="2:18">
      <c r="C808" s="253" t="s">
        <v>544</v>
      </c>
      <c r="D808" s="253" t="s">
        <v>1663</v>
      </c>
      <c r="E808" s="201">
        <v>30</v>
      </c>
      <c r="F808" s="201">
        <f>20/5</f>
        <v>4</v>
      </c>
      <c r="G808" s="203">
        <v>44474</v>
      </c>
      <c r="M808" s="199"/>
      <c r="N808" s="199"/>
      <c r="O808" s="199"/>
      <c r="P808" s="199"/>
      <c r="Q808" s="199"/>
      <c r="R808" s="199"/>
    </row>
    <row r="809" spans="2:18">
      <c r="C809" s="253" t="s">
        <v>549</v>
      </c>
      <c r="D809" s="253" t="s">
        <v>1663</v>
      </c>
      <c r="E809" s="201">
        <v>15</v>
      </c>
      <c r="F809" s="201">
        <v>5</v>
      </c>
      <c r="G809" s="203">
        <v>43775</v>
      </c>
      <c r="M809" s="199"/>
      <c r="N809" s="199"/>
      <c r="O809" s="199"/>
      <c r="P809" s="199"/>
      <c r="Q809" s="199"/>
      <c r="R809" s="199"/>
    </row>
    <row r="810" spans="2:18">
      <c r="C810" s="273" t="s">
        <v>544</v>
      </c>
      <c r="D810" s="273" t="s">
        <v>1828</v>
      </c>
      <c r="E810" s="201">
        <v>112</v>
      </c>
      <c r="F810" s="201">
        <v>9</v>
      </c>
      <c r="G810" s="203">
        <v>43115</v>
      </c>
      <c r="M810" s="199"/>
      <c r="N810" s="199"/>
      <c r="O810" s="199"/>
      <c r="P810" s="199"/>
      <c r="Q810" s="199"/>
      <c r="R810" s="199"/>
    </row>
    <row r="811" spans="2:18">
      <c r="B811" s="210"/>
      <c r="C811" s="225"/>
      <c r="D811" s="225"/>
      <c r="G811" s="203"/>
      <c r="M811" s="199"/>
      <c r="N811" s="199"/>
      <c r="O811" s="199"/>
      <c r="P811" s="199"/>
      <c r="Q811" s="199"/>
      <c r="R811" s="199"/>
    </row>
    <row r="812" spans="2:18" s="64" customFormat="1">
      <c r="B812" s="64" t="s">
        <v>1075</v>
      </c>
      <c r="C812" s="191" t="s">
        <v>491</v>
      </c>
      <c r="D812" s="191" t="s">
        <v>759</v>
      </c>
      <c r="E812" s="188"/>
      <c r="F812" s="188">
        <f>SUM(F813:F816)</f>
        <v>21.633333333333333</v>
      </c>
      <c r="G812" s="202">
        <f>G814</f>
        <v>44882</v>
      </c>
      <c r="M812" s="191"/>
      <c r="N812" s="191"/>
      <c r="O812" s="191"/>
      <c r="P812" s="191"/>
      <c r="Q812" s="191"/>
      <c r="R812" s="191"/>
    </row>
    <row r="813" spans="2:18">
      <c r="C813" s="200" t="s">
        <v>544</v>
      </c>
      <c r="D813" s="200" t="s">
        <v>650</v>
      </c>
      <c r="E813" s="201">
        <v>14</v>
      </c>
      <c r="F813" s="201">
        <f t="shared" ref="F813" si="3">9/5</f>
        <v>1.8</v>
      </c>
      <c r="G813" s="203">
        <v>44131</v>
      </c>
    </row>
    <row r="814" spans="2:18">
      <c r="C814" s="200" t="s">
        <v>549</v>
      </c>
      <c r="D814" s="200" t="s">
        <v>452</v>
      </c>
      <c r="E814" s="201">
        <v>42</v>
      </c>
      <c r="F814" s="201">
        <f>22/3</f>
        <v>7.333333333333333</v>
      </c>
      <c r="G814" s="203">
        <v>44882</v>
      </c>
    </row>
    <row r="815" spans="2:18">
      <c r="C815" s="211" t="s">
        <v>544</v>
      </c>
      <c r="D815" s="211" t="s">
        <v>700</v>
      </c>
      <c r="E815" s="201">
        <v>14.5</v>
      </c>
      <c r="F815" s="201">
        <v>2.5</v>
      </c>
      <c r="G815" s="203">
        <v>44389</v>
      </c>
    </row>
    <row r="816" spans="2:18">
      <c r="C816" s="228" t="s">
        <v>565</v>
      </c>
      <c r="D816" s="228" t="s">
        <v>2441</v>
      </c>
      <c r="E816" s="201">
        <v>67.2</v>
      </c>
      <c r="F816" s="201">
        <v>10</v>
      </c>
      <c r="G816" s="203">
        <v>42943</v>
      </c>
    </row>
    <row r="817" spans="2:18">
      <c r="G817" s="203"/>
    </row>
    <row r="818" spans="2:18">
      <c r="B818" s="64" t="s">
        <v>1084</v>
      </c>
      <c r="C818" s="191" t="s">
        <v>491</v>
      </c>
      <c r="D818" s="191" t="s">
        <v>759</v>
      </c>
      <c r="E818" s="188"/>
      <c r="F818" s="188">
        <f>SUM(F819:F823)</f>
        <v>21.333333333333336</v>
      </c>
      <c r="G818" s="202">
        <f>G823</f>
        <v>45007</v>
      </c>
    </row>
    <row r="819" spans="2:18">
      <c r="C819" s="200" t="s">
        <v>402</v>
      </c>
      <c r="D819" s="200" t="s">
        <v>1083</v>
      </c>
      <c r="E819" s="201">
        <v>50</v>
      </c>
      <c r="F819" s="201">
        <f>25/3</f>
        <v>8.3333333333333339</v>
      </c>
      <c r="G819" s="203">
        <v>44643</v>
      </c>
    </row>
    <row r="820" spans="2:18">
      <c r="C820" s="200" t="s">
        <v>544</v>
      </c>
      <c r="D820" s="200" t="s">
        <v>1083</v>
      </c>
      <c r="E820" s="201">
        <v>18.5</v>
      </c>
      <c r="F820" s="201">
        <f>10/4</f>
        <v>2.5</v>
      </c>
      <c r="G820" s="203">
        <v>44242</v>
      </c>
    </row>
    <row r="821" spans="2:18">
      <c r="C821" s="200" t="s">
        <v>549</v>
      </c>
      <c r="D821" s="200" t="s">
        <v>1083</v>
      </c>
      <c r="E821" s="201">
        <v>3.5</v>
      </c>
      <c r="F821" s="201">
        <v>1.5</v>
      </c>
      <c r="G821" s="203">
        <v>43631</v>
      </c>
    </row>
    <row r="822" spans="2:18">
      <c r="C822" s="200" t="s">
        <v>544</v>
      </c>
      <c r="D822" s="200" t="s">
        <v>672</v>
      </c>
      <c r="E822" s="201">
        <v>25</v>
      </c>
      <c r="F822" s="201">
        <v>4</v>
      </c>
      <c r="G822" s="203">
        <v>44615</v>
      </c>
    </row>
    <row r="823" spans="2:18">
      <c r="C823" s="222" t="s">
        <v>549</v>
      </c>
      <c r="D823" s="222" t="s">
        <v>584</v>
      </c>
      <c r="E823" s="201">
        <v>10.6</v>
      </c>
      <c r="F823" s="201">
        <v>5</v>
      </c>
      <c r="G823" s="203">
        <v>45007</v>
      </c>
    </row>
    <row r="824" spans="2:18">
      <c r="G824" s="203"/>
    </row>
    <row r="825" spans="2:18" s="64" customFormat="1">
      <c r="B825" s="64" t="s">
        <v>2274</v>
      </c>
      <c r="C825" s="191" t="s">
        <v>491</v>
      </c>
      <c r="D825" s="191" t="s">
        <v>759</v>
      </c>
      <c r="E825" s="188"/>
      <c r="F825" s="188">
        <f>SUM(F826:F829)</f>
        <v>21.2</v>
      </c>
      <c r="G825" s="202">
        <f>G826</f>
        <v>45048</v>
      </c>
      <c r="M825" s="191"/>
      <c r="N825" s="191"/>
      <c r="O825" s="191"/>
      <c r="P825" s="191"/>
      <c r="Q825" s="191"/>
      <c r="R825" s="191"/>
    </row>
    <row r="826" spans="2:18">
      <c r="B826" s="224"/>
      <c r="C826" s="225" t="s">
        <v>549</v>
      </c>
      <c r="D826" s="225" t="s">
        <v>2268</v>
      </c>
      <c r="E826" s="201">
        <v>5.6</v>
      </c>
      <c r="F826" s="201">
        <f>E826/3</f>
        <v>1.8666666666666665</v>
      </c>
      <c r="G826" s="203">
        <v>45048</v>
      </c>
    </row>
    <row r="827" spans="2:18">
      <c r="B827" s="224"/>
      <c r="C827" s="225" t="s">
        <v>549</v>
      </c>
      <c r="D827" s="225" t="s">
        <v>502</v>
      </c>
      <c r="E827" s="201">
        <v>4</v>
      </c>
      <c r="F827" s="201">
        <f>4/3</f>
        <v>1.3333333333333333</v>
      </c>
      <c r="G827" s="203">
        <v>42647</v>
      </c>
    </row>
    <row r="828" spans="2:18">
      <c r="B828" s="224"/>
      <c r="C828" s="253" t="s">
        <v>565</v>
      </c>
      <c r="D828" s="253" t="s">
        <v>1632</v>
      </c>
      <c r="E828" s="201">
        <v>110</v>
      </c>
      <c r="F828" s="201">
        <v>14</v>
      </c>
      <c r="G828" s="203">
        <v>44369</v>
      </c>
    </row>
    <row r="829" spans="2:18">
      <c r="B829" s="224"/>
      <c r="C829" s="253" t="s">
        <v>402</v>
      </c>
      <c r="D829" s="253" t="s">
        <v>1632</v>
      </c>
      <c r="E829" s="201">
        <v>40</v>
      </c>
      <c r="F829" s="201">
        <v>4</v>
      </c>
      <c r="G829" s="203">
        <v>43419</v>
      </c>
    </row>
    <row r="830" spans="2:18">
      <c r="B830" s="224"/>
      <c r="C830" s="253" t="s">
        <v>544</v>
      </c>
      <c r="D830" s="253" t="s">
        <v>1632</v>
      </c>
      <c r="E830" s="201">
        <v>14.7</v>
      </c>
      <c r="F830" s="201">
        <v>5.7</v>
      </c>
      <c r="G830" s="203">
        <v>43032</v>
      </c>
    </row>
    <row r="831" spans="2:18">
      <c r="B831" s="224"/>
      <c r="C831" s="225"/>
      <c r="D831" s="225"/>
      <c r="G831" s="203"/>
    </row>
    <row r="832" spans="2:18">
      <c r="B832" s="64" t="s">
        <v>1065</v>
      </c>
      <c r="C832" s="191" t="s">
        <v>491</v>
      </c>
      <c r="D832" s="191" t="s">
        <v>759</v>
      </c>
      <c r="E832" s="188"/>
      <c r="F832" s="188">
        <f>SUM(F833:F838)</f>
        <v>20.8</v>
      </c>
      <c r="G832" s="202">
        <f>G836</f>
        <v>45090</v>
      </c>
    </row>
    <row r="833" spans="2:7">
      <c r="C833" s="200" t="s">
        <v>402</v>
      </c>
      <c r="D833" s="200" t="s">
        <v>649</v>
      </c>
      <c r="E833" s="201">
        <v>40</v>
      </c>
      <c r="F833" s="201">
        <v>5</v>
      </c>
      <c r="G833" s="203">
        <v>44728</v>
      </c>
    </row>
    <row r="834" spans="2:7">
      <c r="C834" s="200" t="s">
        <v>544</v>
      </c>
      <c r="D834" s="200" t="s">
        <v>649</v>
      </c>
      <c r="E834" s="201">
        <v>18.600000000000001</v>
      </c>
      <c r="F834" s="201">
        <f>8.6/2</f>
        <v>4.3</v>
      </c>
      <c r="G834" s="203">
        <v>44112</v>
      </c>
    </row>
    <row r="835" spans="2:7">
      <c r="C835" s="200" t="s">
        <v>549</v>
      </c>
      <c r="D835" s="200" t="s">
        <v>674</v>
      </c>
      <c r="E835" s="201">
        <v>1.5</v>
      </c>
      <c r="F835" s="201">
        <v>0.5</v>
      </c>
      <c r="G835" s="203">
        <v>43979</v>
      </c>
    </row>
    <row r="836" spans="2:7">
      <c r="C836" s="211" t="s">
        <v>549</v>
      </c>
      <c r="D836" s="211" t="s">
        <v>1151</v>
      </c>
      <c r="E836" s="201">
        <v>113</v>
      </c>
      <c r="F836" s="201">
        <v>8</v>
      </c>
      <c r="G836" s="203">
        <v>45090</v>
      </c>
    </row>
    <row r="837" spans="2:7">
      <c r="C837" s="225" t="s">
        <v>544</v>
      </c>
      <c r="D837" s="225" t="s">
        <v>593</v>
      </c>
      <c r="E837" s="201">
        <v>20</v>
      </c>
      <c r="F837" s="201">
        <f>15/6</f>
        <v>2.5</v>
      </c>
      <c r="G837" s="203">
        <v>44801</v>
      </c>
    </row>
    <row r="838" spans="2:7">
      <c r="C838" s="228" t="s">
        <v>549</v>
      </c>
      <c r="D838" s="228" t="s">
        <v>2484</v>
      </c>
      <c r="E838" s="201">
        <v>2</v>
      </c>
      <c r="F838" s="201">
        <v>0.5</v>
      </c>
      <c r="G838" s="203">
        <v>43876</v>
      </c>
    </row>
    <row r="839" spans="2:7">
      <c r="C839" s="211"/>
      <c r="D839" s="211"/>
      <c r="G839" s="203"/>
    </row>
    <row r="840" spans="2:7">
      <c r="B840" s="64" t="s">
        <v>761</v>
      </c>
      <c r="C840" s="191" t="s">
        <v>491</v>
      </c>
      <c r="D840" s="191" t="s">
        <v>759</v>
      </c>
      <c r="F840" s="188">
        <f>F841+F842</f>
        <v>20</v>
      </c>
      <c r="G840" s="202">
        <f>G842</f>
        <v>45050</v>
      </c>
    </row>
    <row r="841" spans="2:7">
      <c r="C841" s="200" t="s">
        <v>565</v>
      </c>
      <c r="D841" s="200" t="s">
        <v>751</v>
      </c>
      <c r="E841" s="201">
        <v>100</v>
      </c>
      <c r="F841" s="201">
        <v>13</v>
      </c>
      <c r="G841" s="203">
        <v>43682</v>
      </c>
    </row>
    <row r="842" spans="2:7">
      <c r="C842" s="200" t="s">
        <v>549</v>
      </c>
      <c r="D842" s="200" t="s">
        <v>514</v>
      </c>
      <c r="E842" s="201">
        <v>8</v>
      </c>
      <c r="F842" s="201">
        <v>7</v>
      </c>
      <c r="G842" s="203">
        <v>45050</v>
      </c>
    </row>
    <row r="843" spans="2:7">
      <c r="G843" s="203"/>
    </row>
    <row r="844" spans="2:7">
      <c r="B844" s="64" t="s">
        <v>1040</v>
      </c>
      <c r="C844" s="191" t="s">
        <v>491</v>
      </c>
      <c r="D844" s="191" t="s">
        <v>759</v>
      </c>
      <c r="F844" s="188">
        <f>SUM(F845:F852)</f>
        <v>19.3</v>
      </c>
      <c r="G844" s="202">
        <f>G850</f>
        <v>45092</v>
      </c>
    </row>
    <row r="845" spans="2:7">
      <c r="C845" s="200" t="s">
        <v>402</v>
      </c>
      <c r="D845" s="200" t="s">
        <v>623</v>
      </c>
      <c r="E845" s="201">
        <v>50</v>
      </c>
      <c r="F845" s="201">
        <v>6</v>
      </c>
      <c r="G845" s="203">
        <v>45036</v>
      </c>
    </row>
    <row r="846" spans="2:7">
      <c r="C846" s="200" t="s">
        <v>544</v>
      </c>
      <c r="D846" s="200" t="s">
        <v>623</v>
      </c>
      <c r="E846" s="201">
        <v>16.5</v>
      </c>
      <c r="F846" s="201">
        <v>1</v>
      </c>
      <c r="G846" s="203">
        <v>44614</v>
      </c>
    </row>
    <row r="847" spans="2:7">
      <c r="C847" s="200" t="s">
        <v>549</v>
      </c>
      <c r="D847" s="200" t="s">
        <v>623</v>
      </c>
      <c r="E847" s="201">
        <v>1.2</v>
      </c>
      <c r="F847" s="201">
        <v>0.5</v>
      </c>
      <c r="G847" s="203">
        <v>44044</v>
      </c>
    </row>
    <row r="848" spans="2:7">
      <c r="C848" s="200" t="s">
        <v>402</v>
      </c>
      <c r="D848" s="200" t="s">
        <v>650</v>
      </c>
      <c r="E848" s="201">
        <v>40</v>
      </c>
      <c r="F848" s="201">
        <f>30/6</f>
        <v>5</v>
      </c>
      <c r="G848" s="203">
        <v>44650</v>
      </c>
    </row>
    <row r="849" spans="2:18">
      <c r="C849" s="200" t="s">
        <v>544</v>
      </c>
      <c r="D849" s="200" t="s">
        <v>650</v>
      </c>
      <c r="E849" s="201">
        <v>14</v>
      </c>
      <c r="F849" s="201">
        <f t="shared" ref="F849" si="4">9/5</f>
        <v>1.8</v>
      </c>
      <c r="G849" s="203">
        <v>44131</v>
      </c>
    </row>
    <row r="850" spans="2:18">
      <c r="C850" s="200" t="s">
        <v>549</v>
      </c>
      <c r="D850" s="200" t="s">
        <v>1531</v>
      </c>
      <c r="E850" s="201">
        <v>5.5</v>
      </c>
      <c r="F850" s="201">
        <v>1</v>
      </c>
      <c r="G850" s="203">
        <v>45092</v>
      </c>
    </row>
    <row r="851" spans="2:18">
      <c r="C851" s="220" t="s">
        <v>549</v>
      </c>
      <c r="D851" s="220" t="s">
        <v>465</v>
      </c>
      <c r="E851" s="201">
        <v>12</v>
      </c>
      <c r="F851" s="201">
        <v>2</v>
      </c>
      <c r="G851" s="203">
        <v>44971</v>
      </c>
    </row>
    <row r="852" spans="2:18">
      <c r="C852" s="220" t="s">
        <v>549</v>
      </c>
      <c r="D852" s="220" t="s">
        <v>465</v>
      </c>
      <c r="E852" s="201">
        <v>5</v>
      </c>
      <c r="F852" s="201">
        <v>2</v>
      </c>
      <c r="G852" s="203">
        <v>44769</v>
      </c>
    </row>
    <row r="853" spans="2:18">
      <c r="G853" s="203"/>
    </row>
    <row r="854" spans="2:18">
      <c r="B854" s="64" t="s">
        <v>1001</v>
      </c>
      <c r="C854" s="191" t="s">
        <v>491</v>
      </c>
      <c r="D854" s="191" t="s">
        <v>759</v>
      </c>
      <c r="F854" s="188">
        <f>SUM(F855:F859)</f>
        <v>19</v>
      </c>
      <c r="G854" s="202">
        <f>+G857</f>
        <v>44698</v>
      </c>
    </row>
    <row r="855" spans="2:18">
      <c r="C855" s="200" t="s">
        <v>402</v>
      </c>
      <c r="D855" s="200" t="s">
        <v>626</v>
      </c>
      <c r="E855" s="201">
        <v>22</v>
      </c>
      <c r="F855" s="201">
        <v>5</v>
      </c>
      <c r="G855" s="203">
        <v>44153</v>
      </c>
    </row>
    <row r="856" spans="2:18">
      <c r="C856" s="200" t="s">
        <v>544</v>
      </c>
      <c r="D856" s="200" t="s">
        <v>626</v>
      </c>
      <c r="E856" s="201">
        <v>13</v>
      </c>
      <c r="F856" s="201">
        <v>3</v>
      </c>
      <c r="G856" s="203">
        <v>44026</v>
      </c>
    </row>
    <row r="857" spans="2:18">
      <c r="C857" s="220" t="s">
        <v>544</v>
      </c>
      <c r="D857" s="220" t="s">
        <v>711</v>
      </c>
      <c r="E857" s="201">
        <v>12.8</v>
      </c>
      <c r="F857" s="201">
        <v>3</v>
      </c>
      <c r="G857" s="203">
        <v>44698</v>
      </c>
    </row>
    <row r="858" spans="2:18">
      <c r="C858" s="220" t="s">
        <v>549</v>
      </c>
      <c r="D858" s="220" t="s">
        <v>711</v>
      </c>
      <c r="E858" s="201">
        <v>5.5</v>
      </c>
      <c r="F858" s="201">
        <v>3</v>
      </c>
      <c r="G858" s="203">
        <v>44488</v>
      </c>
    </row>
    <row r="859" spans="2:18">
      <c r="C859" s="253" t="s">
        <v>544</v>
      </c>
      <c r="D859" s="253" t="s">
        <v>1655</v>
      </c>
      <c r="E859" s="201">
        <v>15</v>
      </c>
      <c r="F859" s="201">
        <v>5</v>
      </c>
      <c r="G859" s="203">
        <v>44314</v>
      </c>
    </row>
    <row r="860" spans="2:18">
      <c r="G860" s="203"/>
    </row>
    <row r="861" spans="2:18" s="64" customFormat="1">
      <c r="B861" s="64" t="s">
        <v>1085</v>
      </c>
      <c r="C861" s="191" t="s">
        <v>491</v>
      </c>
      <c r="D861" s="191" t="s">
        <v>759</v>
      </c>
      <c r="E861" s="188"/>
      <c r="F861" s="188">
        <f>SUM(F862:F868)</f>
        <v>17.533333333333335</v>
      </c>
      <c r="G861" s="202">
        <f>G862</f>
        <v>44643</v>
      </c>
      <c r="M861" s="191"/>
      <c r="N861" s="191"/>
      <c r="O861" s="191"/>
      <c r="P861" s="191"/>
      <c r="Q861" s="191"/>
      <c r="R861" s="191"/>
    </row>
    <row r="862" spans="2:18">
      <c r="C862" s="200" t="s">
        <v>402</v>
      </c>
      <c r="D862" s="200" t="s">
        <v>1083</v>
      </c>
      <c r="E862" s="201">
        <v>50</v>
      </c>
      <c r="F862" s="201">
        <f>25/3</f>
        <v>8.3333333333333339</v>
      </c>
      <c r="G862" s="203">
        <v>44643</v>
      </c>
    </row>
    <row r="863" spans="2:18">
      <c r="C863" s="200" t="s">
        <v>544</v>
      </c>
      <c r="D863" s="200" t="s">
        <v>1083</v>
      </c>
      <c r="E863" s="201">
        <v>18.5</v>
      </c>
      <c r="F863" s="201">
        <f>10/4</f>
        <v>2.5</v>
      </c>
      <c r="G863" s="203">
        <v>44242</v>
      </c>
    </row>
    <row r="864" spans="2:18">
      <c r="C864" s="200" t="s">
        <v>549</v>
      </c>
      <c r="D864" s="200" t="s">
        <v>1083</v>
      </c>
      <c r="E864" s="201">
        <v>3.5</v>
      </c>
      <c r="F864" s="201">
        <v>1.5</v>
      </c>
      <c r="G864" s="203">
        <v>43631</v>
      </c>
    </row>
    <row r="865" spans="2:7">
      <c r="C865" s="220" t="s">
        <v>544</v>
      </c>
      <c r="D865" s="220" t="s">
        <v>707</v>
      </c>
      <c r="E865" s="201">
        <v>12.6</v>
      </c>
      <c r="F865" s="201">
        <v>2.2000000000000002</v>
      </c>
      <c r="G865" s="203">
        <v>44579</v>
      </c>
    </row>
    <row r="866" spans="2:7">
      <c r="C866" s="220" t="s">
        <v>549</v>
      </c>
      <c r="D866" s="220" t="s">
        <v>707</v>
      </c>
      <c r="E866" s="201">
        <v>3</v>
      </c>
      <c r="F866" s="201">
        <v>1</v>
      </c>
      <c r="G866" s="203">
        <v>43999</v>
      </c>
    </row>
    <row r="867" spans="2:7">
      <c r="C867" s="225" t="s">
        <v>544</v>
      </c>
      <c r="D867" s="225" t="s">
        <v>1519</v>
      </c>
      <c r="E867" s="201">
        <v>10.5</v>
      </c>
      <c r="F867" s="201">
        <v>1</v>
      </c>
      <c r="G867" s="203">
        <v>44341</v>
      </c>
    </row>
    <row r="868" spans="2:7">
      <c r="C868" s="225" t="s">
        <v>549</v>
      </c>
      <c r="D868" s="225" t="s">
        <v>1519</v>
      </c>
      <c r="E868" s="201">
        <v>4</v>
      </c>
      <c r="F868" s="201">
        <v>1</v>
      </c>
      <c r="G868" s="203">
        <v>43671</v>
      </c>
    </row>
    <row r="869" spans="2:7">
      <c r="G869" s="203"/>
    </row>
    <row r="870" spans="2:7">
      <c r="B870" s="64" t="s">
        <v>854</v>
      </c>
      <c r="C870" s="191" t="s">
        <v>491</v>
      </c>
      <c r="D870" s="191" t="s">
        <v>759</v>
      </c>
      <c r="E870" s="188"/>
      <c r="F870" s="188">
        <f>SUM(F871:F874)</f>
        <v>18</v>
      </c>
      <c r="G870" s="202">
        <f>G873</f>
        <v>44467</v>
      </c>
    </row>
    <row r="871" spans="2:7">
      <c r="C871" s="200" t="s">
        <v>402</v>
      </c>
      <c r="D871" s="200" t="s">
        <v>850</v>
      </c>
      <c r="E871" s="201">
        <v>45</v>
      </c>
      <c r="F871" s="201">
        <v>10</v>
      </c>
      <c r="G871" s="203">
        <v>44228</v>
      </c>
    </row>
    <row r="872" spans="2:7">
      <c r="C872" s="200" t="s">
        <v>544</v>
      </c>
      <c r="D872" s="200" t="s">
        <v>850</v>
      </c>
      <c r="E872" s="201">
        <v>5</v>
      </c>
      <c r="F872" s="201">
        <v>2</v>
      </c>
      <c r="G872" s="203">
        <v>43251</v>
      </c>
    </row>
    <row r="873" spans="2:7">
      <c r="C873" s="200" t="s">
        <v>544</v>
      </c>
      <c r="D873" s="200" t="s">
        <v>652</v>
      </c>
      <c r="E873" s="201">
        <v>19</v>
      </c>
      <c r="F873" s="201">
        <v>4</v>
      </c>
      <c r="G873" s="203">
        <v>44467</v>
      </c>
    </row>
    <row r="874" spans="2:7">
      <c r="C874" s="200" t="s">
        <v>549</v>
      </c>
      <c r="D874" s="200" t="s">
        <v>652</v>
      </c>
      <c r="E874" s="201">
        <v>4</v>
      </c>
      <c r="F874" s="201">
        <v>2</v>
      </c>
      <c r="G874" s="203">
        <v>43873</v>
      </c>
    </row>
    <row r="875" spans="2:7">
      <c r="G875" s="203"/>
    </row>
    <row r="876" spans="2:7">
      <c r="B876" s="64" t="s">
        <v>1125</v>
      </c>
      <c r="C876" s="191" t="s">
        <v>491</v>
      </c>
      <c r="D876" s="191" t="s">
        <v>759</v>
      </c>
      <c r="F876" s="188">
        <f>SUM(F877:F881)</f>
        <v>18.166666666666668</v>
      </c>
      <c r="G876" s="202">
        <f>+G877</f>
        <v>44812</v>
      </c>
    </row>
    <row r="877" spans="2:7">
      <c r="C877" s="200" t="s">
        <v>402</v>
      </c>
      <c r="D877" s="200" t="s">
        <v>652</v>
      </c>
      <c r="E877" s="201">
        <v>38</v>
      </c>
      <c r="F877" s="201">
        <f>20/3</f>
        <v>6.666666666666667</v>
      </c>
      <c r="G877" s="203">
        <v>44812</v>
      </c>
    </row>
    <row r="878" spans="2:7">
      <c r="C878" s="200" t="s">
        <v>544</v>
      </c>
      <c r="D878" s="200" t="s">
        <v>652</v>
      </c>
      <c r="E878" s="201">
        <v>19</v>
      </c>
      <c r="F878" s="201">
        <v>4</v>
      </c>
      <c r="G878" s="203">
        <v>44467</v>
      </c>
    </row>
    <row r="879" spans="2:7">
      <c r="C879" s="200" t="s">
        <v>544</v>
      </c>
      <c r="D879" s="200" t="s">
        <v>668</v>
      </c>
      <c r="E879" s="201">
        <v>25</v>
      </c>
      <c r="F879" s="201">
        <v>5</v>
      </c>
      <c r="G879" s="203">
        <v>44699</v>
      </c>
    </row>
    <row r="880" spans="2:7">
      <c r="C880" s="200" t="s">
        <v>544</v>
      </c>
      <c r="D880" s="200" t="s">
        <v>1448</v>
      </c>
      <c r="E880" s="201">
        <v>20</v>
      </c>
      <c r="F880" s="201">
        <v>2</v>
      </c>
      <c r="G880" s="203">
        <v>44602</v>
      </c>
    </row>
    <row r="881" spans="2:18">
      <c r="C881" s="200" t="s">
        <v>549</v>
      </c>
      <c r="D881" s="200" t="s">
        <v>692</v>
      </c>
      <c r="E881" s="201">
        <v>4.5</v>
      </c>
      <c r="F881" s="201">
        <v>0.5</v>
      </c>
      <c r="G881" s="203">
        <v>44293</v>
      </c>
    </row>
    <row r="882" spans="2:18">
      <c r="G882" s="203"/>
    </row>
    <row r="883" spans="2:18">
      <c r="B883" s="64" t="s">
        <v>1041</v>
      </c>
      <c r="C883" s="191" t="s">
        <v>491</v>
      </c>
      <c r="D883" s="191" t="s">
        <v>759</v>
      </c>
      <c r="F883" s="188">
        <f>SUM(F884:F887)</f>
        <v>18</v>
      </c>
      <c r="G883" s="202">
        <f>G884</f>
        <v>45036</v>
      </c>
    </row>
    <row r="884" spans="2:18">
      <c r="C884" s="200" t="s">
        <v>402</v>
      </c>
      <c r="D884" s="200" t="s">
        <v>623</v>
      </c>
      <c r="E884" s="201">
        <v>50</v>
      </c>
      <c r="F884" s="201">
        <v>6</v>
      </c>
      <c r="G884" s="203">
        <v>45036</v>
      </c>
    </row>
    <row r="885" spans="2:18">
      <c r="C885" s="200" t="s">
        <v>544</v>
      </c>
      <c r="D885" s="200" t="s">
        <v>623</v>
      </c>
      <c r="E885" s="201">
        <v>16.5</v>
      </c>
      <c r="F885" s="201">
        <v>6</v>
      </c>
      <c r="G885" s="203">
        <v>44614</v>
      </c>
    </row>
    <row r="886" spans="2:18">
      <c r="C886" s="200" t="s">
        <v>549</v>
      </c>
      <c r="D886" s="200" t="s">
        <v>1221</v>
      </c>
      <c r="E886" s="201">
        <v>2.8</v>
      </c>
      <c r="F886" s="201">
        <v>1</v>
      </c>
      <c r="G886" s="203">
        <v>44994</v>
      </c>
    </row>
    <row r="887" spans="2:18">
      <c r="C887" s="200" t="s">
        <v>549</v>
      </c>
      <c r="D887" s="200" t="s">
        <v>455</v>
      </c>
      <c r="E887" s="201">
        <v>30</v>
      </c>
      <c r="F887" s="201">
        <v>5</v>
      </c>
      <c r="G887" s="203">
        <v>44601</v>
      </c>
    </row>
    <row r="888" spans="2:18">
      <c r="G888" s="203"/>
    </row>
    <row r="889" spans="2:18" s="64" customFormat="1">
      <c r="B889" s="64" t="s">
        <v>1378</v>
      </c>
      <c r="C889" s="191" t="s">
        <v>491</v>
      </c>
      <c r="D889" s="191" t="s">
        <v>759</v>
      </c>
      <c r="E889" s="188"/>
      <c r="F889" s="188">
        <f>SUM(F890:F893)</f>
        <v>17.166666666666664</v>
      </c>
      <c r="G889" s="202">
        <f>G891</f>
        <v>44903</v>
      </c>
      <c r="M889" s="191"/>
      <c r="N889" s="191"/>
      <c r="O889" s="191"/>
      <c r="P889" s="191"/>
      <c r="Q889" s="191"/>
      <c r="R889" s="191"/>
    </row>
    <row r="890" spans="2:18">
      <c r="C890" s="200" t="s">
        <v>544</v>
      </c>
      <c r="D890" s="200" t="s">
        <v>1267</v>
      </c>
      <c r="E890" s="201">
        <v>30</v>
      </c>
      <c r="F890" s="201">
        <v>10</v>
      </c>
      <c r="G890" s="203">
        <v>44656</v>
      </c>
    </row>
    <row r="891" spans="2:18">
      <c r="C891" s="200" t="s">
        <v>544</v>
      </c>
      <c r="D891" s="200" t="s">
        <v>680</v>
      </c>
      <c r="E891" s="201">
        <v>20</v>
      </c>
      <c r="F891" s="201">
        <f>13/6</f>
        <v>2.1666666666666665</v>
      </c>
      <c r="G891" s="203">
        <v>44903</v>
      </c>
    </row>
    <row r="892" spans="2:18">
      <c r="C892" s="200" t="s">
        <v>544</v>
      </c>
      <c r="D892" s="200" t="s">
        <v>680</v>
      </c>
      <c r="E892" s="201">
        <v>11</v>
      </c>
      <c r="F892" s="201">
        <v>3</v>
      </c>
      <c r="G892" s="203">
        <v>44313</v>
      </c>
    </row>
    <row r="893" spans="2:18">
      <c r="C893" s="200" t="s">
        <v>549</v>
      </c>
      <c r="D893" s="200" t="s">
        <v>680</v>
      </c>
      <c r="E893" s="201">
        <v>3</v>
      </c>
      <c r="F893" s="201">
        <v>2</v>
      </c>
      <c r="G893" s="203">
        <v>44011</v>
      </c>
    </row>
    <row r="894" spans="2:18">
      <c r="G894" s="203"/>
    </row>
    <row r="895" spans="2:18" s="64" customFormat="1">
      <c r="B895" s="64" t="s">
        <v>1297</v>
      </c>
      <c r="C895" s="191" t="s">
        <v>491</v>
      </c>
      <c r="D895" s="191" t="s">
        <v>759</v>
      </c>
      <c r="E895" s="188"/>
      <c r="F895" s="188">
        <f>SUM(F896:F898)</f>
        <v>17</v>
      </c>
      <c r="G895" s="202">
        <f>G897</f>
        <v>45090</v>
      </c>
      <c r="M895" s="191"/>
      <c r="N895" s="191"/>
      <c r="O895" s="191"/>
      <c r="P895" s="191"/>
      <c r="Q895" s="191"/>
      <c r="R895" s="191"/>
    </row>
    <row r="896" spans="2:18">
      <c r="C896" s="200" t="s">
        <v>544</v>
      </c>
      <c r="D896" s="200" t="s">
        <v>668</v>
      </c>
      <c r="E896" s="201">
        <v>25</v>
      </c>
      <c r="F896" s="201">
        <v>5</v>
      </c>
      <c r="G896" s="203">
        <v>44699</v>
      </c>
    </row>
    <row r="897" spans="2:18">
      <c r="C897" s="211" t="s">
        <v>549</v>
      </c>
      <c r="D897" s="211" t="s">
        <v>1151</v>
      </c>
      <c r="E897" s="201">
        <v>113</v>
      </c>
      <c r="F897" s="201">
        <v>8</v>
      </c>
      <c r="G897" s="203">
        <v>45090</v>
      </c>
    </row>
    <row r="898" spans="2:18">
      <c r="C898" s="220" t="s">
        <v>549</v>
      </c>
      <c r="D898" s="220" t="s">
        <v>465</v>
      </c>
      <c r="E898" s="201">
        <v>12</v>
      </c>
      <c r="F898" s="201">
        <v>4</v>
      </c>
      <c r="G898" s="203">
        <v>44971</v>
      </c>
    </row>
    <row r="899" spans="2:18">
      <c r="C899" s="273" t="s">
        <v>544</v>
      </c>
      <c r="D899" s="273" t="s">
        <v>1828</v>
      </c>
      <c r="E899" s="201">
        <v>102</v>
      </c>
      <c r="F899" s="201">
        <f>70/9</f>
        <v>7.7777777777777777</v>
      </c>
      <c r="G899" s="203">
        <v>43292</v>
      </c>
    </row>
    <row r="900" spans="2:18">
      <c r="C900" s="211"/>
      <c r="D900" s="211"/>
      <c r="G900" s="203"/>
    </row>
    <row r="901" spans="2:18">
      <c r="B901" s="64" t="s">
        <v>1175</v>
      </c>
      <c r="C901" s="191" t="s">
        <v>491</v>
      </c>
      <c r="D901" s="191" t="s">
        <v>759</v>
      </c>
      <c r="F901" s="188">
        <f>SUM(F902:F906)</f>
        <v>16.940000000000001</v>
      </c>
      <c r="G901" s="202">
        <f>G904</f>
        <v>44636</v>
      </c>
    </row>
    <row r="902" spans="2:18">
      <c r="C902" s="200" t="s">
        <v>402</v>
      </c>
      <c r="D902" s="200" t="s">
        <v>655</v>
      </c>
      <c r="E902" s="201">
        <v>30</v>
      </c>
      <c r="F902" s="201">
        <v>6</v>
      </c>
      <c r="G902" s="203">
        <v>44539</v>
      </c>
    </row>
    <row r="903" spans="2:18">
      <c r="C903" s="200" t="s">
        <v>544</v>
      </c>
      <c r="D903" s="200" t="s">
        <v>655</v>
      </c>
      <c r="E903" s="201">
        <v>11</v>
      </c>
      <c r="F903" s="201">
        <v>3</v>
      </c>
      <c r="G903" s="203">
        <v>43862</v>
      </c>
    </row>
    <row r="904" spans="2:18">
      <c r="C904" s="200" t="s">
        <v>402</v>
      </c>
      <c r="D904" s="200" t="s">
        <v>671</v>
      </c>
      <c r="E904" s="201">
        <v>25</v>
      </c>
      <c r="F904" s="201">
        <v>3</v>
      </c>
      <c r="G904" s="203">
        <v>44636</v>
      </c>
    </row>
    <row r="905" spans="2:18">
      <c r="C905" s="200" t="s">
        <v>544</v>
      </c>
      <c r="D905" s="200" t="s">
        <v>671</v>
      </c>
      <c r="E905" s="201">
        <v>12.2</v>
      </c>
      <c r="F905" s="201">
        <f>8.2/5</f>
        <v>1.64</v>
      </c>
      <c r="G905" s="203">
        <v>44179</v>
      </c>
    </row>
    <row r="906" spans="2:18">
      <c r="C906" s="211" t="s">
        <v>544</v>
      </c>
      <c r="D906" s="211" t="s">
        <v>699</v>
      </c>
      <c r="E906" s="201">
        <v>15</v>
      </c>
      <c r="F906" s="201">
        <v>3.3</v>
      </c>
      <c r="G906" s="203">
        <v>44482</v>
      </c>
    </row>
    <row r="907" spans="2:18">
      <c r="G907" s="203"/>
    </row>
    <row r="908" spans="2:18" s="64" customFormat="1">
      <c r="B908" s="64" t="s">
        <v>1087</v>
      </c>
      <c r="C908" s="191" t="s">
        <v>491</v>
      </c>
      <c r="D908" s="191" t="s">
        <v>759</v>
      </c>
      <c r="E908" s="188"/>
      <c r="F908" s="188">
        <f>SUM(F909:F910)</f>
        <v>16.833333333333336</v>
      </c>
      <c r="G908" s="202">
        <f>G909</f>
        <v>44643</v>
      </c>
      <c r="M908" s="191"/>
      <c r="N908" s="191"/>
      <c r="O908" s="191"/>
      <c r="P908" s="191"/>
      <c r="Q908" s="191"/>
      <c r="R908" s="191"/>
    </row>
    <row r="909" spans="2:18">
      <c r="C909" s="200" t="s">
        <v>402</v>
      </c>
      <c r="D909" s="200" t="s">
        <v>1083</v>
      </c>
      <c r="E909" s="201">
        <v>50</v>
      </c>
      <c r="F909" s="201">
        <f>25/3</f>
        <v>8.3333333333333339</v>
      </c>
      <c r="G909" s="203">
        <v>44643</v>
      </c>
    </row>
    <row r="910" spans="2:18">
      <c r="C910" s="200" t="s">
        <v>544</v>
      </c>
      <c r="D910" s="200" t="s">
        <v>1083</v>
      </c>
      <c r="E910" s="201">
        <v>18.5</v>
      </c>
      <c r="F910" s="201">
        <v>8.5</v>
      </c>
      <c r="G910" s="203">
        <v>44242</v>
      </c>
    </row>
    <row r="911" spans="2:18">
      <c r="G911" s="203"/>
    </row>
    <row r="912" spans="2:18">
      <c r="B912" s="64" t="s">
        <v>3954</v>
      </c>
      <c r="C912" s="191" t="s">
        <v>491</v>
      </c>
      <c r="D912" s="191" t="s">
        <v>759</v>
      </c>
      <c r="F912" s="188">
        <f>SUM(F913:F915)</f>
        <v>17.142857142857142</v>
      </c>
      <c r="G912" s="202">
        <f>G914</f>
        <v>44650</v>
      </c>
    </row>
    <row r="913" spans="2:18">
      <c r="C913" s="200" t="s">
        <v>402</v>
      </c>
      <c r="D913" s="200" t="s">
        <v>630</v>
      </c>
      <c r="E913" s="201">
        <v>50</v>
      </c>
      <c r="F913" s="201">
        <f>E913/7</f>
        <v>7.1428571428571432</v>
      </c>
      <c r="G913" s="203">
        <v>44628</v>
      </c>
    </row>
    <row r="914" spans="2:18">
      <c r="C914" s="200" t="s">
        <v>402</v>
      </c>
      <c r="D914" s="200" t="s">
        <v>650</v>
      </c>
      <c r="E914" s="201">
        <v>40</v>
      </c>
      <c r="F914" s="201">
        <v>5</v>
      </c>
      <c r="G914" s="203">
        <v>44650</v>
      </c>
    </row>
    <row r="915" spans="2:18">
      <c r="C915" s="200" t="s">
        <v>544</v>
      </c>
      <c r="D915" s="200" t="s">
        <v>650</v>
      </c>
      <c r="E915" s="201">
        <v>14</v>
      </c>
      <c r="F915" s="201">
        <v>5</v>
      </c>
      <c r="G915" s="203">
        <v>44131</v>
      </c>
    </row>
    <row r="916" spans="2:18">
      <c r="C916" s="253" t="s">
        <v>402</v>
      </c>
      <c r="D916" s="253" t="s">
        <v>1696</v>
      </c>
      <c r="E916" s="201">
        <v>35</v>
      </c>
      <c r="F916" s="201">
        <v>10</v>
      </c>
      <c r="G916" s="203">
        <v>44309</v>
      </c>
    </row>
    <row r="917" spans="2:18">
      <c r="C917" s="273" t="s">
        <v>402</v>
      </c>
      <c r="D917" s="273" t="s">
        <v>1825</v>
      </c>
      <c r="E917" s="201">
        <v>46</v>
      </c>
      <c r="F917" s="201">
        <v>6</v>
      </c>
      <c r="G917" s="203">
        <v>42941</v>
      </c>
    </row>
    <row r="919" spans="2:18">
      <c r="B919" s="64" t="s">
        <v>803</v>
      </c>
      <c r="C919" s="191" t="s">
        <v>491</v>
      </c>
      <c r="D919" s="191" t="s">
        <v>759</v>
      </c>
      <c r="E919" s="188"/>
      <c r="F919" s="188">
        <f>SUM(F920:F922)</f>
        <v>16.600000000000001</v>
      </c>
      <c r="G919" s="202">
        <f>+G922</f>
        <v>45020</v>
      </c>
    </row>
    <row r="920" spans="2:18">
      <c r="C920" s="200" t="s">
        <v>565</v>
      </c>
      <c r="D920" s="200" t="s">
        <v>797</v>
      </c>
      <c r="E920" s="201">
        <v>100</v>
      </c>
      <c r="F920" s="201">
        <v>9</v>
      </c>
      <c r="G920" s="203">
        <v>44690</v>
      </c>
    </row>
    <row r="921" spans="2:18">
      <c r="C921" s="220" t="s">
        <v>549</v>
      </c>
      <c r="D921" s="220" t="s">
        <v>585</v>
      </c>
      <c r="E921" s="201">
        <v>4.5999999999999996</v>
      </c>
      <c r="F921" s="201">
        <v>0.6</v>
      </c>
      <c r="G921" s="203">
        <v>44530</v>
      </c>
    </row>
    <row r="922" spans="2:18">
      <c r="C922" s="228" t="s">
        <v>565</v>
      </c>
      <c r="D922" s="228" t="s">
        <v>1580</v>
      </c>
      <c r="E922" s="201">
        <v>75</v>
      </c>
      <c r="F922" s="201">
        <v>7</v>
      </c>
      <c r="G922" s="203">
        <v>45020</v>
      </c>
    </row>
    <row r="923" spans="2:18">
      <c r="G923" s="203"/>
    </row>
    <row r="924" spans="2:18" s="64" customFormat="1">
      <c r="B924" s="64" t="s">
        <v>1298</v>
      </c>
      <c r="C924" s="191" t="s">
        <v>491</v>
      </c>
      <c r="D924" s="191" t="s">
        <v>759</v>
      </c>
      <c r="E924" s="188"/>
      <c r="F924" s="188">
        <f>SUM(F925:F927)</f>
        <v>20.333333333333332</v>
      </c>
      <c r="G924" s="202">
        <f>G926</f>
        <v>44851</v>
      </c>
      <c r="M924" s="191"/>
      <c r="N924" s="191"/>
      <c r="O924" s="191"/>
      <c r="P924" s="191"/>
      <c r="Q924" s="191"/>
      <c r="R924" s="191"/>
    </row>
    <row r="925" spans="2:18">
      <c r="C925" s="200" t="s">
        <v>544</v>
      </c>
      <c r="D925" s="200" t="s">
        <v>668</v>
      </c>
      <c r="E925" s="201">
        <v>25</v>
      </c>
      <c r="F925" s="201">
        <v>5</v>
      </c>
      <c r="G925" s="203">
        <v>44699</v>
      </c>
    </row>
    <row r="926" spans="2:18">
      <c r="C926" s="200" t="s">
        <v>544</v>
      </c>
      <c r="D926" s="273" t="s">
        <v>1760</v>
      </c>
      <c r="E926" s="201">
        <v>32</v>
      </c>
      <c r="F926" s="201">
        <v>11</v>
      </c>
      <c r="G926" s="203">
        <v>44851</v>
      </c>
    </row>
    <row r="927" spans="2:18">
      <c r="C927" s="200" t="s">
        <v>544</v>
      </c>
      <c r="D927" s="273" t="s">
        <v>1760</v>
      </c>
      <c r="E927" s="201">
        <v>26</v>
      </c>
      <c r="F927" s="201">
        <v>4.333333333333333</v>
      </c>
      <c r="G927" s="203">
        <v>44453</v>
      </c>
    </row>
    <row r="928" spans="2:18">
      <c r="C928" s="273" t="s">
        <v>549</v>
      </c>
      <c r="D928" s="273" t="s">
        <v>1760</v>
      </c>
      <c r="E928" s="201">
        <v>6.2</v>
      </c>
      <c r="F928" s="201">
        <v>2.6</v>
      </c>
      <c r="G928" s="203">
        <v>44201</v>
      </c>
    </row>
    <row r="929" spans="2:18">
      <c r="G929" s="203"/>
    </row>
    <row r="930" spans="2:18" s="64" customFormat="1">
      <c r="B930" s="64" t="s">
        <v>1088</v>
      </c>
      <c r="C930" s="191" t="s">
        <v>491</v>
      </c>
      <c r="D930" s="191" t="s">
        <v>759</v>
      </c>
      <c r="E930" s="188"/>
      <c r="F930" s="188">
        <f>SUM(F931:F932)</f>
        <v>15.5</v>
      </c>
      <c r="G930" s="202">
        <f>G932</f>
        <v>44510</v>
      </c>
      <c r="M930" s="191"/>
      <c r="N930" s="191"/>
      <c r="O930" s="191"/>
      <c r="P930" s="191"/>
      <c r="Q930" s="191"/>
      <c r="R930" s="191"/>
    </row>
    <row r="931" spans="2:18">
      <c r="C931" s="200" t="s">
        <v>544</v>
      </c>
      <c r="D931" s="200" t="s">
        <v>1083</v>
      </c>
      <c r="E931" s="201">
        <v>18.5</v>
      </c>
      <c r="F931" s="201">
        <v>8.5</v>
      </c>
      <c r="G931" s="203">
        <v>44242</v>
      </c>
    </row>
    <row r="932" spans="2:18">
      <c r="C932" s="200" t="s">
        <v>402</v>
      </c>
      <c r="D932" s="200" t="s">
        <v>1163</v>
      </c>
      <c r="E932" s="201">
        <v>30</v>
      </c>
      <c r="F932" s="201">
        <v>7</v>
      </c>
      <c r="G932" s="203">
        <v>44510</v>
      </c>
    </row>
    <row r="933" spans="2:18">
      <c r="G933" s="203"/>
    </row>
    <row r="934" spans="2:18" s="64" customFormat="1">
      <c r="B934" s="64" t="s">
        <v>1135</v>
      </c>
      <c r="C934" s="191" t="s">
        <v>491</v>
      </c>
      <c r="D934" s="191" t="s">
        <v>759</v>
      </c>
      <c r="E934" s="188"/>
      <c r="F934" s="188">
        <f>SUM(F935:F939)</f>
        <v>16.18333333333333</v>
      </c>
      <c r="G934" s="202">
        <f>G935</f>
        <v>44893</v>
      </c>
      <c r="M934" s="191"/>
      <c r="N934" s="191"/>
      <c r="O934" s="191"/>
      <c r="P934" s="191"/>
      <c r="Q934" s="191"/>
      <c r="R934" s="191"/>
    </row>
    <row r="935" spans="2:18">
      <c r="C935" s="200" t="s">
        <v>544</v>
      </c>
      <c r="D935" s="200" t="s">
        <v>654</v>
      </c>
      <c r="E935" s="201">
        <v>33</v>
      </c>
      <c r="F935" s="201">
        <f>13/3</f>
        <v>4.333333333333333</v>
      </c>
      <c r="G935" s="203">
        <v>44893</v>
      </c>
    </row>
    <row r="936" spans="2:18">
      <c r="C936" s="200" t="s">
        <v>1137</v>
      </c>
      <c r="D936" s="200" t="s">
        <v>654</v>
      </c>
      <c r="E936" s="201">
        <v>3</v>
      </c>
      <c r="F936" s="201">
        <v>2</v>
      </c>
      <c r="G936" s="203">
        <v>44183</v>
      </c>
    </row>
    <row r="937" spans="2:18">
      <c r="C937" s="225" t="s">
        <v>402</v>
      </c>
      <c r="D937" s="225" t="s">
        <v>1525</v>
      </c>
      <c r="E937" s="201">
        <v>40</v>
      </c>
      <c r="F937" s="201">
        <f>25/4</f>
        <v>6.25</v>
      </c>
      <c r="G937" s="203">
        <v>44811</v>
      </c>
    </row>
    <row r="938" spans="2:18">
      <c r="C938" s="225" t="s">
        <v>544</v>
      </c>
      <c r="D938" s="225" t="s">
        <v>1525</v>
      </c>
      <c r="E938" s="201">
        <v>14</v>
      </c>
      <c r="F938" s="201">
        <f>8/5</f>
        <v>1.6</v>
      </c>
      <c r="G938" s="203">
        <v>44447</v>
      </c>
    </row>
    <row r="939" spans="2:18">
      <c r="C939" s="225" t="s">
        <v>544</v>
      </c>
      <c r="D939" s="225" t="s">
        <v>1525</v>
      </c>
      <c r="E939" s="201">
        <v>12</v>
      </c>
      <c r="F939" s="201">
        <v>2</v>
      </c>
      <c r="G939" s="203">
        <v>43532</v>
      </c>
    </row>
    <row r="940" spans="2:18">
      <c r="G940" s="203"/>
    </row>
    <row r="941" spans="2:18" s="64" customFormat="1">
      <c r="B941" s="64" t="s">
        <v>1069</v>
      </c>
      <c r="C941" s="191" t="s">
        <v>491</v>
      </c>
      <c r="D941" s="191" t="s">
        <v>759</v>
      </c>
      <c r="E941" s="188"/>
      <c r="F941" s="188">
        <f>SUM(F942:F943)</f>
        <v>14</v>
      </c>
      <c r="G941" s="202">
        <f>G943</f>
        <v>44860</v>
      </c>
      <c r="M941" s="191"/>
      <c r="N941" s="191"/>
      <c r="O941" s="191"/>
      <c r="P941" s="191"/>
      <c r="Q941" s="191"/>
      <c r="R941" s="191"/>
    </row>
    <row r="942" spans="2:18">
      <c r="C942" s="200" t="s">
        <v>402</v>
      </c>
      <c r="D942" s="200" t="s">
        <v>650</v>
      </c>
      <c r="E942" s="201">
        <v>40</v>
      </c>
      <c r="F942" s="201">
        <v>10</v>
      </c>
      <c r="G942" s="203">
        <v>44650</v>
      </c>
    </row>
    <row r="943" spans="2:18">
      <c r="C943" s="240" t="s">
        <v>402</v>
      </c>
      <c r="D943" s="240" t="s">
        <v>2793</v>
      </c>
      <c r="E943" s="201">
        <v>37</v>
      </c>
      <c r="F943" s="201">
        <v>4</v>
      </c>
      <c r="G943" s="203">
        <v>44860</v>
      </c>
    </row>
    <row r="944" spans="2:18">
      <c r="C944" s="240" t="s">
        <v>402</v>
      </c>
      <c r="D944" s="240" t="s">
        <v>2793</v>
      </c>
      <c r="E944" s="201">
        <v>80</v>
      </c>
      <c r="F944" s="201">
        <v>10</v>
      </c>
      <c r="G944" s="203">
        <v>44327</v>
      </c>
    </row>
    <row r="945" spans="2:7">
      <c r="C945" s="240" t="s">
        <v>544</v>
      </c>
      <c r="D945" s="240" t="s">
        <v>2793</v>
      </c>
      <c r="E945" s="201">
        <v>30</v>
      </c>
      <c r="F945" s="201">
        <v>10</v>
      </c>
      <c r="G945" s="203">
        <v>43963</v>
      </c>
    </row>
    <row r="946" spans="2:7">
      <c r="G946" s="203"/>
    </row>
    <row r="947" spans="2:7">
      <c r="B947" s="64" t="s">
        <v>1057</v>
      </c>
      <c r="C947" s="191" t="s">
        <v>491</v>
      </c>
      <c r="D947" s="191" t="s">
        <v>759</v>
      </c>
      <c r="F947" s="188">
        <f>SUM(F948:F952)</f>
        <v>13.666666666666666</v>
      </c>
      <c r="G947" s="202">
        <f>G951</f>
        <v>45062</v>
      </c>
    </row>
    <row r="948" spans="2:7">
      <c r="C948" s="200" t="s">
        <v>402</v>
      </c>
      <c r="D948" s="200" t="s">
        <v>647</v>
      </c>
      <c r="E948" s="201">
        <v>43</v>
      </c>
      <c r="F948" s="201">
        <v>6</v>
      </c>
      <c r="G948" s="203">
        <v>44978</v>
      </c>
    </row>
    <row r="949" spans="2:7">
      <c r="C949" s="220" t="s">
        <v>549</v>
      </c>
      <c r="D949" s="220" t="s">
        <v>585</v>
      </c>
      <c r="E949" s="201">
        <v>10</v>
      </c>
      <c r="F949" s="201">
        <v>1</v>
      </c>
      <c r="G949" s="203">
        <v>44858</v>
      </c>
    </row>
    <row r="950" spans="2:7">
      <c r="C950" s="220" t="s">
        <v>549</v>
      </c>
      <c r="D950" s="220" t="s">
        <v>585</v>
      </c>
      <c r="E950" s="201">
        <v>4.5999999999999996</v>
      </c>
      <c r="F950" s="201">
        <v>2</v>
      </c>
      <c r="G950" s="203">
        <v>44530</v>
      </c>
    </row>
    <row r="951" spans="2:7">
      <c r="C951" s="220" t="s">
        <v>549</v>
      </c>
      <c r="D951" s="220" t="s">
        <v>579</v>
      </c>
      <c r="E951" s="201">
        <v>5</v>
      </c>
      <c r="F951" s="201">
        <f>5/3</f>
        <v>1.6666666666666667</v>
      </c>
      <c r="G951" s="203">
        <v>45062</v>
      </c>
    </row>
    <row r="952" spans="2:7">
      <c r="C952" s="222" t="s">
        <v>544</v>
      </c>
      <c r="D952" s="222" t="s">
        <v>1858</v>
      </c>
      <c r="E952" s="201">
        <v>10.6</v>
      </c>
      <c r="F952" s="201">
        <v>3</v>
      </c>
      <c r="G952" s="203">
        <v>44819</v>
      </c>
    </row>
    <row r="953" spans="2:7">
      <c r="G953" s="203"/>
    </row>
    <row r="954" spans="2:7">
      <c r="B954" s="64" t="s">
        <v>929</v>
      </c>
      <c r="C954" s="191" t="s">
        <v>491</v>
      </c>
      <c r="D954" s="191" t="s">
        <v>759</v>
      </c>
      <c r="F954" s="188">
        <f>SUM(F955:F959)</f>
        <v>13.916666666666668</v>
      </c>
      <c r="G954" s="202">
        <f>G955</f>
        <v>44293</v>
      </c>
    </row>
    <row r="955" spans="2:7">
      <c r="C955" s="200" t="s">
        <v>402</v>
      </c>
      <c r="D955" s="200" t="s">
        <v>618</v>
      </c>
      <c r="E955" s="201">
        <v>35</v>
      </c>
      <c r="F955" s="201">
        <f>25/6</f>
        <v>4.166666666666667</v>
      </c>
      <c r="G955" s="203">
        <v>44293</v>
      </c>
    </row>
    <row r="956" spans="2:7">
      <c r="C956" s="200" t="s">
        <v>544</v>
      </c>
      <c r="D956" s="200" t="s">
        <v>618</v>
      </c>
      <c r="E956" s="201">
        <v>12</v>
      </c>
      <c r="F956" s="201">
        <v>3</v>
      </c>
      <c r="G956" s="203">
        <v>44026</v>
      </c>
    </row>
    <row r="957" spans="2:7">
      <c r="C957" s="200" t="s">
        <v>549</v>
      </c>
      <c r="D957" s="200" t="s">
        <v>618</v>
      </c>
      <c r="E957" s="201">
        <v>3.3</v>
      </c>
      <c r="F957" s="201">
        <v>0.5</v>
      </c>
      <c r="G957" s="203">
        <v>44026</v>
      </c>
    </row>
    <row r="958" spans="2:7">
      <c r="C958" s="253" t="s">
        <v>402</v>
      </c>
      <c r="D958" s="253" t="s">
        <v>1632</v>
      </c>
      <c r="E958" s="201">
        <v>40</v>
      </c>
      <c r="F958" s="201">
        <v>4</v>
      </c>
      <c r="G958" s="203">
        <v>43419</v>
      </c>
    </row>
    <row r="959" spans="2:7">
      <c r="C959" s="253" t="s">
        <v>544</v>
      </c>
      <c r="D959" s="253" t="s">
        <v>1632</v>
      </c>
      <c r="E959" s="201">
        <v>14.7</v>
      </c>
      <c r="F959" s="201">
        <v>2.25</v>
      </c>
      <c r="G959" s="203">
        <v>43032</v>
      </c>
    </row>
    <row r="960" spans="2:7">
      <c r="G960" s="203"/>
    </row>
    <row r="961" spans="2:18">
      <c r="B961" s="64" t="s">
        <v>798</v>
      </c>
      <c r="C961" s="191" t="s">
        <v>491</v>
      </c>
      <c r="D961" s="191" t="s">
        <v>759</v>
      </c>
      <c r="F961" s="188">
        <f>SUM(F962:F964)</f>
        <v>13</v>
      </c>
      <c r="G961" s="202">
        <f>G962</f>
        <v>44690</v>
      </c>
    </row>
    <row r="962" spans="2:18">
      <c r="C962" s="200" t="s">
        <v>565</v>
      </c>
      <c r="D962" s="200" t="s">
        <v>797</v>
      </c>
      <c r="E962" s="201">
        <v>100</v>
      </c>
      <c r="F962" s="201">
        <v>9</v>
      </c>
      <c r="G962" s="203">
        <v>44690</v>
      </c>
    </row>
    <row r="963" spans="2:18">
      <c r="C963" s="200" t="s">
        <v>544</v>
      </c>
      <c r="D963" s="200" t="s">
        <v>797</v>
      </c>
      <c r="E963" s="201">
        <v>15</v>
      </c>
      <c r="F963" s="201">
        <v>3</v>
      </c>
      <c r="G963" s="203">
        <v>43816</v>
      </c>
    </row>
    <row r="964" spans="2:18">
      <c r="C964" s="200" t="s">
        <v>549</v>
      </c>
      <c r="D964" s="200" t="s">
        <v>797</v>
      </c>
      <c r="E964" s="201">
        <v>4</v>
      </c>
      <c r="F964" s="201">
        <v>1</v>
      </c>
      <c r="G964" s="203">
        <v>43243</v>
      </c>
    </row>
    <row r="965" spans="2:18">
      <c r="G965" s="203"/>
    </row>
    <row r="966" spans="2:18" s="64" customFormat="1">
      <c r="B966" s="64" t="s">
        <v>870</v>
      </c>
      <c r="C966" s="191" t="s">
        <v>491</v>
      </c>
      <c r="D966" s="191" t="s">
        <v>759</v>
      </c>
      <c r="E966" s="188"/>
      <c r="F966" s="188">
        <f>SUM(F967:F969)</f>
        <v>13</v>
      </c>
      <c r="G966" s="202">
        <f>G967</f>
        <v>45008</v>
      </c>
      <c r="M966" s="191"/>
      <c r="N966" s="191"/>
      <c r="O966" s="191"/>
      <c r="P966" s="191"/>
      <c r="Q966" s="191"/>
      <c r="R966" s="191"/>
    </row>
    <row r="967" spans="2:18">
      <c r="B967" s="64"/>
      <c r="C967" s="200" t="s">
        <v>544</v>
      </c>
      <c r="D967" s="200" t="s">
        <v>601</v>
      </c>
      <c r="E967" s="201">
        <v>150</v>
      </c>
      <c r="F967" s="201">
        <v>5</v>
      </c>
      <c r="G967" s="203">
        <v>45008</v>
      </c>
    </row>
    <row r="968" spans="2:18">
      <c r="B968" s="64"/>
      <c r="C968" s="228" t="s">
        <v>544</v>
      </c>
      <c r="D968" s="228" t="s">
        <v>1527</v>
      </c>
      <c r="E968" s="201">
        <v>28</v>
      </c>
      <c r="F968" s="201">
        <v>5</v>
      </c>
      <c r="G968" s="203">
        <v>44624</v>
      </c>
    </row>
    <row r="969" spans="2:18">
      <c r="B969" s="64"/>
      <c r="C969" s="228" t="s">
        <v>549</v>
      </c>
      <c r="D969" s="228" t="s">
        <v>1527</v>
      </c>
      <c r="E969" s="201">
        <v>5</v>
      </c>
      <c r="F969" s="201">
        <v>3</v>
      </c>
      <c r="G969" s="203">
        <v>44136</v>
      </c>
    </row>
    <row r="970" spans="2:18">
      <c r="B970" s="64"/>
      <c r="G970" s="203"/>
    </row>
    <row r="971" spans="2:18" s="64" customFormat="1">
      <c r="B971" s="64" t="s">
        <v>1058</v>
      </c>
      <c r="C971" s="191" t="s">
        <v>491</v>
      </c>
      <c r="D971" s="191" t="s">
        <v>759</v>
      </c>
      <c r="E971" s="188"/>
      <c r="F971" s="188">
        <f>SUM(F972:F973)</f>
        <v>12.5</v>
      </c>
      <c r="G971" s="202">
        <f>G972</f>
        <v>44978</v>
      </c>
      <c r="M971" s="191"/>
      <c r="N971" s="191"/>
      <c r="O971" s="191"/>
      <c r="P971" s="191"/>
      <c r="Q971" s="191"/>
      <c r="R971" s="191"/>
    </row>
    <row r="972" spans="2:18">
      <c r="C972" s="200" t="s">
        <v>402</v>
      </c>
      <c r="D972" s="200" t="s">
        <v>647</v>
      </c>
      <c r="E972" s="201">
        <v>43</v>
      </c>
      <c r="F972" s="201">
        <v>6</v>
      </c>
      <c r="G972" s="203">
        <v>44978</v>
      </c>
    </row>
    <row r="973" spans="2:18">
      <c r="C973" s="200" t="s">
        <v>544</v>
      </c>
      <c r="D973" s="200" t="s">
        <v>647</v>
      </c>
      <c r="E973" s="201">
        <v>26</v>
      </c>
      <c r="F973" s="201">
        <f>13/2</f>
        <v>6.5</v>
      </c>
      <c r="G973" s="203">
        <v>44453</v>
      </c>
    </row>
    <row r="974" spans="2:18">
      <c r="G974" s="203"/>
    </row>
    <row r="975" spans="2:18" s="64" customFormat="1">
      <c r="B975" s="64" t="s">
        <v>1176</v>
      </c>
      <c r="C975" s="191" t="s">
        <v>491</v>
      </c>
      <c r="D975" s="191" t="s">
        <v>759</v>
      </c>
      <c r="E975" s="188"/>
      <c r="F975" s="188">
        <f>SUM(F976:F980)</f>
        <v>13</v>
      </c>
      <c r="G975" s="202">
        <f>G979</f>
        <v>44964</v>
      </c>
      <c r="M975" s="191"/>
      <c r="N975" s="191"/>
      <c r="O975" s="191"/>
      <c r="P975" s="191"/>
      <c r="Q975" s="191"/>
      <c r="R975" s="191"/>
    </row>
    <row r="976" spans="2:18">
      <c r="C976" s="200" t="s">
        <v>402</v>
      </c>
      <c r="D976" s="200" t="s">
        <v>655</v>
      </c>
      <c r="E976" s="201">
        <v>30</v>
      </c>
      <c r="F976" s="201">
        <v>6</v>
      </c>
      <c r="G976" s="203">
        <v>44539</v>
      </c>
    </row>
    <row r="977" spans="2:18">
      <c r="C977" s="200" t="s">
        <v>544</v>
      </c>
      <c r="D977" s="200" t="s">
        <v>655</v>
      </c>
      <c r="E977" s="201">
        <v>11</v>
      </c>
      <c r="F977" s="201">
        <v>3</v>
      </c>
      <c r="G977" s="203">
        <v>43862</v>
      </c>
    </row>
    <row r="978" spans="2:18">
      <c r="C978" s="200" t="s">
        <v>549</v>
      </c>
      <c r="D978" s="200" t="s">
        <v>655</v>
      </c>
      <c r="E978" s="201">
        <v>3</v>
      </c>
      <c r="F978" s="201">
        <v>1.5</v>
      </c>
      <c r="G978" s="203">
        <v>43525</v>
      </c>
    </row>
    <row r="979" spans="2:18">
      <c r="C979" s="225" t="s">
        <v>549</v>
      </c>
      <c r="D979" s="225" t="s">
        <v>591</v>
      </c>
      <c r="E979" s="201">
        <v>6.8</v>
      </c>
      <c r="F979" s="201">
        <v>1.5</v>
      </c>
      <c r="G979" s="203">
        <v>44964</v>
      </c>
    </row>
    <row r="980" spans="2:18">
      <c r="C980" s="225" t="s">
        <v>549</v>
      </c>
      <c r="D980" s="225" t="s">
        <v>591</v>
      </c>
      <c r="E980" s="201">
        <v>1.6</v>
      </c>
      <c r="F980" s="201">
        <v>1</v>
      </c>
      <c r="G980" s="203">
        <v>44197</v>
      </c>
    </row>
    <row r="981" spans="2:18">
      <c r="G981" s="203"/>
    </row>
    <row r="982" spans="2:18">
      <c r="B982" s="64" t="s">
        <v>426</v>
      </c>
      <c r="C982" s="191" t="s">
        <v>491</v>
      </c>
      <c r="D982" s="191" t="s">
        <v>759</v>
      </c>
      <c r="F982" s="188">
        <f>SUM(F983:F984)</f>
        <v>12</v>
      </c>
      <c r="G982" s="202">
        <f>+G984</f>
        <v>45013</v>
      </c>
    </row>
    <row r="983" spans="2:18">
      <c r="C983" s="200" t="s">
        <v>565</v>
      </c>
      <c r="D983" s="200" t="s">
        <v>611</v>
      </c>
      <c r="E983" s="201">
        <v>100</v>
      </c>
      <c r="F983" s="201">
        <v>10</v>
      </c>
      <c r="G983" s="203">
        <v>44754</v>
      </c>
    </row>
    <row r="984" spans="2:18">
      <c r="C984" s="200" t="s">
        <v>544</v>
      </c>
      <c r="D984" s="200" t="s">
        <v>417</v>
      </c>
      <c r="E984" s="201">
        <v>25.6</v>
      </c>
      <c r="F984" s="201">
        <v>2</v>
      </c>
      <c r="G984" s="203">
        <v>45013</v>
      </c>
    </row>
    <row r="985" spans="2:18">
      <c r="G985" s="203"/>
    </row>
    <row r="986" spans="2:18">
      <c r="B986" s="64" t="s">
        <v>893</v>
      </c>
      <c r="C986" s="191" t="s">
        <v>491</v>
      </c>
      <c r="D986" s="191" t="s">
        <v>759</v>
      </c>
      <c r="E986" s="188"/>
      <c r="F986" s="188">
        <f>SUM(F987:F989)</f>
        <v>12</v>
      </c>
      <c r="G986" s="202">
        <f>+G987</f>
        <v>44900</v>
      </c>
    </row>
    <row r="987" spans="2:18">
      <c r="C987" s="200" t="s">
        <v>565</v>
      </c>
      <c r="D987" s="200" t="s">
        <v>864</v>
      </c>
      <c r="E987" s="201">
        <v>50</v>
      </c>
      <c r="F987" s="201">
        <v>6</v>
      </c>
      <c r="G987" s="203">
        <v>44900</v>
      </c>
    </row>
    <row r="988" spans="2:18">
      <c r="C988" s="200" t="s">
        <v>402</v>
      </c>
      <c r="D988" s="200" t="s">
        <v>864</v>
      </c>
      <c r="E988" s="201">
        <v>35</v>
      </c>
      <c r="F988" s="201">
        <v>5</v>
      </c>
      <c r="G988" s="203">
        <v>44543</v>
      </c>
    </row>
    <row r="989" spans="2:18">
      <c r="C989" s="200" t="s">
        <v>544</v>
      </c>
      <c r="D989" s="200" t="s">
        <v>864</v>
      </c>
      <c r="E989" s="201">
        <v>8.5</v>
      </c>
      <c r="F989" s="201">
        <v>1</v>
      </c>
      <c r="G989" s="203">
        <v>44181</v>
      </c>
    </row>
    <row r="990" spans="2:18">
      <c r="G990" s="203"/>
    </row>
    <row r="991" spans="2:18" s="64" customFormat="1">
      <c r="B991" s="64" t="s">
        <v>1072</v>
      </c>
      <c r="C991" s="191" t="s">
        <v>491</v>
      </c>
      <c r="D991" s="191" t="s">
        <v>759</v>
      </c>
      <c r="E991" s="188"/>
      <c r="F991" s="188">
        <f>SUM(F992:F994)</f>
        <v>10.6</v>
      </c>
      <c r="G991" s="202">
        <f>G992</f>
        <v>44650</v>
      </c>
      <c r="M991" s="191"/>
      <c r="N991" s="191"/>
      <c r="O991" s="191"/>
      <c r="P991" s="191"/>
      <c r="Q991" s="191"/>
      <c r="R991" s="191"/>
    </row>
    <row r="992" spans="2:18">
      <c r="C992" s="200" t="s">
        <v>402</v>
      </c>
      <c r="D992" s="200" t="s">
        <v>650</v>
      </c>
      <c r="E992" s="201">
        <v>40</v>
      </c>
      <c r="F992" s="201">
        <v>5</v>
      </c>
      <c r="G992" s="203">
        <v>44650</v>
      </c>
    </row>
    <row r="993" spans="2:18">
      <c r="C993" s="200" t="s">
        <v>544</v>
      </c>
      <c r="D993" s="200" t="s">
        <v>650</v>
      </c>
      <c r="E993" s="201">
        <v>14</v>
      </c>
      <c r="F993" s="201">
        <f>9/5</f>
        <v>1.8</v>
      </c>
      <c r="G993" s="203">
        <v>44131</v>
      </c>
    </row>
    <row r="994" spans="2:18">
      <c r="C994" s="200" t="s">
        <v>544</v>
      </c>
      <c r="D994" s="200" t="s">
        <v>1163</v>
      </c>
      <c r="E994" s="201">
        <v>21.4</v>
      </c>
      <c r="F994" s="201">
        <f>11.4/3</f>
        <v>3.8000000000000003</v>
      </c>
      <c r="G994" s="203">
        <v>44232</v>
      </c>
    </row>
    <row r="995" spans="2:18">
      <c r="G995" s="203"/>
    </row>
    <row r="996" spans="2:18">
      <c r="B996" s="64" t="s">
        <v>1101</v>
      </c>
      <c r="C996" s="191" t="s">
        <v>491</v>
      </c>
      <c r="D996" s="191" t="s">
        <v>759</v>
      </c>
      <c r="F996" s="188">
        <f>SUM(F997:F1000)</f>
        <v>11.1</v>
      </c>
      <c r="G996" s="202">
        <f>G997</f>
        <v>44796</v>
      </c>
    </row>
    <row r="997" spans="2:18">
      <c r="C997" s="200" t="s">
        <v>544</v>
      </c>
      <c r="D997" s="200" t="s">
        <v>1094</v>
      </c>
      <c r="E997" s="201">
        <v>50</v>
      </c>
      <c r="F997" s="201">
        <f t="shared" ref="F997:F1488" si="5">30/12</f>
        <v>2.5</v>
      </c>
      <c r="G997" s="203">
        <v>44796</v>
      </c>
    </row>
    <row r="998" spans="2:18">
      <c r="C998" s="200" t="s">
        <v>549</v>
      </c>
      <c r="D998" s="200" t="s">
        <v>1094</v>
      </c>
      <c r="E998" s="201">
        <v>12.5</v>
      </c>
      <c r="F998" s="201">
        <f>8/5</f>
        <v>1.6</v>
      </c>
      <c r="G998" s="203">
        <v>44623</v>
      </c>
    </row>
    <row r="999" spans="2:18">
      <c r="C999" s="200" t="s">
        <v>549</v>
      </c>
      <c r="D999" s="200" t="s">
        <v>1094</v>
      </c>
      <c r="E999" s="201">
        <v>7.2</v>
      </c>
      <c r="F999" s="201">
        <v>2</v>
      </c>
      <c r="G999" s="203">
        <v>44508</v>
      </c>
    </row>
    <row r="1000" spans="2:18">
      <c r="C1000" s="211" t="s">
        <v>544</v>
      </c>
      <c r="D1000" s="211" t="s">
        <v>699</v>
      </c>
      <c r="E1000" s="201">
        <v>15</v>
      </c>
      <c r="F1000" s="201">
        <v>5</v>
      </c>
      <c r="G1000" s="203">
        <v>44482</v>
      </c>
    </row>
    <row r="1001" spans="2:18">
      <c r="C1001" s="211" t="s">
        <v>549</v>
      </c>
      <c r="D1001" s="211" t="s">
        <v>699</v>
      </c>
      <c r="E1001" s="201">
        <v>4.5</v>
      </c>
      <c r="F1001" s="201">
        <v>1.5</v>
      </c>
      <c r="G1001" s="203">
        <v>44362</v>
      </c>
    </row>
    <row r="1002" spans="2:18">
      <c r="G1002" s="203"/>
    </row>
    <row r="1003" spans="2:18" s="64" customFormat="1">
      <c r="B1003" s="64" t="s">
        <v>1296</v>
      </c>
      <c r="C1003" s="191" t="s">
        <v>491</v>
      </c>
      <c r="D1003" s="191" t="s">
        <v>759</v>
      </c>
      <c r="E1003" s="188"/>
      <c r="F1003" s="188">
        <f>SUM(F1004:F1005)</f>
        <v>11</v>
      </c>
      <c r="G1003" s="202">
        <f>G1004</f>
        <v>44699</v>
      </c>
      <c r="M1003" s="191"/>
      <c r="N1003" s="191"/>
      <c r="O1003" s="191"/>
      <c r="P1003" s="191"/>
      <c r="Q1003" s="191"/>
      <c r="R1003" s="191"/>
    </row>
    <row r="1004" spans="2:18">
      <c r="C1004" s="200" t="s">
        <v>544</v>
      </c>
      <c r="D1004" s="200" t="s">
        <v>668</v>
      </c>
      <c r="E1004" s="201">
        <v>25</v>
      </c>
      <c r="F1004" s="201">
        <v>10</v>
      </c>
      <c r="G1004" s="203">
        <v>44699</v>
      </c>
    </row>
    <row r="1005" spans="2:18">
      <c r="C1005" s="200" t="s">
        <v>544</v>
      </c>
      <c r="D1005" s="200" t="s">
        <v>546</v>
      </c>
      <c r="E1005" s="201">
        <v>5.6</v>
      </c>
      <c r="F1005" s="201">
        <v>1</v>
      </c>
      <c r="G1005" s="203">
        <v>44292</v>
      </c>
    </row>
    <row r="1006" spans="2:18">
      <c r="G1006" s="203"/>
    </row>
    <row r="1007" spans="2:18" s="64" customFormat="1">
      <c r="B1007" s="64" t="s">
        <v>1089</v>
      </c>
      <c r="C1007" s="191" t="s">
        <v>491</v>
      </c>
      <c r="D1007" s="191" t="s">
        <v>759</v>
      </c>
      <c r="E1007" s="188"/>
      <c r="F1007" s="188">
        <f>SUM(F1008:F1009)</f>
        <v>10.5</v>
      </c>
      <c r="G1007" s="202">
        <f>G1009</f>
        <v>44602</v>
      </c>
      <c r="M1007" s="191"/>
      <c r="N1007" s="191"/>
      <c r="O1007" s="191"/>
      <c r="P1007" s="191"/>
      <c r="Q1007" s="191"/>
      <c r="R1007" s="191"/>
    </row>
    <row r="1008" spans="2:18">
      <c r="C1008" s="200" t="s">
        <v>544</v>
      </c>
      <c r="D1008" s="200" t="s">
        <v>1083</v>
      </c>
      <c r="E1008" s="201">
        <v>18.5</v>
      </c>
      <c r="F1008" s="201">
        <v>8.5</v>
      </c>
      <c r="G1008" s="203">
        <v>44242</v>
      </c>
    </row>
    <row r="1009" spans="2:18">
      <c r="C1009" s="200" t="s">
        <v>544</v>
      </c>
      <c r="D1009" s="200" t="s">
        <v>1448</v>
      </c>
      <c r="E1009" s="201">
        <v>25</v>
      </c>
      <c r="F1009" s="201">
        <v>2</v>
      </c>
      <c r="G1009" s="203">
        <v>44602</v>
      </c>
    </row>
    <row r="1010" spans="2:18">
      <c r="G1010" s="203"/>
    </row>
    <row r="1011" spans="2:18">
      <c r="B1011" s="64" t="s">
        <v>927</v>
      </c>
      <c r="C1011" s="191" t="s">
        <v>491</v>
      </c>
      <c r="D1011" s="191" t="s">
        <v>759</v>
      </c>
      <c r="E1011" s="188"/>
      <c r="F1011" s="188">
        <f>+F1012+F1013</f>
        <v>10.166666666666668</v>
      </c>
      <c r="G1011" s="202">
        <f>+G1012</f>
        <v>44417</v>
      </c>
    </row>
    <row r="1012" spans="2:18">
      <c r="C1012" s="200" t="s">
        <v>565</v>
      </c>
      <c r="D1012" s="200" t="s">
        <v>618</v>
      </c>
      <c r="E1012" s="201">
        <v>85</v>
      </c>
      <c r="F1012" s="201">
        <v>6</v>
      </c>
      <c r="G1012" s="203">
        <v>44417</v>
      </c>
    </row>
    <row r="1013" spans="2:18">
      <c r="C1013" s="200" t="s">
        <v>402</v>
      </c>
      <c r="D1013" s="200" t="s">
        <v>618</v>
      </c>
      <c r="E1013" s="201">
        <v>35</v>
      </c>
      <c r="F1013" s="201">
        <f>25/6</f>
        <v>4.166666666666667</v>
      </c>
      <c r="G1013" s="203">
        <v>44293</v>
      </c>
    </row>
    <row r="1014" spans="2:18">
      <c r="G1014" s="203"/>
    </row>
    <row r="1015" spans="2:18" s="64" customFormat="1">
      <c r="B1015" s="64" t="s">
        <v>1022</v>
      </c>
      <c r="C1015" s="191" t="s">
        <v>491</v>
      </c>
      <c r="D1015" s="191" t="s">
        <v>759</v>
      </c>
      <c r="E1015" s="188"/>
      <c r="F1015" s="188">
        <f>SUM(F1016:F1017)</f>
        <v>10.142857142857142</v>
      </c>
      <c r="G1015" s="202">
        <f>G1016</f>
        <v>44628</v>
      </c>
      <c r="M1015" s="191"/>
      <c r="N1015" s="191"/>
      <c r="O1015" s="191"/>
      <c r="P1015" s="191"/>
      <c r="Q1015" s="191"/>
      <c r="R1015" s="191"/>
    </row>
    <row r="1016" spans="2:18">
      <c r="C1016" s="200" t="s">
        <v>402</v>
      </c>
      <c r="D1016" s="200" t="s">
        <v>630</v>
      </c>
      <c r="E1016" s="201">
        <v>50</v>
      </c>
      <c r="F1016" s="201">
        <f>E1016/7</f>
        <v>7.1428571428571432</v>
      </c>
      <c r="G1016" s="203">
        <v>44628</v>
      </c>
    </row>
    <row r="1017" spans="2:18">
      <c r="C1017" s="200" t="s">
        <v>544</v>
      </c>
      <c r="D1017" s="200" t="s">
        <v>630</v>
      </c>
      <c r="E1017" s="201">
        <v>10</v>
      </c>
      <c r="F1017" s="201">
        <v>3</v>
      </c>
      <c r="G1017" s="203">
        <v>44378</v>
      </c>
    </row>
    <row r="1018" spans="2:18">
      <c r="G1018" s="203"/>
    </row>
    <row r="1019" spans="2:18" s="64" customFormat="1">
      <c r="B1019" s="64" t="s">
        <v>1141</v>
      </c>
      <c r="C1019" s="213" t="s">
        <v>491</v>
      </c>
      <c r="D1019" s="213" t="s">
        <v>759</v>
      </c>
      <c r="E1019" s="214"/>
      <c r="F1019" s="214">
        <f>SUM(F1020:F1022)</f>
        <v>10</v>
      </c>
      <c r="G1019" s="215">
        <f>G1020</f>
        <v>44963</v>
      </c>
      <c r="M1019" s="191"/>
      <c r="N1019" s="191"/>
      <c r="O1019" s="191"/>
      <c r="P1019" s="191"/>
      <c r="Q1019" s="191"/>
      <c r="R1019" s="191"/>
    </row>
    <row r="1020" spans="2:18">
      <c r="C1020" s="200" t="s">
        <v>544</v>
      </c>
      <c r="D1020" s="200" t="s">
        <v>460</v>
      </c>
      <c r="E1020" s="201">
        <v>23</v>
      </c>
      <c r="F1020" s="201">
        <v>5</v>
      </c>
      <c r="G1020" s="203">
        <v>44963</v>
      </c>
    </row>
    <row r="1021" spans="2:18">
      <c r="C1021" s="211" t="s">
        <v>544</v>
      </c>
      <c r="D1021" s="211" t="s">
        <v>702</v>
      </c>
      <c r="E1021" s="201">
        <v>14</v>
      </c>
      <c r="F1021" s="201">
        <v>3</v>
      </c>
      <c r="G1021" s="203">
        <v>44705</v>
      </c>
    </row>
    <row r="1022" spans="2:18">
      <c r="C1022" s="211" t="s">
        <v>549</v>
      </c>
      <c r="D1022" s="211" t="s">
        <v>702</v>
      </c>
      <c r="E1022" s="201">
        <v>5</v>
      </c>
      <c r="F1022" s="201">
        <v>2</v>
      </c>
      <c r="G1022" s="203">
        <v>44578</v>
      </c>
    </row>
    <row r="1023" spans="2:18">
      <c r="C1023" s="211"/>
      <c r="D1023" s="211"/>
      <c r="G1023" s="203"/>
    </row>
    <row r="1024" spans="2:18" s="64" customFormat="1">
      <c r="B1024" s="64" t="s">
        <v>1023</v>
      </c>
      <c r="C1024" s="191" t="s">
        <v>491</v>
      </c>
      <c r="D1024" s="191" t="s">
        <v>759</v>
      </c>
      <c r="E1024" s="188"/>
      <c r="F1024" s="188">
        <f>SUM(F1025:F1026)</f>
        <v>10.142857142857142</v>
      </c>
      <c r="G1024" s="202">
        <f>G1025</f>
        <v>44628</v>
      </c>
      <c r="M1024" s="191"/>
      <c r="N1024" s="191"/>
      <c r="O1024" s="191"/>
      <c r="P1024" s="191"/>
      <c r="Q1024" s="191"/>
      <c r="R1024" s="191"/>
    </row>
    <row r="1025" spans="2:18">
      <c r="C1025" s="200" t="s">
        <v>402</v>
      </c>
      <c r="D1025" s="200" t="s">
        <v>630</v>
      </c>
      <c r="E1025" s="201">
        <v>50</v>
      </c>
      <c r="F1025" s="201">
        <f>E1025/7</f>
        <v>7.1428571428571432</v>
      </c>
      <c r="G1025" s="203">
        <v>44628</v>
      </c>
    </row>
    <row r="1026" spans="2:18">
      <c r="C1026" s="200" t="s">
        <v>544</v>
      </c>
      <c r="D1026" s="200" t="s">
        <v>630</v>
      </c>
      <c r="E1026" s="201">
        <v>10</v>
      </c>
      <c r="F1026" s="201">
        <v>3</v>
      </c>
      <c r="G1026" s="203">
        <v>44378</v>
      </c>
    </row>
    <row r="1027" spans="2:18">
      <c r="G1027" s="203"/>
    </row>
    <row r="1028" spans="2:18" s="64" customFormat="1">
      <c r="B1028" s="64" t="s">
        <v>1496</v>
      </c>
      <c r="C1028" s="191" t="s">
        <v>491</v>
      </c>
      <c r="D1028" s="191" t="s">
        <v>759</v>
      </c>
      <c r="E1028" s="188"/>
      <c r="F1028" s="188">
        <f>SUM(F1029:F1033)</f>
        <v>12.5</v>
      </c>
      <c r="G1028" s="202">
        <f>G1029</f>
        <v>44784</v>
      </c>
      <c r="M1028" s="191"/>
      <c r="N1028" s="191"/>
      <c r="O1028" s="191"/>
      <c r="P1028" s="191"/>
      <c r="Q1028" s="191"/>
      <c r="R1028" s="191"/>
    </row>
    <row r="1029" spans="2:18" s="251" customFormat="1">
      <c r="C1029" s="253" t="s">
        <v>544</v>
      </c>
      <c r="D1029" s="253" t="s">
        <v>1479</v>
      </c>
      <c r="E1029" s="256">
        <v>12.5</v>
      </c>
      <c r="F1029" s="256">
        <v>2</v>
      </c>
      <c r="G1029" s="254">
        <v>44784</v>
      </c>
      <c r="M1029" s="253"/>
      <c r="N1029" s="253"/>
      <c r="O1029" s="253"/>
      <c r="P1029" s="253"/>
      <c r="Q1029" s="253"/>
      <c r="R1029" s="253"/>
    </row>
    <row r="1030" spans="2:18">
      <c r="C1030" s="200" t="s">
        <v>544</v>
      </c>
      <c r="D1030" s="200" t="s">
        <v>1479</v>
      </c>
      <c r="E1030" s="201">
        <v>10</v>
      </c>
      <c r="F1030" s="201">
        <v>2</v>
      </c>
      <c r="G1030" s="203">
        <v>44110</v>
      </c>
    </row>
    <row r="1031" spans="2:18">
      <c r="C1031" s="200" t="s">
        <v>549</v>
      </c>
      <c r="D1031" s="200" t="s">
        <v>1479</v>
      </c>
      <c r="E1031" s="201">
        <v>5</v>
      </c>
      <c r="F1031" s="201">
        <v>2</v>
      </c>
      <c r="G1031" s="203">
        <v>43392</v>
      </c>
    </row>
    <row r="1032" spans="2:18">
      <c r="C1032" s="253" t="s">
        <v>544</v>
      </c>
      <c r="D1032" s="253" t="s">
        <v>1663</v>
      </c>
      <c r="E1032" s="201">
        <v>30</v>
      </c>
      <c r="F1032" s="201">
        <f>20/5</f>
        <v>4</v>
      </c>
      <c r="G1032" s="203">
        <v>44474</v>
      </c>
    </row>
    <row r="1033" spans="2:18">
      <c r="C1033" s="253" t="s">
        <v>549</v>
      </c>
      <c r="D1033" s="253" t="s">
        <v>1663</v>
      </c>
      <c r="E1033" s="201">
        <v>15</v>
      </c>
      <c r="F1033" s="201">
        <f>10/4</f>
        <v>2.5</v>
      </c>
      <c r="G1033" s="203">
        <v>43775</v>
      </c>
    </row>
    <row r="1034" spans="2:18">
      <c r="G1034" s="203"/>
    </row>
    <row r="1035" spans="2:18" s="64" customFormat="1">
      <c r="B1035" s="64" t="s">
        <v>1187</v>
      </c>
      <c r="C1035" s="191" t="s">
        <v>491</v>
      </c>
      <c r="D1035" s="191" t="s">
        <v>759</v>
      </c>
      <c r="E1035" s="188"/>
      <c r="F1035" s="188">
        <f>SUM(F1036:F1039)</f>
        <v>10</v>
      </c>
      <c r="G1035" s="202">
        <f>G1039</f>
        <v>44578</v>
      </c>
      <c r="M1035" s="191"/>
      <c r="N1035" s="191"/>
      <c r="O1035" s="191"/>
      <c r="P1035" s="191"/>
      <c r="Q1035" s="191"/>
      <c r="R1035" s="191"/>
    </row>
    <row r="1036" spans="2:18">
      <c r="C1036" s="200" t="s">
        <v>544</v>
      </c>
      <c r="D1036" s="200" t="s">
        <v>659</v>
      </c>
      <c r="E1036" s="201">
        <v>30</v>
      </c>
      <c r="F1036" s="201">
        <v>4</v>
      </c>
      <c r="G1036" s="203">
        <v>44522</v>
      </c>
    </row>
    <row r="1037" spans="2:18">
      <c r="C1037" s="200" t="s">
        <v>549</v>
      </c>
      <c r="D1037" s="200" t="s">
        <v>659</v>
      </c>
      <c r="E1037" s="201">
        <v>5.5</v>
      </c>
      <c r="F1037" s="201">
        <v>1</v>
      </c>
      <c r="G1037" s="203">
        <v>44096</v>
      </c>
    </row>
    <row r="1038" spans="2:18">
      <c r="C1038" s="200" t="s">
        <v>549</v>
      </c>
      <c r="D1038" s="200" t="s">
        <v>659</v>
      </c>
      <c r="E1038" s="201">
        <v>2</v>
      </c>
      <c r="F1038" s="201">
        <v>2</v>
      </c>
      <c r="G1038" s="203">
        <v>43862</v>
      </c>
    </row>
    <row r="1039" spans="2:18">
      <c r="C1039" s="200" t="s">
        <v>544</v>
      </c>
      <c r="D1039" s="200" t="s">
        <v>1452</v>
      </c>
      <c r="E1039" s="201">
        <v>20</v>
      </c>
      <c r="F1039" s="201">
        <v>3</v>
      </c>
      <c r="G1039" s="203">
        <v>44578</v>
      </c>
    </row>
    <row r="1041" spans="2:18" s="64" customFormat="1">
      <c r="B1041" s="64" t="s">
        <v>2149</v>
      </c>
      <c r="C1041" s="191" t="s">
        <v>491</v>
      </c>
      <c r="D1041" s="191" t="s">
        <v>759</v>
      </c>
      <c r="E1041" s="188"/>
      <c r="F1041" s="188">
        <f>SUM(F1042:F1046)</f>
        <v>9.35</v>
      </c>
      <c r="G1041" s="202">
        <f>G1046</f>
        <v>44637</v>
      </c>
    </row>
    <row r="1042" spans="2:18">
      <c r="B1042" s="224"/>
      <c r="C1042" s="225" t="s">
        <v>565</v>
      </c>
      <c r="D1042" s="225" t="s">
        <v>441</v>
      </c>
      <c r="E1042" s="201">
        <v>48</v>
      </c>
      <c r="F1042" s="201">
        <v>4</v>
      </c>
      <c r="G1042" s="203">
        <v>43888</v>
      </c>
      <c r="M1042" s="199"/>
      <c r="N1042" s="199"/>
      <c r="O1042" s="199"/>
      <c r="P1042" s="199"/>
      <c r="Q1042" s="199"/>
      <c r="R1042" s="199"/>
    </row>
    <row r="1043" spans="2:18">
      <c r="B1043" s="224"/>
      <c r="C1043" s="225" t="s">
        <v>402</v>
      </c>
      <c r="D1043" s="225" t="s">
        <v>441</v>
      </c>
      <c r="E1043" s="201">
        <v>25</v>
      </c>
      <c r="F1043" s="201">
        <v>2</v>
      </c>
      <c r="G1043" s="203">
        <v>43440</v>
      </c>
      <c r="M1043" s="199"/>
      <c r="N1043" s="199"/>
      <c r="O1043" s="199"/>
      <c r="P1043" s="199"/>
      <c r="Q1043" s="199"/>
      <c r="R1043" s="199"/>
    </row>
    <row r="1044" spans="2:18">
      <c r="C1044" s="225" t="s">
        <v>544</v>
      </c>
      <c r="D1044" s="225" t="s">
        <v>441</v>
      </c>
      <c r="E1044" s="201">
        <v>5.8</v>
      </c>
      <c r="F1044" s="201">
        <f>E1044/4</f>
        <v>1.45</v>
      </c>
      <c r="G1044" s="203">
        <v>43117</v>
      </c>
      <c r="M1044" s="199"/>
      <c r="N1044" s="199"/>
      <c r="O1044" s="199"/>
      <c r="P1044" s="199"/>
      <c r="Q1044" s="199"/>
      <c r="R1044" s="199"/>
    </row>
    <row r="1045" spans="2:18">
      <c r="C1045" s="225" t="s">
        <v>549</v>
      </c>
      <c r="D1045" s="225" t="s">
        <v>441</v>
      </c>
      <c r="E1045" s="201">
        <v>3.3</v>
      </c>
      <c r="F1045" s="201">
        <v>0.5</v>
      </c>
      <c r="G1045" s="203">
        <v>42678</v>
      </c>
      <c r="M1045" s="199"/>
      <c r="N1045" s="199"/>
      <c r="O1045" s="199"/>
      <c r="P1045" s="199"/>
      <c r="Q1045" s="199"/>
      <c r="R1045" s="199"/>
    </row>
    <row r="1046" spans="2:18">
      <c r="C1046" s="253" t="s">
        <v>544</v>
      </c>
      <c r="D1046" s="253" t="s">
        <v>1647</v>
      </c>
      <c r="E1046" s="201">
        <v>10</v>
      </c>
      <c r="F1046" s="201">
        <v>1.4</v>
      </c>
      <c r="G1046" s="203">
        <v>44637</v>
      </c>
      <c r="M1046" s="199"/>
      <c r="N1046" s="199"/>
      <c r="O1046" s="199"/>
      <c r="P1046" s="199"/>
      <c r="Q1046" s="199"/>
      <c r="R1046" s="199"/>
    </row>
    <row r="1047" spans="2:18">
      <c r="C1047" s="253" t="s">
        <v>549</v>
      </c>
      <c r="D1047" s="253" t="s">
        <v>1647</v>
      </c>
      <c r="E1047" s="201">
        <v>1.8</v>
      </c>
      <c r="F1047" s="201">
        <v>0.2</v>
      </c>
      <c r="G1047" s="203">
        <v>42690</v>
      </c>
      <c r="M1047" s="199"/>
      <c r="N1047" s="199"/>
      <c r="O1047" s="199"/>
      <c r="P1047" s="199"/>
      <c r="Q1047" s="199"/>
      <c r="R1047" s="199"/>
    </row>
    <row r="1048" spans="2:18">
      <c r="C1048" s="225"/>
      <c r="D1048" s="225"/>
      <c r="G1048" s="203"/>
      <c r="M1048" s="199"/>
      <c r="N1048" s="199"/>
      <c r="O1048" s="199"/>
      <c r="P1048" s="199"/>
      <c r="Q1048" s="199"/>
      <c r="R1048" s="199"/>
    </row>
    <row r="1049" spans="2:18" s="64" customFormat="1">
      <c r="B1049" s="64" t="s">
        <v>1168</v>
      </c>
      <c r="C1049" s="191" t="s">
        <v>491</v>
      </c>
      <c r="D1049" s="191" t="s">
        <v>759</v>
      </c>
      <c r="E1049" s="188"/>
      <c r="F1049" s="188">
        <f>SUM(F1050:F1051)</f>
        <v>8.8000000000000007</v>
      </c>
      <c r="G1049" s="202">
        <f>G1051</f>
        <v>44455</v>
      </c>
      <c r="M1049" s="191"/>
      <c r="N1049" s="191"/>
      <c r="O1049" s="191"/>
      <c r="P1049" s="191"/>
      <c r="Q1049" s="191"/>
      <c r="R1049" s="191"/>
    </row>
    <row r="1050" spans="2:18">
      <c r="C1050" s="200" t="s">
        <v>544</v>
      </c>
      <c r="D1050" s="200" t="s">
        <v>1163</v>
      </c>
      <c r="E1050" s="201">
        <v>21.4</v>
      </c>
      <c r="F1050" s="201">
        <f>11.4/3</f>
        <v>3.8000000000000003</v>
      </c>
      <c r="G1050" s="203">
        <v>44232</v>
      </c>
    </row>
    <row r="1051" spans="2:18">
      <c r="C1051" s="200" t="s">
        <v>544</v>
      </c>
      <c r="D1051" s="200" t="s">
        <v>688</v>
      </c>
      <c r="E1051" s="201">
        <v>20</v>
      </c>
      <c r="F1051" s="201">
        <v>5</v>
      </c>
      <c r="G1051" s="203">
        <v>44455</v>
      </c>
    </row>
    <row r="1052" spans="2:18">
      <c r="G1052" s="203"/>
    </row>
    <row r="1053" spans="2:18" s="64" customFormat="1">
      <c r="B1053" s="64" t="s">
        <v>1102</v>
      </c>
      <c r="C1053" s="191" t="s">
        <v>491</v>
      </c>
      <c r="D1053" s="191" t="s">
        <v>759</v>
      </c>
      <c r="E1053" s="188"/>
      <c r="F1053" s="188">
        <f>SUM(F1054:F1055)</f>
        <v>7.5</v>
      </c>
      <c r="G1053" s="202">
        <f>G1054</f>
        <v>44796</v>
      </c>
      <c r="M1053" s="191"/>
      <c r="N1053" s="191"/>
      <c r="O1053" s="191"/>
      <c r="P1053" s="191"/>
      <c r="Q1053" s="191"/>
      <c r="R1053" s="191"/>
    </row>
    <row r="1054" spans="2:18">
      <c r="C1054" s="200" t="s">
        <v>544</v>
      </c>
      <c r="D1054" s="200" t="s">
        <v>1094</v>
      </c>
      <c r="E1054" s="201">
        <v>50</v>
      </c>
      <c r="F1054" s="201">
        <f>30/12</f>
        <v>2.5</v>
      </c>
      <c r="G1054" s="203">
        <v>44796</v>
      </c>
    </row>
    <row r="1055" spans="2:18">
      <c r="C1055" s="200" t="s">
        <v>549</v>
      </c>
      <c r="D1055" s="200" t="s">
        <v>1094</v>
      </c>
      <c r="E1055" s="201">
        <v>12.5</v>
      </c>
      <c r="F1055" s="201">
        <v>5</v>
      </c>
      <c r="G1055" s="203">
        <v>44623</v>
      </c>
    </row>
    <row r="1057" spans="2:18" s="64" customFormat="1">
      <c r="B1057" s="64" t="s">
        <v>1350</v>
      </c>
      <c r="C1057" s="191" t="s">
        <v>491</v>
      </c>
      <c r="D1057" s="191" t="s">
        <v>759</v>
      </c>
      <c r="E1057" s="188"/>
      <c r="F1057" s="188">
        <f>SUM(F1058:F1059)</f>
        <v>7.5714285714285712</v>
      </c>
      <c r="G1057" s="202">
        <f>G1059</f>
        <v>44851</v>
      </c>
      <c r="M1057" s="191"/>
      <c r="N1057" s="191"/>
      <c r="O1057" s="191"/>
      <c r="P1057" s="191"/>
      <c r="Q1057" s="191"/>
      <c r="R1057" s="191"/>
    </row>
    <row r="1058" spans="2:18">
      <c r="C1058" s="200" t="s">
        <v>544</v>
      </c>
      <c r="D1058" s="200" t="s">
        <v>674</v>
      </c>
      <c r="E1058" s="201">
        <v>25</v>
      </c>
      <c r="F1058" s="201">
        <f>18/7</f>
        <v>2.5714285714285716</v>
      </c>
      <c r="G1058" s="203">
        <v>44757</v>
      </c>
    </row>
    <row r="1059" spans="2:18">
      <c r="C1059" s="273" t="s">
        <v>544</v>
      </c>
      <c r="D1059" s="273" t="s">
        <v>1760</v>
      </c>
      <c r="E1059" s="201">
        <v>32</v>
      </c>
      <c r="F1059" s="201">
        <v>5</v>
      </c>
      <c r="G1059" s="203">
        <v>44851</v>
      </c>
    </row>
    <row r="1060" spans="2:18">
      <c r="G1060" s="203"/>
    </row>
    <row r="1061" spans="2:18">
      <c r="B1061" s="64" t="s">
        <v>1039</v>
      </c>
      <c r="C1061" s="191" t="s">
        <v>491</v>
      </c>
      <c r="D1061" s="191" t="s">
        <v>759</v>
      </c>
      <c r="F1061" s="188">
        <f>SUM(F1062:F1064)</f>
        <v>7.5</v>
      </c>
      <c r="G1061" s="202">
        <f>G1062</f>
        <v>45036</v>
      </c>
    </row>
    <row r="1062" spans="2:18">
      <c r="C1062" s="200" t="s">
        <v>402</v>
      </c>
      <c r="D1062" s="200" t="s">
        <v>623</v>
      </c>
      <c r="E1062" s="201">
        <v>50</v>
      </c>
      <c r="F1062" s="201">
        <v>6</v>
      </c>
      <c r="G1062" s="203">
        <v>45036</v>
      </c>
    </row>
    <row r="1063" spans="2:18">
      <c r="C1063" s="200" t="s">
        <v>544</v>
      </c>
      <c r="D1063" s="200" t="s">
        <v>623</v>
      </c>
      <c r="E1063" s="201">
        <v>16.5</v>
      </c>
      <c r="F1063" s="201">
        <v>1</v>
      </c>
      <c r="G1063" s="203">
        <v>44614</v>
      </c>
    </row>
    <row r="1064" spans="2:18">
      <c r="C1064" s="200" t="s">
        <v>549</v>
      </c>
      <c r="D1064" s="200" t="s">
        <v>623</v>
      </c>
      <c r="E1064" s="201">
        <v>1.2</v>
      </c>
      <c r="F1064" s="201">
        <v>0.5</v>
      </c>
      <c r="G1064" s="203">
        <v>44044</v>
      </c>
    </row>
    <row r="1065" spans="2:18">
      <c r="G1065" s="203"/>
    </row>
    <row r="1066" spans="2:18" s="64" customFormat="1">
      <c r="B1066" s="64" t="s">
        <v>1073</v>
      </c>
      <c r="C1066" s="191" t="s">
        <v>491</v>
      </c>
      <c r="D1066" s="191" t="s">
        <v>759</v>
      </c>
      <c r="E1066" s="188"/>
      <c r="F1066" s="188">
        <f>SUM(F1067:F1068)</f>
        <v>6.8</v>
      </c>
      <c r="G1066" s="202">
        <f>G1067</f>
        <v>44650</v>
      </c>
      <c r="M1066" s="191"/>
      <c r="N1066" s="191"/>
      <c r="O1066" s="191"/>
      <c r="P1066" s="191"/>
      <c r="Q1066" s="191"/>
      <c r="R1066" s="191"/>
    </row>
    <row r="1067" spans="2:18">
      <c r="C1067" s="200" t="s">
        <v>402</v>
      </c>
      <c r="D1067" s="200" t="s">
        <v>650</v>
      </c>
      <c r="E1067" s="201">
        <v>40</v>
      </c>
      <c r="F1067" s="201">
        <v>5</v>
      </c>
      <c r="G1067" s="203">
        <v>44650</v>
      </c>
    </row>
    <row r="1068" spans="2:18">
      <c r="C1068" s="200" t="s">
        <v>544</v>
      </c>
      <c r="D1068" s="200" t="s">
        <v>650</v>
      </c>
      <c r="E1068" s="201">
        <v>14</v>
      </c>
      <c r="F1068" s="201">
        <f>9/5</f>
        <v>1.8</v>
      </c>
      <c r="G1068" s="203">
        <v>44131</v>
      </c>
    </row>
    <row r="1069" spans="2:18">
      <c r="G1069" s="203"/>
    </row>
    <row r="1070" spans="2:18" s="64" customFormat="1">
      <c r="B1070" s="64" t="s">
        <v>1169</v>
      </c>
      <c r="C1070" s="191" t="s">
        <v>491</v>
      </c>
      <c r="D1070" s="191" t="s">
        <v>759</v>
      </c>
      <c r="E1070" s="188"/>
      <c r="F1070" s="188">
        <f>F1071+F1072</f>
        <v>6.8000000000000007</v>
      </c>
      <c r="G1070" s="202">
        <f>G1072</f>
        <v>44705</v>
      </c>
      <c r="M1070" s="191"/>
      <c r="N1070" s="191"/>
      <c r="O1070" s="191"/>
      <c r="P1070" s="191"/>
      <c r="Q1070" s="191"/>
      <c r="R1070" s="191"/>
    </row>
    <row r="1071" spans="2:18">
      <c r="C1071" s="200" t="s">
        <v>544</v>
      </c>
      <c r="D1071" s="200" t="s">
        <v>1163</v>
      </c>
      <c r="E1071" s="201">
        <v>21.4</v>
      </c>
      <c r="F1071" s="201">
        <f>11.4/3</f>
        <v>3.8000000000000003</v>
      </c>
      <c r="G1071" s="203">
        <v>44232</v>
      </c>
    </row>
    <row r="1072" spans="2:18">
      <c r="C1072" s="211" t="s">
        <v>544</v>
      </c>
      <c r="D1072" s="211" t="s">
        <v>702</v>
      </c>
      <c r="E1072" s="201">
        <v>14</v>
      </c>
      <c r="F1072" s="201">
        <v>3</v>
      </c>
      <c r="G1072" s="203">
        <v>44705</v>
      </c>
    </row>
    <row r="1073" spans="2:18">
      <c r="C1073" s="211" t="s">
        <v>549</v>
      </c>
      <c r="D1073" s="211" t="s">
        <v>702</v>
      </c>
      <c r="E1073" s="201">
        <v>5</v>
      </c>
      <c r="F1073" s="201">
        <v>2</v>
      </c>
      <c r="G1073" s="203">
        <v>44578</v>
      </c>
    </row>
    <row r="1074" spans="2:18">
      <c r="C1074" s="211"/>
      <c r="D1074" s="211"/>
      <c r="G1074" s="203"/>
    </row>
    <row r="1075" spans="2:18" s="64" customFormat="1">
      <c r="B1075" s="64" t="s">
        <v>1678</v>
      </c>
      <c r="C1075" s="191" t="s">
        <v>491</v>
      </c>
      <c r="D1075" s="191" t="s">
        <v>759</v>
      </c>
      <c r="E1075" s="188"/>
      <c r="F1075" s="188">
        <f>SUM(F1076:F1078)</f>
        <v>18.866666666666667</v>
      </c>
      <c r="G1075" s="202">
        <f>G1076</f>
        <v>45035</v>
      </c>
      <c r="M1075" s="191"/>
      <c r="N1075" s="191"/>
      <c r="O1075" s="191"/>
      <c r="P1075" s="191"/>
      <c r="Q1075" s="191"/>
      <c r="R1075" s="191"/>
    </row>
    <row r="1076" spans="2:18">
      <c r="B1076" s="210"/>
      <c r="C1076" s="211" t="s">
        <v>544</v>
      </c>
      <c r="D1076" s="211" t="s">
        <v>620</v>
      </c>
      <c r="E1076" s="201">
        <v>70</v>
      </c>
      <c r="F1076" s="201">
        <f>40/6</f>
        <v>6.666666666666667</v>
      </c>
      <c r="G1076" s="203">
        <v>45035</v>
      </c>
    </row>
    <row r="1077" spans="2:18">
      <c r="B1077" s="210"/>
      <c r="C1077" s="253" t="s">
        <v>549</v>
      </c>
      <c r="D1077" s="253" t="s">
        <v>1647</v>
      </c>
      <c r="E1077" s="201">
        <v>1.8</v>
      </c>
      <c r="F1077" s="201">
        <v>0.2</v>
      </c>
      <c r="G1077" s="203">
        <v>42690</v>
      </c>
    </row>
    <row r="1078" spans="2:18">
      <c r="B1078" s="210"/>
      <c r="C1078" s="273" t="s">
        <v>755</v>
      </c>
      <c r="D1078" s="273" t="s">
        <v>1827</v>
      </c>
      <c r="E1078" s="201">
        <v>130</v>
      </c>
      <c r="F1078" s="201">
        <v>12</v>
      </c>
      <c r="G1078" s="203">
        <v>42080</v>
      </c>
      <c r="I1078" s="199">
        <v>570</v>
      </c>
    </row>
    <row r="1079" spans="2:18">
      <c r="B1079" s="210"/>
      <c r="C1079" s="211"/>
      <c r="D1079" s="211"/>
      <c r="G1079" s="203"/>
    </row>
    <row r="1080" spans="2:18" s="64" customFormat="1">
      <c r="B1080" s="64" t="s">
        <v>1611</v>
      </c>
      <c r="C1080" s="191" t="s">
        <v>491</v>
      </c>
      <c r="D1080" s="191" t="s">
        <v>759</v>
      </c>
      <c r="E1080" s="188"/>
      <c r="F1080" s="188">
        <f>SUM(F1081:F1082)</f>
        <v>6.1428571428571423</v>
      </c>
      <c r="G1080" s="202">
        <f>G1081</f>
        <v>44691</v>
      </c>
      <c r="M1080" s="191"/>
      <c r="N1080" s="191"/>
      <c r="O1080" s="191"/>
      <c r="P1080" s="191"/>
      <c r="Q1080" s="191"/>
      <c r="R1080" s="191"/>
    </row>
    <row r="1081" spans="2:18">
      <c r="B1081" s="210"/>
      <c r="C1081" s="211" t="s">
        <v>549</v>
      </c>
      <c r="D1081" s="211" t="s">
        <v>467</v>
      </c>
      <c r="E1081" s="201">
        <v>15</v>
      </c>
      <c r="F1081" s="201">
        <f>15/7</f>
        <v>2.1428571428571428</v>
      </c>
      <c r="G1081" s="203">
        <v>44691</v>
      </c>
    </row>
    <row r="1082" spans="2:18">
      <c r="B1082" s="210"/>
      <c r="C1082" s="253" t="s">
        <v>402</v>
      </c>
      <c r="D1082" s="253" t="s">
        <v>1632</v>
      </c>
      <c r="E1082" s="201">
        <v>40</v>
      </c>
      <c r="F1082" s="201">
        <v>4</v>
      </c>
      <c r="G1082" s="203">
        <v>43419</v>
      </c>
    </row>
    <row r="1083" spans="2:18">
      <c r="B1083" s="210"/>
      <c r="C1083" s="211"/>
      <c r="D1083" s="211"/>
      <c r="G1083" s="203"/>
    </row>
    <row r="1084" spans="2:18" s="64" customFormat="1">
      <c r="B1084" s="64" t="s">
        <v>1328</v>
      </c>
      <c r="C1084" s="191" t="s">
        <v>491</v>
      </c>
      <c r="D1084" s="191" t="s">
        <v>759</v>
      </c>
      <c r="E1084" s="188"/>
      <c r="F1084" s="188">
        <f>SUM(F1085:F1086)</f>
        <v>5.75</v>
      </c>
      <c r="G1084" s="202">
        <f>G1085</f>
        <v>44615</v>
      </c>
      <c r="M1084" s="191"/>
      <c r="N1084" s="191"/>
      <c r="O1084" s="191"/>
      <c r="P1084" s="191"/>
      <c r="Q1084" s="191"/>
      <c r="R1084" s="191"/>
    </row>
    <row r="1085" spans="2:18">
      <c r="C1085" s="200" t="s">
        <v>544</v>
      </c>
      <c r="D1085" s="200" t="s">
        <v>672</v>
      </c>
      <c r="E1085" s="201">
        <v>25</v>
      </c>
      <c r="F1085" s="201">
        <f>15/4</f>
        <v>3.75</v>
      </c>
      <c r="G1085" s="203">
        <v>44615</v>
      </c>
    </row>
    <row r="1086" spans="2:18">
      <c r="C1086" s="200" t="s">
        <v>549</v>
      </c>
      <c r="D1086" s="200" t="s">
        <v>672</v>
      </c>
      <c r="E1086" s="201">
        <v>5</v>
      </c>
      <c r="F1086" s="201">
        <v>2</v>
      </c>
      <c r="G1086" s="203">
        <v>44292</v>
      </c>
    </row>
    <row r="1087" spans="2:18">
      <c r="G1087" s="203"/>
    </row>
    <row r="1088" spans="2:18">
      <c r="B1088" s="64" t="s">
        <v>993</v>
      </c>
      <c r="C1088" s="191" t="s">
        <v>491</v>
      </c>
      <c r="D1088" s="191" t="s">
        <v>759</v>
      </c>
      <c r="F1088" s="188">
        <f>SUM(F1089:F1091)</f>
        <v>10.333333333333332</v>
      </c>
      <c r="G1088" s="202">
        <f>G1090</f>
        <v>44467</v>
      </c>
    </row>
    <row r="1089" spans="2:18">
      <c r="C1089" s="200" t="s">
        <v>544</v>
      </c>
      <c r="D1089" s="200" t="s">
        <v>616</v>
      </c>
      <c r="E1089" s="201">
        <v>20</v>
      </c>
      <c r="F1089" s="201">
        <f>12/6</f>
        <v>2</v>
      </c>
      <c r="G1089" s="203">
        <v>43816</v>
      </c>
    </row>
    <row r="1090" spans="2:18">
      <c r="C1090" s="200" t="s">
        <v>544</v>
      </c>
      <c r="D1090" s="200" t="s">
        <v>652</v>
      </c>
      <c r="E1090" s="201">
        <v>19</v>
      </c>
      <c r="F1090" s="201">
        <v>4</v>
      </c>
      <c r="G1090" s="203">
        <v>44467</v>
      </c>
    </row>
    <row r="1091" spans="2:18">
      <c r="C1091" s="273" t="s">
        <v>544</v>
      </c>
      <c r="D1091" s="273" t="s">
        <v>1760</v>
      </c>
      <c r="E1091" s="201">
        <v>26</v>
      </c>
      <c r="F1091" s="201">
        <v>4.333333333333333</v>
      </c>
      <c r="G1091" s="203">
        <v>44453</v>
      </c>
    </row>
    <row r="1092" spans="2:18">
      <c r="C1092" s="273" t="s">
        <v>549</v>
      </c>
      <c r="D1092" s="273" t="s">
        <v>1760</v>
      </c>
      <c r="E1092" s="201">
        <v>6.2</v>
      </c>
      <c r="F1092" s="201">
        <v>1</v>
      </c>
      <c r="G1092" s="203">
        <v>44201</v>
      </c>
    </row>
    <row r="1093" spans="2:18">
      <c r="G1093" s="203"/>
    </row>
    <row r="1094" spans="2:18" s="64" customFormat="1">
      <c r="B1094" s="64" t="s">
        <v>1321</v>
      </c>
      <c r="C1094" s="191" t="s">
        <v>491</v>
      </c>
      <c r="D1094" s="191" t="s">
        <v>759</v>
      </c>
      <c r="E1094" s="188"/>
      <c r="F1094" s="188">
        <f>SUM(F1095:F1097)</f>
        <v>6</v>
      </c>
      <c r="G1094" s="202">
        <f>G1095</f>
        <v>44636</v>
      </c>
      <c r="M1094" s="191"/>
      <c r="N1094" s="191"/>
      <c r="O1094" s="191"/>
      <c r="P1094" s="191"/>
      <c r="Q1094" s="191"/>
      <c r="R1094" s="191"/>
    </row>
    <row r="1095" spans="2:18">
      <c r="C1095" s="200" t="s">
        <v>402</v>
      </c>
      <c r="D1095" s="200" t="s">
        <v>671</v>
      </c>
      <c r="E1095" s="201">
        <v>25</v>
      </c>
      <c r="F1095" s="201">
        <v>3</v>
      </c>
      <c r="G1095" s="203">
        <v>44636</v>
      </c>
    </row>
    <row r="1096" spans="2:18">
      <c r="C1096" s="200" t="s">
        <v>544</v>
      </c>
      <c r="D1096" s="200" t="s">
        <v>671</v>
      </c>
      <c r="E1096" s="201">
        <v>12</v>
      </c>
      <c r="F1096" s="201">
        <v>2</v>
      </c>
      <c r="G1096" s="203">
        <v>44179</v>
      </c>
    </row>
    <row r="1097" spans="2:18">
      <c r="C1097" s="200" t="s">
        <v>549</v>
      </c>
      <c r="D1097" s="200" t="s">
        <v>671</v>
      </c>
      <c r="E1097" s="201">
        <v>5.0999999999999996</v>
      </c>
      <c r="F1097" s="201">
        <v>1</v>
      </c>
      <c r="G1097" s="203">
        <v>44046</v>
      </c>
    </row>
    <row r="1098" spans="2:18">
      <c r="G1098" s="203"/>
    </row>
    <row r="1099" spans="2:18" s="64" customFormat="1">
      <c r="B1099" s="64" t="s">
        <v>1133</v>
      </c>
      <c r="C1099" s="191" t="s">
        <v>491</v>
      </c>
      <c r="D1099" s="191" t="s">
        <v>759</v>
      </c>
      <c r="E1099" s="188"/>
      <c r="F1099" s="188">
        <f>SUM(F1100:F1101)</f>
        <v>4.833333333333333</v>
      </c>
      <c r="G1099" s="202">
        <f>G1100</f>
        <v>44893</v>
      </c>
      <c r="M1099" s="191"/>
      <c r="N1099" s="191"/>
      <c r="O1099" s="191"/>
      <c r="P1099" s="191"/>
      <c r="Q1099" s="191"/>
      <c r="R1099" s="191"/>
    </row>
    <row r="1100" spans="2:18">
      <c r="C1100" s="200" t="s">
        <v>544</v>
      </c>
      <c r="D1100" s="200" t="s">
        <v>654</v>
      </c>
      <c r="E1100" s="201">
        <v>33</v>
      </c>
      <c r="F1100" s="201">
        <f>13/3</f>
        <v>4.333333333333333</v>
      </c>
      <c r="G1100" s="203">
        <v>44893</v>
      </c>
    </row>
    <row r="1101" spans="2:18">
      <c r="C1101" s="200" t="s">
        <v>1137</v>
      </c>
      <c r="D1101" s="200" t="s">
        <v>654</v>
      </c>
      <c r="E1101" s="201">
        <v>3</v>
      </c>
      <c r="F1101" s="201">
        <v>0.5</v>
      </c>
      <c r="G1101" s="203">
        <v>44183</v>
      </c>
    </row>
    <row r="1102" spans="2:18">
      <c r="G1102" s="203"/>
    </row>
    <row r="1103" spans="2:18" s="64" customFormat="1">
      <c r="B1103" s="64" t="s">
        <v>1190</v>
      </c>
      <c r="C1103" s="191" t="s">
        <v>491</v>
      </c>
      <c r="D1103" s="191" t="s">
        <v>759</v>
      </c>
      <c r="E1103" s="188"/>
      <c r="F1103" s="188">
        <f>SUM(F1104:F1105)</f>
        <v>5</v>
      </c>
      <c r="G1103" s="202">
        <f>G1104</f>
        <v>44522</v>
      </c>
      <c r="M1103" s="191"/>
      <c r="N1103" s="191"/>
      <c r="O1103" s="191"/>
      <c r="P1103" s="191"/>
      <c r="Q1103" s="191"/>
      <c r="R1103" s="191"/>
    </row>
    <row r="1104" spans="2:18">
      <c r="C1104" s="200" t="s">
        <v>544</v>
      </c>
      <c r="D1104" s="200" t="s">
        <v>659</v>
      </c>
      <c r="E1104" s="201">
        <v>30</v>
      </c>
      <c r="F1104" s="201">
        <v>4</v>
      </c>
      <c r="G1104" s="203">
        <v>44522</v>
      </c>
    </row>
    <row r="1105" spans="2:18">
      <c r="C1105" s="200" t="s">
        <v>549</v>
      </c>
      <c r="D1105" s="200" t="s">
        <v>659</v>
      </c>
      <c r="E1105" s="201">
        <v>5.5</v>
      </c>
      <c r="F1105" s="201">
        <v>1</v>
      </c>
      <c r="G1105" s="203">
        <v>44096</v>
      </c>
    </row>
    <row r="1107" spans="2:18" s="64" customFormat="1">
      <c r="B1107" s="64" t="s">
        <v>1134</v>
      </c>
      <c r="C1107" s="191" t="s">
        <v>491</v>
      </c>
      <c r="D1107" s="191" t="s">
        <v>759</v>
      </c>
      <c r="E1107" s="188"/>
      <c r="F1107" s="188">
        <f>SUM(F1108:F1109)</f>
        <v>4.833333333333333</v>
      </c>
      <c r="G1107" s="202">
        <f>G1108</f>
        <v>44893</v>
      </c>
      <c r="M1107" s="191"/>
      <c r="N1107" s="191"/>
      <c r="O1107" s="191"/>
      <c r="P1107" s="191"/>
      <c r="Q1107" s="191"/>
      <c r="R1107" s="191"/>
    </row>
    <row r="1108" spans="2:18">
      <c r="C1108" s="200" t="s">
        <v>544</v>
      </c>
      <c r="D1108" s="200" t="s">
        <v>654</v>
      </c>
      <c r="E1108" s="201">
        <v>33</v>
      </c>
      <c r="F1108" s="201">
        <f>13/3</f>
        <v>4.333333333333333</v>
      </c>
      <c r="G1108" s="203">
        <v>44893</v>
      </c>
    </row>
    <row r="1109" spans="2:18">
      <c r="C1109" s="200" t="s">
        <v>1137</v>
      </c>
      <c r="D1109" s="200" t="s">
        <v>654</v>
      </c>
      <c r="E1109" s="201">
        <v>3</v>
      </c>
      <c r="F1109" s="201">
        <v>0.5</v>
      </c>
      <c r="G1109" s="203">
        <v>44183</v>
      </c>
    </row>
    <row r="1110" spans="2:18">
      <c r="C1110" s="253" t="s">
        <v>549</v>
      </c>
      <c r="D1110" s="253" t="s">
        <v>1647</v>
      </c>
      <c r="E1110" s="201">
        <v>1.8</v>
      </c>
      <c r="F1110" s="201">
        <v>0.2</v>
      </c>
      <c r="G1110" s="203">
        <v>42690</v>
      </c>
    </row>
    <row r="1111" spans="2:18">
      <c r="G1111" s="203"/>
    </row>
    <row r="1112" spans="2:18" s="64" customFormat="1">
      <c r="B1112" s="64" t="s">
        <v>1320</v>
      </c>
      <c r="C1112" s="191" t="s">
        <v>491</v>
      </c>
      <c r="D1112" s="191" t="s">
        <v>759</v>
      </c>
      <c r="E1112" s="188"/>
      <c r="F1112" s="188">
        <f>SUM(F1113:F1114)</f>
        <v>5</v>
      </c>
      <c r="G1112" s="202">
        <f>G1113</f>
        <v>44636</v>
      </c>
      <c r="M1112" s="191"/>
      <c r="N1112" s="191"/>
      <c r="O1112" s="191"/>
      <c r="P1112" s="191"/>
      <c r="Q1112" s="191"/>
      <c r="R1112" s="191"/>
    </row>
    <row r="1113" spans="2:18">
      <c r="C1113" s="200" t="s">
        <v>402</v>
      </c>
      <c r="D1113" s="200" t="s">
        <v>671</v>
      </c>
      <c r="E1113" s="201">
        <v>25</v>
      </c>
      <c r="F1113" s="201">
        <v>3</v>
      </c>
      <c r="G1113" s="203">
        <v>44636</v>
      </c>
    </row>
    <row r="1114" spans="2:18">
      <c r="C1114" s="200" t="s">
        <v>544</v>
      </c>
      <c r="D1114" s="200" t="s">
        <v>671</v>
      </c>
      <c r="E1114" s="201">
        <v>12.2</v>
      </c>
      <c r="F1114" s="201">
        <v>2</v>
      </c>
      <c r="G1114" s="203">
        <v>44179</v>
      </c>
    </row>
    <row r="1115" spans="2:18">
      <c r="G1115" s="203"/>
    </row>
    <row r="1116" spans="2:18" s="64" customFormat="1">
      <c r="B1116" s="64" t="s">
        <v>2376</v>
      </c>
      <c r="C1116" s="191" t="s">
        <v>491</v>
      </c>
      <c r="D1116" s="191" t="s">
        <v>759</v>
      </c>
      <c r="E1116" s="188"/>
      <c r="F1116" s="188">
        <f>SUM(F1117:F1119)</f>
        <v>4.2333333333333325</v>
      </c>
      <c r="G1116" s="202">
        <f>G1119</f>
        <v>44637</v>
      </c>
    </row>
    <row r="1117" spans="2:18">
      <c r="B1117" s="224"/>
      <c r="C1117" s="225" t="s">
        <v>544</v>
      </c>
      <c r="D1117" s="225" t="s">
        <v>502</v>
      </c>
      <c r="E1117" s="201">
        <v>14.5</v>
      </c>
      <c r="F1117" s="201">
        <v>1.5</v>
      </c>
      <c r="G1117" s="203">
        <v>43389</v>
      </c>
      <c r="M1117" s="199"/>
      <c r="N1117" s="199"/>
      <c r="O1117" s="199"/>
      <c r="P1117" s="199"/>
      <c r="Q1117" s="199"/>
      <c r="R1117" s="199"/>
    </row>
    <row r="1118" spans="2:18">
      <c r="B1118" s="224"/>
      <c r="C1118" s="225" t="s">
        <v>549</v>
      </c>
      <c r="D1118" s="225" t="s">
        <v>502</v>
      </c>
      <c r="E1118" s="201">
        <v>4</v>
      </c>
      <c r="F1118" s="201">
        <f>4/3</f>
        <v>1.3333333333333333</v>
      </c>
      <c r="G1118" s="203">
        <v>42647</v>
      </c>
      <c r="M1118" s="199"/>
      <c r="N1118" s="199"/>
      <c r="O1118" s="199"/>
      <c r="P1118" s="199"/>
      <c r="Q1118" s="199"/>
      <c r="R1118" s="199"/>
    </row>
    <row r="1119" spans="2:18">
      <c r="B1119" s="224"/>
      <c r="C1119" s="253" t="s">
        <v>544</v>
      </c>
      <c r="D1119" s="253" t="s">
        <v>1647</v>
      </c>
      <c r="E1119" s="201">
        <v>10</v>
      </c>
      <c r="F1119" s="201">
        <v>1.4</v>
      </c>
      <c r="G1119" s="203">
        <v>44637</v>
      </c>
      <c r="M1119" s="199"/>
      <c r="N1119" s="199"/>
      <c r="O1119" s="199"/>
      <c r="P1119" s="199"/>
      <c r="Q1119" s="199"/>
      <c r="R1119" s="199"/>
    </row>
    <row r="1120" spans="2:18">
      <c r="B1120" s="224"/>
      <c r="C1120" s="253" t="s">
        <v>549</v>
      </c>
      <c r="D1120" s="253" t="s">
        <v>1647</v>
      </c>
      <c r="E1120" s="201">
        <v>4.5</v>
      </c>
      <c r="F1120" s="201">
        <v>2</v>
      </c>
      <c r="G1120" s="203">
        <v>44175</v>
      </c>
      <c r="M1120" s="199"/>
      <c r="N1120" s="199"/>
      <c r="O1120" s="199"/>
      <c r="P1120" s="199"/>
      <c r="Q1120" s="199"/>
      <c r="R1120" s="199"/>
    </row>
    <row r="1121" spans="2:18">
      <c r="B1121" s="224"/>
      <c r="C1121" s="225"/>
      <c r="D1121" s="225"/>
      <c r="G1121" s="203"/>
      <c r="M1121" s="199"/>
      <c r="N1121" s="199"/>
      <c r="O1121" s="199"/>
      <c r="P1121" s="199"/>
      <c r="Q1121" s="199"/>
      <c r="R1121" s="199"/>
    </row>
    <row r="1122" spans="2:18" s="64" customFormat="1">
      <c r="B1122" s="64" t="s">
        <v>1095</v>
      </c>
      <c r="C1122" s="191" t="s">
        <v>491</v>
      </c>
      <c r="D1122" s="191" t="s">
        <v>759</v>
      </c>
      <c r="E1122" s="188"/>
      <c r="F1122" s="188">
        <f>SUM(F1123:F1124)</f>
        <v>4.0999999999999996</v>
      </c>
      <c r="G1122" s="202">
        <f>G1123</f>
        <v>44796</v>
      </c>
      <c r="M1122" s="191"/>
      <c r="N1122" s="191"/>
      <c r="O1122" s="191"/>
      <c r="P1122" s="191"/>
      <c r="Q1122" s="191"/>
      <c r="R1122" s="191"/>
    </row>
    <row r="1123" spans="2:18">
      <c r="C1123" s="200" t="s">
        <v>544</v>
      </c>
      <c r="D1123" s="200" t="s">
        <v>1094</v>
      </c>
      <c r="E1123" s="201">
        <v>50</v>
      </c>
      <c r="F1123" s="201">
        <f>30/12</f>
        <v>2.5</v>
      </c>
      <c r="G1123" s="203">
        <v>44796</v>
      </c>
    </row>
    <row r="1124" spans="2:18">
      <c r="C1124" s="200" t="s">
        <v>549</v>
      </c>
      <c r="D1124" s="200" t="s">
        <v>1094</v>
      </c>
      <c r="E1124" s="201">
        <v>12.5</v>
      </c>
      <c r="F1124" s="201">
        <f>8/5</f>
        <v>1.6</v>
      </c>
      <c r="G1124" s="203">
        <v>44623</v>
      </c>
    </row>
    <row r="1126" spans="2:18">
      <c r="B1126" s="64" t="s">
        <v>857</v>
      </c>
      <c r="C1126" s="191" t="s">
        <v>491</v>
      </c>
      <c r="D1126" s="191" t="s">
        <v>759</v>
      </c>
      <c r="F1126" s="188">
        <f>F1127+F1128</f>
        <v>3.5</v>
      </c>
      <c r="G1126" s="202">
        <f>G1128</f>
        <v>44392</v>
      </c>
    </row>
    <row r="1127" spans="2:18">
      <c r="C1127" s="200" t="s">
        <v>544</v>
      </c>
      <c r="D1127" s="200" t="s">
        <v>850</v>
      </c>
      <c r="E1127" s="201">
        <v>5</v>
      </c>
      <c r="F1127" s="201">
        <v>1</v>
      </c>
      <c r="G1127" s="203">
        <v>43251</v>
      </c>
    </row>
    <row r="1128" spans="2:18">
      <c r="C1128" s="200" t="s">
        <v>544</v>
      </c>
      <c r="D1128" s="200" t="s">
        <v>684</v>
      </c>
      <c r="E1128" s="201">
        <v>20</v>
      </c>
      <c r="F1128" s="201">
        <v>2.5</v>
      </c>
      <c r="G1128" s="203">
        <v>44392</v>
      </c>
    </row>
    <row r="1129" spans="2:18">
      <c r="C1129" s="225" t="s">
        <v>544</v>
      </c>
      <c r="D1129" s="225" t="s">
        <v>2162</v>
      </c>
      <c r="E1129" s="201">
        <v>8</v>
      </c>
      <c r="F1129" s="201">
        <v>1</v>
      </c>
      <c r="G1129" s="203">
        <v>43249</v>
      </c>
    </row>
    <row r="1130" spans="2:18">
      <c r="G1130" s="203"/>
    </row>
    <row r="1131" spans="2:18" s="64" customFormat="1">
      <c r="B1131" s="64" t="s">
        <v>1211</v>
      </c>
      <c r="C1131" s="191" t="s">
        <v>491</v>
      </c>
      <c r="D1131" s="191" t="s">
        <v>759</v>
      </c>
      <c r="E1131" s="188"/>
      <c r="F1131" s="188">
        <f>SUM(F1132:F1133)</f>
        <v>4</v>
      </c>
      <c r="G1131" s="202">
        <f>G1132</f>
        <v>45070</v>
      </c>
      <c r="M1131" s="191"/>
      <c r="N1131" s="191"/>
      <c r="O1131" s="191"/>
      <c r="P1131" s="191"/>
      <c r="Q1131" s="191"/>
      <c r="R1131" s="191"/>
    </row>
    <row r="1132" spans="2:18">
      <c r="C1132" s="200" t="s">
        <v>544</v>
      </c>
      <c r="D1132" s="200" t="s">
        <v>568</v>
      </c>
      <c r="E1132" s="201">
        <v>10.9</v>
      </c>
      <c r="F1132" s="201">
        <f t="shared" ref="F1132" si="6">8/8</f>
        <v>1</v>
      </c>
      <c r="G1132" s="203">
        <v>45070</v>
      </c>
    </row>
    <row r="1133" spans="2:18">
      <c r="C1133" s="211" t="s">
        <v>544</v>
      </c>
      <c r="D1133" s="211" t="s">
        <v>1578</v>
      </c>
      <c r="E1133" s="201">
        <v>6</v>
      </c>
      <c r="F1133" s="201">
        <v>3</v>
      </c>
      <c r="G1133" s="203">
        <v>44917</v>
      </c>
    </row>
    <row r="1134" spans="2:18">
      <c r="C1134" s="211"/>
      <c r="D1134" s="211"/>
      <c r="G1134" s="203"/>
    </row>
    <row r="1135" spans="2:18" s="64" customFormat="1">
      <c r="B1135" s="64" t="s">
        <v>2297</v>
      </c>
      <c r="C1135" s="191" t="s">
        <v>491</v>
      </c>
      <c r="D1135" s="191" t="s">
        <v>759</v>
      </c>
      <c r="E1135" s="188"/>
      <c r="F1135" s="188">
        <f>SUM(F1136:F1140)</f>
        <v>3.6749999999999998</v>
      </c>
      <c r="G1135" s="202">
        <f>G1136</f>
        <v>44341</v>
      </c>
      <c r="M1135" s="191"/>
      <c r="N1135" s="191"/>
      <c r="O1135" s="191"/>
      <c r="P1135" s="191"/>
      <c r="Q1135" s="191"/>
      <c r="R1135" s="191"/>
    </row>
    <row r="1136" spans="2:18">
      <c r="B1136" s="224"/>
      <c r="C1136" s="225" t="s">
        <v>544</v>
      </c>
      <c r="D1136" s="225" t="s">
        <v>1519</v>
      </c>
      <c r="E1136" s="201">
        <v>10.5</v>
      </c>
      <c r="F1136" s="201">
        <f>5/5</f>
        <v>1</v>
      </c>
      <c r="G1136" s="203">
        <v>44341</v>
      </c>
    </row>
    <row r="1137" spans="2:18">
      <c r="C1137" s="225" t="s">
        <v>549</v>
      </c>
      <c r="D1137" s="225" t="s">
        <v>1519</v>
      </c>
      <c r="E1137" s="201">
        <v>4</v>
      </c>
      <c r="F1137" s="201">
        <v>1</v>
      </c>
      <c r="G1137" s="203">
        <v>43671</v>
      </c>
    </row>
    <row r="1138" spans="2:18">
      <c r="C1138" s="225" t="s">
        <v>669</v>
      </c>
      <c r="D1138" s="225" t="s">
        <v>1519</v>
      </c>
      <c r="E1138" s="201">
        <v>0.5</v>
      </c>
      <c r="F1138" s="201">
        <v>0.1</v>
      </c>
      <c r="G1138" s="203">
        <v>43262</v>
      </c>
    </row>
    <row r="1139" spans="2:18">
      <c r="C1139" s="249" t="s">
        <v>549</v>
      </c>
      <c r="D1139" s="249" t="s">
        <v>1548</v>
      </c>
      <c r="E1139" s="201">
        <v>3</v>
      </c>
      <c r="F1139" s="201">
        <f>1.5/4</f>
        <v>0.375</v>
      </c>
      <c r="G1139" s="203">
        <v>44327</v>
      </c>
    </row>
    <row r="1140" spans="2:18">
      <c r="C1140" s="249" t="s">
        <v>669</v>
      </c>
      <c r="D1140" s="249" t="s">
        <v>1548</v>
      </c>
      <c r="E1140" s="201">
        <v>1.2</v>
      </c>
      <c r="F1140" s="201">
        <v>1.2</v>
      </c>
      <c r="G1140" s="203">
        <v>42744</v>
      </c>
    </row>
    <row r="1141" spans="2:18">
      <c r="C1141" s="225"/>
      <c r="D1141" s="225"/>
      <c r="G1141" s="203"/>
    </row>
    <row r="1142" spans="2:18" s="64" customFormat="1">
      <c r="B1142" s="64" t="s">
        <v>992</v>
      </c>
      <c r="C1142" s="191" t="s">
        <v>491</v>
      </c>
      <c r="D1142" s="191" t="s">
        <v>759</v>
      </c>
      <c r="E1142" s="188"/>
      <c r="F1142" s="188">
        <f>SUM(F1143:F1144)</f>
        <v>2.7142857142857144</v>
      </c>
      <c r="G1142" s="202">
        <f>G1143</f>
        <v>43816</v>
      </c>
      <c r="M1142" s="191"/>
      <c r="N1142" s="191"/>
      <c r="O1142" s="191"/>
      <c r="P1142" s="191"/>
      <c r="Q1142" s="191"/>
      <c r="R1142" s="191"/>
    </row>
    <row r="1143" spans="2:18">
      <c r="C1143" s="200" t="s">
        <v>544</v>
      </c>
      <c r="D1143" s="200" t="s">
        <v>616</v>
      </c>
      <c r="E1143" s="201">
        <v>20</v>
      </c>
      <c r="F1143" s="201">
        <f>12/6</f>
        <v>2</v>
      </c>
      <c r="G1143" s="203">
        <v>43816</v>
      </c>
    </row>
    <row r="1144" spans="2:18">
      <c r="C1144" s="228" t="s">
        <v>549</v>
      </c>
      <c r="D1144" s="228" t="s">
        <v>1580</v>
      </c>
      <c r="E1144" s="201">
        <v>7</v>
      </c>
      <c r="F1144" s="201">
        <v>0.7142857142857143</v>
      </c>
      <c r="G1144" s="203">
        <v>43046</v>
      </c>
    </row>
    <row r="1145" spans="2:18">
      <c r="G1145" s="203"/>
    </row>
    <row r="1146" spans="2:18">
      <c r="B1146" s="64" t="s">
        <v>1045</v>
      </c>
      <c r="C1146" s="191" t="s">
        <v>491</v>
      </c>
      <c r="D1146" s="191" t="s">
        <v>759</v>
      </c>
      <c r="F1146" s="188">
        <f>SUM(F1147:F1148)</f>
        <v>2.666666666666667</v>
      </c>
      <c r="G1146" s="202">
        <f>G1148</f>
        <v>45062</v>
      </c>
    </row>
    <row r="1147" spans="2:18">
      <c r="C1147" s="200" t="s">
        <v>544</v>
      </c>
      <c r="D1147" s="200" t="s">
        <v>623</v>
      </c>
      <c r="E1147" s="201">
        <v>17.5</v>
      </c>
      <c r="F1147" s="201">
        <v>1</v>
      </c>
      <c r="G1147" s="203">
        <v>44614</v>
      </c>
    </row>
    <row r="1148" spans="2:18">
      <c r="C1148" s="220" t="s">
        <v>549</v>
      </c>
      <c r="D1148" s="220" t="s">
        <v>579</v>
      </c>
      <c r="E1148" s="201">
        <v>5</v>
      </c>
      <c r="F1148" s="201">
        <f>5/3</f>
        <v>1.6666666666666667</v>
      </c>
      <c r="G1148" s="203">
        <v>45062</v>
      </c>
    </row>
    <row r="1149" spans="2:18">
      <c r="C1149" s="225" t="s">
        <v>549</v>
      </c>
      <c r="D1149" s="225" t="s">
        <v>597</v>
      </c>
      <c r="E1149" s="201">
        <v>9</v>
      </c>
      <c r="F1149" s="201">
        <v>0.5</v>
      </c>
      <c r="G1149" s="203">
        <v>44859</v>
      </c>
    </row>
    <row r="1150" spans="2:18">
      <c r="G1150" s="203"/>
    </row>
    <row r="1151" spans="2:18" s="64" customFormat="1">
      <c r="B1151" s="64" t="s">
        <v>1222</v>
      </c>
      <c r="C1151" s="191" t="s">
        <v>491</v>
      </c>
      <c r="D1151" s="191" t="s">
        <v>759</v>
      </c>
      <c r="E1151" s="188"/>
      <c r="F1151" s="188">
        <f>SUM(F1152:F1153)</f>
        <v>1.4</v>
      </c>
      <c r="G1151" s="202">
        <f>G1152</f>
        <v>44994</v>
      </c>
      <c r="M1151" s="191"/>
      <c r="N1151" s="191"/>
      <c r="O1151" s="191"/>
      <c r="P1151" s="191"/>
      <c r="Q1151" s="191"/>
      <c r="R1151" s="191"/>
    </row>
    <row r="1152" spans="2:18">
      <c r="C1152" s="200" t="s">
        <v>549</v>
      </c>
      <c r="D1152" s="200" t="s">
        <v>551</v>
      </c>
      <c r="E1152" s="201">
        <v>2.8</v>
      </c>
      <c r="F1152" s="201">
        <v>1</v>
      </c>
      <c r="G1152" s="203">
        <v>44994</v>
      </c>
    </row>
    <row r="1153" spans="2:7">
      <c r="C1153" s="200" t="s">
        <v>549</v>
      </c>
      <c r="D1153" s="200" t="s">
        <v>551</v>
      </c>
      <c r="E1153" s="201">
        <v>2.6</v>
      </c>
      <c r="F1153" s="201">
        <f>1.6/4</f>
        <v>0.4</v>
      </c>
      <c r="G1153" s="203">
        <v>44147</v>
      </c>
    </row>
    <row r="1155" spans="2:7">
      <c r="B1155" s="199" t="s">
        <v>59</v>
      </c>
      <c r="C1155" s="200" t="s">
        <v>402</v>
      </c>
      <c r="D1155" s="200" t="s">
        <v>144</v>
      </c>
      <c r="E1155" s="201">
        <v>580</v>
      </c>
      <c r="F1155" s="201">
        <v>580</v>
      </c>
      <c r="G1155" s="203">
        <v>44680</v>
      </c>
    </row>
    <row r="1156" spans="2:7">
      <c r="B1156" s="199" t="s">
        <v>746</v>
      </c>
      <c r="C1156" s="200" t="s">
        <v>738</v>
      </c>
      <c r="D1156" s="200" t="s">
        <v>751</v>
      </c>
      <c r="E1156" s="201">
        <v>325</v>
      </c>
      <c r="F1156" s="201">
        <v>65</v>
      </c>
      <c r="G1156" s="203">
        <v>44299</v>
      </c>
    </row>
    <row r="1157" spans="2:7">
      <c r="B1157" s="199" t="s">
        <v>771</v>
      </c>
      <c r="C1157" s="200" t="s">
        <v>565</v>
      </c>
      <c r="D1157" s="200" t="s">
        <v>144</v>
      </c>
      <c r="E1157" s="201">
        <v>450</v>
      </c>
      <c r="F1157" s="201">
        <f>300/5</f>
        <v>60</v>
      </c>
      <c r="G1157" s="203">
        <v>45069</v>
      </c>
    </row>
    <row r="1158" spans="2:7">
      <c r="B1158" s="199" t="s">
        <v>851</v>
      </c>
      <c r="C1158" s="200" t="s">
        <v>565</v>
      </c>
      <c r="D1158" s="200" t="s">
        <v>850</v>
      </c>
      <c r="E1158" s="201">
        <v>135</v>
      </c>
      <c r="F1158" s="201">
        <v>42.5</v>
      </c>
      <c r="G1158" s="203">
        <v>44482</v>
      </c>
    </row>
    <row r="1159" spans="2:7">
      <c r="B1159" s="210" t="s">
        <v>1674</v>
      </c>
      <c r="C1159" s="211" t="s">
        <v>544</v>
      </c>
      <c r="D1159" s="211" t="s">
        <v>620</v>
      </c>
      <c r="E1159" s="201">
        <v>70</v>
      </c>
      <c r="F1159" s="201">
        <v>30</v>
      </c>
      <c r="G1159" s="203">
        <v>45035</v>
      </c>
    </row>
    <row r="1160" spans="2:7">
      <c r="B1160" s="237" t="s">
        <v>2751</v>
      </c>
      <c r="C1160" s="238" t="s">
        <v>402</v>
      </c>
      <c r="D1160" s="238" t="s">
        <v>2752</v>
      </c>
      <c r="E1160" s="201">
        <v>26</v>
      </c>
      <c r="F1160" s="201">
        <v>26</v>
      </c>
      <c r="G1160" s="203">
        <v>44594</v>
      </c>
    </row>
    <row r="1161" spans="2:7">
      <c r="B1161" s="199" t="s">
        <v>780</v>
      </c>
      <c r="C1161" s="200" t="s">
        <v>549</v>
      </c>
      <c r="D1161" s="200" t="s">
        <v>415</v>
      </c>
      <c r="E1161" s="201">
        <v>100</v>
      </c>
      <c r="F1161" s="201">
        <v>25</v>
      </c>
      <c r="G1161" s="203">
        <v>44846</v>
      </c>
    </row>
    <row r="1162" spans="2:7">
      <c r="B1162" s="199" t="s">
        <v>891</v>
      </c>
      <c r="C1162" s="200" t="s">
        <v>755</v>
      </c>
      <c r="D1162" s="200" t="s">
        <v>864</v>
      </c>
      <c r="E1162" s="201">
        <v>100</v>
      </c>
      <c r="F1162" s="201">
        <v>25</v>
      </c>
      <c r="G1162" s="203">
        <v>45051</v>
      </c>
    </row>
    <row r="1163" spans="2:7">
      <c r="B1163" s="199" t="s">
        <v>786</v>
      </c>
      <c r="C1163" s="200" t="s">
        <v>565</v>
      </c>
      <c r="D1163" s="200" t="s">
        <v>404</v>
      </c>
      <c r="E1163" s="201">
        <v>270</v>
      </c>
      <c r="F1163" s="201">
        <v>24</v>
      </c>
      <c r="G1163" s="203">
        <v>45048</v>
      </c>
    </row>
    <row r="1164" spans="2:7">
      <c r="B1164" s="199" t="s">
        <v>787</v>
      </c>
      <c r="C1164" s="200" t="s">
        <v>565</v>
      </c>
      <c r="D1164" s="200" t="s">
        <v>404</v>
      </c>
      <c r="E1164" s="201">
        <v>270</v>
      </c>
      <c r="F1164" s="201">
        <v>24</v>
      </c>
      <c r="G1164" s="203">
        <v>45048</v>
      </c>
    </row>
    <row r="1165" spans="2:7">
      <c r="B1165" s="199" t="s">
        <v>23</v>
      </c>
      <c r="C1165" s="200" t="s">
        <v>565</v>
      </c>
      <c r="D1165" s="200" t="s">
        <v>404</v>
      </c>
      <c r="E1165" s="201">
        <v>270</v>
      </c>
      <c r="F1165" s="201">
        <v>24</v>
      </c>
      <c r="G1165" s="203">
        <v>45048</v>
      </c>
    </row>
    <row r="1166" spans="2:7">
      <c r="B1166" s="199" t="s">
        <v>789</v>
      </c>
      <c r="C1166" s="200" t="s">
        <v>565</v>
      </c>
      <c r="D1166" s="200" t="s">
        <v>404</v>
      </c>
      <c r="E1166" s="201">
        <v>270</v>
      </c>
      <c r="F1166" s="201">
        <v>24</v>
      </c>
      <c r="G1166" s="203">
        <v>45048</v>
      </c>
    </row>
    <row r="1167" spans="2:7">
      <c r="B1167" s="199" t="s">
        <v>50</v>
      </c>
      <c r="C1167" s="200" t="s">
        <v>402</v>
      </c>
      <c r="D1167" s="200" t="s">
        <v>431</v>
      </c>
      <c r="E1167" s="201">
        <v>350</v>
      </c>
      <c r="F1167" s="201">
        <v>20</v>
      </c>
      <c r="G1167" s="203">
        <v>44999</v>
      </c>
    </row>
    <row r="1168" spans="2:7">
      <c r="G1168" s="203"/>
    </row>
    <row r="1169" spans="2:9">
      <c r="B1169" s="199" t="s">
        <v>878</v>
      </c>
      <c r="C1169" s="200" t="s">
        <v>402</v>
      </c>
      <c r="D1169" s="200" t="s">
        <v>431</v>
      </c>
      <c r="E1169" s="201">
        <v>350</v>
      </c>
      <c r="F1169" s="201">
        <v>20</v>
      </c>
      <c r="G1169" s="203">
        <v>44999</v>
      </c>
    </row>
    <row r="1170" spans="2:9">
      <c r="B1170" s="199" t="s">
        <v>40</v>
      </c>
      <c r="C1170" s="200" t="s">
        <v>402</v>
      </c>
      <c r="D1170" s="200" t="s">
        <v>431</v>
      </c>
      <c r="E1170" s="201">
        <v>350</v>
      </c>
      <c r="F1170" s="201">
        <v>20</v>
      </c>
      <c r="G1170" s="203">
        <v>44999</v>
      </c>
    </row>
    <row r="1171" spans="2:9">
      <c r="B1171" s="210" t="s">
        <v>1113</v>
      </c>
      <c r="C1171" s="200" t="s">
        <v>549</v>
      </c>
      <c r="D1171" s="200" t="s">
        <v>452</v>
      </c>
      <c r="E1171" s="201">
        <v>42</v>
      </c>
      <c r="F1171" s="201">
        <v>20</v>
      </c>
      <c r="G1171" s="203">
        <v>44882</v>
      </c>
    </row>
    <row r="1172" spans="2:9">
      <c r="B1172" s="199" t="s">
        <v>742</v>
      </c>
      <c r="C1172" s="200" t="s">
        <v>738</v>
      </c>
      <c r="D1172" s="200" t="s">
        <v>751</v>
      </c>
      <c r="E1172" s="201">
        <v>325</v>
      </c>
      <c r="F1172" s="201">
        <v>18.5</v>
      </c>
      <c r="G1172" s="203">
        <v>44299</v>
      </c>
    </row>
    <row r="1173" spans="2:9">
      <c r="B1173" s="199" t="s">
        <v>745</v>
      </c>
      <c r="C1173" s="200" t="s">
        <v>738</v>
      </c>
      <c r="D1173" s="200" t="s">
        <v>751</v>
      </c>
      <c r="E1173" s="201">
        <v>325</v>
      </c>
      <c r="F1173" s="201">
        <v>18.5</v>
      </c>
      <c r="G1173" s="203">
        <v>44299</v>
      </c>
    </row>
    <row r="1174" spans="2:9">
      <c r="B1174" s="199" t="s">
        <v>823</v>
      </c>
      <c r="C1174" s="200" t="s">
        <v>544</v>
      </c>
      <c r="D1174" s="200" t="s">
        <v>420</v>
      </c>
      <c r="E1174" s="201">
        <v>125</v>
      </c>
      <c r="F1174" s="201">
        <v>15</v>
      </c>
      <c r="G1174" s="203">
        <v>44852</v>
      </c>
    </row>
    <row r="1175" spans="2:9">
      <c r="C1175" s="273" t="s">
        <v>813</v>
      </c>
      <c r="D1175" s="273" t="s">
        <v>1827</v>
      </c>
      <c r="E1175" s="201">
        <v>475</v>
      </c>
      <c r="F1175" s="201">
        <v>40</v>
      </c>
      <c r="G1175" s="203">
        <v>44278</v>
      </c>
    </row>
    <row r="1176" spans="2:9">
      <c r="C1176" s="273" t="s">
        <v>755</v>
      </c>
      <c r="D1176" s="273" t="s">
        <v>1827</v>
      </c>
      <c r="E1176" s="201">
        <v>130</v>
      </c>
      <c r="F1176" s="201">
        <v>12</v>
      </c>
      <c r="G1176" s="203">
        <v>42080</v>
      </c>
      <c r="I1176" s="199">
        <v>570</v>
      </c>
    </row>
    <row r="1177" spans="2:9">
      <c r="C1177" s="273" t="s">
        <v>565</v>
      </c>
      <c r="D1177" s="273" t="s">
        <v>1827</v>
      </c>
      <c r="E1177" s="201">
        <v>34</v>
      </c>
      <c r="F1177" s="201">
        <v>20</v>
      </c>
      <c r="G1177" s="203">
        <v>41437</v>
      </c>
    </row>
    <row r="1178" spans="2:9">
      <c r="G1178" s="203"/>
    </row>
    <row r="1179" spans="2:9">
      <c r="B1179" s="199" t="s">
        <v>824</v>
      </c>
      <c r="C1179" s="200" t="s">
        <v>544</v>
      </c>
      <c r="D1179" s="200" t="s">
        <v>420</v>
      </c>
      <c r="E1179" s="201">
        <v>125</v>
      </c>
      <c r="F1179" s="201">
        <v>15</v>
      </c>
      <c r="G1179" s="203">
        <v>44852</v>
      </c>
    </row>
    <row r="1180" spans="2:9">
      <c r="B1180" s="199" t="s">
        <v>825</v>
      </c>
      <c r="C1180" s="200" t="s">
        <v>544</v>
      </c>
      <c r="D1180" s="200" t="s">
        <v>420</v>
      </c>
      <c r="E1180" s="201">
        <v>125</v>
      </c>
      <c r="F1180" s="201">
        <v>15</v>
      </c>
      <c r="G1180" s="203">
        <v>44852</v>
      </c>
    </row>
    <row r="1181" spans="2:9">
      <c r="B1181" s="199" t="s">
        <v>1315</v>
      </c>
      <c r="C1181" s="200" t="s">
        <v>544</v>
      </c>
      <c r="D1181" s="200" t="s">
        <v>670</v>
      </c>
      <c r="E1181" s="201">
        <v>25</v>
      </c>
      <c r="F1181" s="201">
        <v>15</v>
      </c>
      <c r="G1181" s="203">
        <v>44944</v>
      </c>
    </row>
    <row r="1182" spans="2:9">
      <c r="B1182" s="199" t="s">
        <v>1189</v>
      </c>
      <c r="C1182" s="200" t="s">
        <v>544</v>
      </c>
      <c r="D1182" s="200" t="s">
        <v>659</v>
      </c>
      <c r="E1182" s="201">
        <v>30</v>
      </c>
      <c r="F1182" s="201">
        <v>14</v>
      </c>
      <c r="G1182" s="203">
        <v>44522</v>
      </c>
    </row>
    <row r="1183" spans="2:9">
      <c r="B1183" s="199" t="s">
        <v>763</v>
      </c>
      <c r="C1183" s="200" t="s">
        <v>565</v>
      </c>
      <c r="D1183" s="200" t="s">
        <v>751</v>
      </c>
      <c r="E1183" s="201">
        <v>100</v>
      </c>
      <c r="F1183" s="201">
        <v>13</v>
      </c>
      <c r="G1183" s="203">
        <v>43682</v>
      </c>
    </row>
    <row r="1184" spans="2:9">
      <c r="B1184" s="237" t="s">
        <v>2753</v>
      </c>
      <c r="C1184" s="238" t="s">
        <v>402</v>
      </c>
      <c r="D1184" s="238" t="s">
        <v>2752</v>
      </c>
      <c r="E1184" s="201">
        <v>13</v>
      </c>
      <c r="F1184" s="201">
        <v>13</v>
      </c>
      <c r="G1184" s="203">
        <v>44056</v>
      </c>
    </row>
    <row r="1185" spans="2:7">
      <c r="B1185" s="239" t="s">
        <v>2789</v>
      </c>
      <c r="C1185" s="240" t="s">
        <v>565</v>
      </c>
      <c r="D1185" s="240" t="s">
        <v>2790</v>
      </c>
      <c r="E1185" s="201">
        <v>13</v>
      </c>
      <c r="F1185" s="201">
        <v>13</v>
      </c>
      <c r="G1185" s="203">
        <v>45090</v>
      </c>
    </row>
    <row r="1186" spans="2:7">
      <c r="B1186" s="239"/>
      <c r="C1186" s="240"/>
      <c r="D1186" s="240"/>
      <c r="G1186" s="203"/>
    </row>
    <row r="1187" spans="2:7">
      <c r="B1187" s="239" t="s">
        <v>2791</v>
      </c>
      <c r="C1187" s="240" t="s">
        <v>402</v>
      </c>
      <c r="D1187" s="240" t="s">
        <v>2790</v>
      </c>
      <c r="E1187" s="201">
        <v>37</v>
      </c>
      <c r="F1187" s="201">
        <v>13</v>
      </c>
      <c r="G1187" s="203">
        <v>44860</v>
      </c>
    </row>
    <row r="1188" spans="2:7">
      <c r="B1188" s="239"/>
      <c r="C1188" s="273" t="s">
        <v>813</v>
      </c>
      <c r="D1188" s="273" t="s">
        <v>1827</v>
      </c>
      <c r="E1188" s="201">
        <v>475</v>
      </c>
      <c r="F1188" s="201">
        <f>E1188/12</f>
        <v>39.583333333333336</v>
      </c>
      <c r="G1188" s="203">
        <v>44278</v>
      </c>
    </row>
    <row r="1189" spans="2:7">
      <c r="B1189" s="239"/>
      <c r="C1189" s="240"/>
      <c r="D1189" s="240"/>
      <c r="G1189" s="203"/>
    </row>
    <row r="1190" spans="2:7">
      <c r="B1190" s="199" t="s">
        <v>782</v>
      </c>
      <c r="C1190" s="200" t="s">
        <v>549</v>
      </c>
      <c r="D1190" s="200" t="s">
        <v>415</v>
      </c>
      <c r="E1190" s="201">
        <v>100</v>
      </c>
      <c r="F1190" s="201">
        <v>12.5</v>
      </c>
      <c r="G1190" s="203">
        <v>44846</v>
      </c>
    </row>
    <row r="1191" spans="2:7">
      <c r="B1191" s="199" t="s">
        <v>783</v>
      </c>
      <c r="C1191" s="200" t="s">
        <v>549</v>
      </c>
      <c r="D1191" s="200" t="s">
        <v>415</v>
      </c>
      <c r="E1191" s="201">
        <v>100</v>
      </c>
      <c r="F1191" s="201">
        <v>12.5</v>
      </c>
      <c r="G1191" s="203">
        <v>44846</v>
      </c>
    </row>
    <row r="1192" spans="2:7">
      <c r="B1192" s="199" t="s">
        <v>869</v>
      </c>
      <c r="C1192" s="200" t="s">
        <v>544</v>
      </c>
      <c r="D1192" s="200" t="s">
        <v>601</v>
      </c>
      <c r="E1192" s="201">
        <v>150</v>
      </c>
      <c r="F1192" s="201">
        <v>10</v>
      </c>
      <c r="G1192" s="203">
        <v>45008</v>
      </c>
    </row>
    <row r="1193" spans="2:7">
      <c r="B1193" s="199" t="s">
        <v>1048</v>
      </c>
      <c r="C1193" s="200" t="s">
        <v>544</v>
      </c>
      <c r="D1193" s="200" t="s">
        <v>632</v>
      </c>
      <c r="E1193" s="201">
        <v>44</v>
      </c>
      <c r="F1193" s="201">
        <v>10</v>
      </c>
      <c r="G1193" s="203">
        <v>44671</v>
      </c>
    </row>
    <row r="1195" spans="2:7">
      <c r="B1195" s="199" t="s">
        <v>1268</v>
      </c>
      <c r="C1195" s="200" t="s">
        <v>544</v>
      </c>
      <c r="D1195" s="200" t="s">
        <v>1267</v>
      </c>
      <c r="E1195" s="201">
        <v>30</v>
      </c>
      <c r="F1195" s="201">
        <v>10</v>
      </c>
      <c r="G1195" s="203">
        <v>44656</v>
      </c>
    </row>
    <row r="1196" spans="2:7">
      <c r="B1196" s="199" t="s">
        <v>1462</v>
      </c>
      <c r="C1196" s="200" t="s">
        <v>544</v>
      </c>
      <c r="D1196" s="200" t="s">
        <v>684</v>
      </c>
      <c r="E1196" s="201">
        <v>20</v>
      </c>
      <c r="F1196" s="201">
        <v>10</v>
      </c>
      <c r="G1196" s="203">
        <v>44392</v>
      </c>
    </row>
    <row r="1197" spans="2:7">
      <c r="C1197" s="273" t="s">
        <v>755</v>
      </c>
      <c r="D1197" s="273" t="s">
        <v>1827</v>
      </c>
      <c r="E1197" s="201">
        <v>130</v>
      </c>
      <c r="F1197" s="201">
        <v>12</v>
      </c>
      <c r="G1197" s="203">
        <v>42080</v>
      </c>
    </row>
    <row r="1198" spans="2:7">
      <c r="G1198" s="203"/>
    </row>
    <row r="1199" spans="2:7">
      <c r="B1199" s="199" t="s">
        <v>1474</v>
      </c>
      <c r="C1199" s="200" t="s">
        <v>549</v>
      </c>
      <c r="D1199" s="200" t="s">
        <v>1475</v>
      </c>
      <c r="E1199" s="201">
        <v>20</v>
      </c>
      <c r="F1199" s="201">
        <v>10</v>
      </c>
      <c r="G1199" s="203">
        <v>44614</v>
      </c>
    </row>
    <row r="1200" spans="2:7">
      <c r="B1200" s="199" t="s">
        <v>1316</v>
      </c>
      <c r="C1200" s="200" t="s">
        <v>544</v>
      </c>
      <c r="D1200" s="200" t="s">
        <v>670</v>
      </c>
      <c r="E1200" s="201">
        <v>25</v>
      </c>
      <c r="F1200" s="201">
        <v>10</v>
      </c>
      <c r="G1200" s="203">
        <v>44944</v>
      </c>
    </row>
    <row r="1201" spans="2:7">
      <c r="B1201" s="199" t="s">
        <v>801</v>
      </c>
      <c r="C1201" s="200" t="s">
        <v>565</v>
      </c>
      <c r="D1201" s="200" t="s">
        <v>797</v>
      </c>
      <c r="E1201" s="201">
        <v>100</v>
      </c>
      <c r="F1201" s="201">
        <v>9</v>
      </c>
      <c r="G1201" s="203">
        <v>44690</v>
      </c>
    </row>
    <row r="1202" spans="2:7">
      <c r="B1202" s="210" t="s">
        <v>1573</v>
      </c>
      <c r="C1202" s="211" t="s">
        <v>549</v>
      </c>
      <c r="D1202" s="211" t="s">
        <v>1151</v>
      </c>
      <c r="E1202" s="201">
        <v>113</v>
      </c>
      <c r="F1202" s="201">
        <v>8</v>
      </c>
      <c r="G1202" s="203">
        <v>45090</v>
      </c>
    </row>
    <row r="1203" spans="2:7">
      <c r="B1203" s="210" t="s">
        <v>1574</v>
      </c>
      <c r="C1203" s="211" t="s">
        <v>549</v>
      </c>
      <c r="D1203" s="211" t="s">
        <v>1151</v>
      </c>
      <c r="E1203" s="201">
        <v>113</v>
      </c>
      <c r="F1203" s="201">
        <v>8</v>
      </c>
      <c r="G1203" s="203">
        <v>45090</v>
      </c>
    </row>
    <row r="1204" spans="2:7">
      <c r="B1204" s="210" t="s">
        <v>1570</v>
      </c>
      <c r="C1204" s="211" t="s">
        <v>549</v>
      </c>
      <c r="D1204" s="211" t="s">
        <v>1151</v>
      </c>
      <c r="E1204" s="201">
        <v>113</v>
      </c>
      <c r="F1204" s="201">
        <v>8</v>
      </c>
      <c r="G1204" s="203">
        <v>45090</v>
      </c>
    </row>
    <row r="1205" spans="2:7">
      <c r="B1205" s="210" t="s">
        <v>1571</v>
      </c>
      <c r="C1205" s="211" t="s">
        <v>549</v>
      </c>
      <c r="D1205" s="211" t="s">
        <v>1151</v>
      </c>
      <c r="E1205" s="201">
        <v>113</v>
      </c>
      <c r="F1205" s="201">
        <v>8</v>
      </c>
      <c r="G1205" s="203">
        <v>45090</v>
      </c>
    </row>
    <row r="1206" spans="2:7">
      <c r="B1206" s="210" t="s">
        <v>1576</v>
      </c>
      <c r="C1206" s="211" t="s">
        <v>549</v>
      </c>
      <c r="D1206" s="211" t="s">
        <v>1151</v>
      </c>
      <c r="E1206" s="201">
        <v>113</v>
      </c>
      <c r="F1206" s="201">
        <v>8</v>
      </c>
      <c r="G1206" s="203">
        <v>45090</v>
      </c>
    </row>
    <row r="1207" spans="2:7">
      <c r="B1207" s="210" t="s">
        <v>1577</v>
      </c>
      <c r="C1207" s="211" t="s">
        <v>549</v>
      </c>
      <c r="D1207" s="211" t="s">
        <v>1151</v>
      </c>
      <c r="E1207" s="201">
        <v>113</v>
      </c>
      <c r="F1207" s="201">
        <v>8</v>
      </c>
      <c r="G1207" s="203">
        <v>45090</v>
      </c>
    </row>
    <row r="1208" spans="2:7">
      <c r="B1208" s="199" t="s">
        <v>1241</v>
      </c>
      <c r="C1208" s="200" t="s">
        <v>402</v>
      </c>
      <c r="D1208" s="200" t="s">
        <v>392</v>
      </c>
      <c r="E1208" s="201">
        <v>97.4</v>
      </c>
      <c r="F1208" s="201">
        <f>47/6</f>
        <v>7.833333333333333</v>
      </c>
      <c r="G1208" s="203">
        <v>45041</v>
      </c>
    </row>
    <row r="1209" spans="2:7">
      <c r="B1209" s="199" t="s">
        <v>1468</v>
      </c>
      <c r="C1209" s="200" t="s">
        <v>544</v>
      </c>
      <c r="D1209" s="200" t="s">
        <v>686</v>
      </c>
      <c r="E1209" s="201">
        <v>20</v>
      </c>
      <c r="F1209" s="201">
        <v>7.5</v>
      </c>
      <c r="G1209" s="203">
        <v>45009</v>
      </c>
    </row>
    <row r="1210" spans="2:7">
      <c r="B1210" s="199" t="s">
        <v>1024</v>
      </c>
      <c r="C1210" s="200" t="s">
        <v>402</v>
      </c>
      <c r="D1210" s="200" t="s">
        <v>630</v>
      </c>
      <c r="E1210" s="201">
        <v>50</v>
      </c>
      <c r="F1210" s="201">
        <f>E1210/7</f>
        <v>7.1428571428571432</v>
      </c>
      <c r="G1210" s="203">
        <v>44628</v>
      </c>
    </row>
    <row r="1211" spans="2:7">
      <c r="B1211" s="199" t="s">
        <v>1021</v>
      </c>
      <c r="C1211" s="200" t="s">
        <v>402</v>
      </c>
      <c r="D1211" s="200" t="s">
        <v>630</v>
      </c>
      <c r="E1211" s="201">
        <v>50</v>
      </c>
      <c r="F1211" s="201">
        <f>E1211/7</f>
        <v>7.1428571428571432</v>
      </c>
      <c r="G1211" s="203">
        <v>44628</v>
      </c>
    </row>
    <row r="1212" spans="2:7">
      <c r="B1212" s="199" t="s">
        <v>1376</v>
      </c>
      <c r="C1212" s="200" t="s">
        <v>544</v>
      </c>
      <c r="D1212" s="200" t="s">
        <v>680</v>
      </c>
      <c r="E1212" s="201">
        <v>20</v>
      </c>
      <c r="F1212" s="201">
        <v>7</v>
      </c>
      <c r="G1212" s="203">
        <v>44903</v>
      </c>
    </row>
    <row r="1213" spans="2:7">
      <c r="B1213" s="199" t="s">
        <v>1114</v>
      </c>
      <c r="C1213" s="200" t="s">
        <v>549</v>
      </c>
      <c r="D1213" s="200" t="s">
        <v>452</v>
      </c>
      <c r="E1213" s="201">
        <v>42</v>
      </c>
      <c r="F1213" s="201">
        <v>7</v>
      </c>
      <c r="G1213" s="203">
        <v>44882</v>
      </c>
    </row>
    <row r="1214" spans="2:7">
      <c r="B1214" s="199" t="s">
        <v>1115</v>
      </c>
      <c r="C1214" s="200" t="s">
        <v>549</v>
      </c>
      <c r="D1214" s="200" t="s">
        <v>452</v>
      </c>
      <c r="E1214" s="201">
        <v>42</v>
      </c>
      <c r="F1214" s="201">
        <v>7</v>
      </c>
      <c r="G1214" s="203">
        <v>44882</v>
      </c>
    </row>
    <row r="1215" spans="2:7">
      <c r="B1215" s="199" t="s">
        <v>1244</v>
      </c>
      <c r="C1215" s="200" t="s">
        <v>544</v>
      </c>
      <c r="D1215" s="200" t="s">
        <v>392</v>
      </c>
      <c r="E1215" s="201">
        <v>80</v>
      </c>
      <c r="F1215" s="201">
        <f t="shared" ref="F1215:F1221" si="7">40/6</f>
        <v>6.666666666666667</v>
      </c>
      <c r="G1215" s="203">
        <v>44539</v>
      </c>
    </row>
    <row r="1216" spans="2:7">
      <c r="B1216" s="199" t="s">
        <v>1245</v>
      </c>
      <c r="C1216" s="200" t="s">
        <v>544</v>
      </c>
      <c r="D1216" s="200" t="s">
        <v>392</v>
      </c>
      <c r="E1216" s="201">
        <v>80</v>
      </c>
      <c r="F1216" s="201">
        <f t="shared" si="7"/>
        <v>6.666666666666667</v>
      </c>
      <c r="G1216" s="203">
        <v>44539</v>
      </c>
    </row>
    <row r="1217" spans="2:9">
      <c r="B1217" s="199" t="s">
        <v>1246</v>
      </c>
      <c r="C1217" s="200" t="s">
        <v>544</v>
      </c>
      <c r="D1217" s="200" t="s">
        <v>392</v>
      </c>
      <c r="E1217" s="201">
        <v>80</v>
      </c>
      <c r="F1217" s="201">
        <f t="shared" si="7"/>
        <v>6.666666666666667</v>
      </c>
      <c r="G1217" s="203">
        <v>44539</v>
      </c>
    </row>
    <row r="1218" spans="2:9">
      <c r="B1218" s="199" t="s">
        <v>1247</v>
      </c>
      <c r="C1218" s="200" t="s">
        <v>544</v>
      </c>
      <c r="D1218" s="200" t="s">
        <v>392</v>
      </c>
      <c r="E1218" s="201">
        <v>80</v>
      </c>
      <c r="F1218" s="201">
        <f t="shared" si="7"/>
        <v>6.666666666666667</v>
      </c>
      <c r="G1218" s="203">
        <v>44539</v>
      </c>
    </row>
    <row r="1219" spans="2:9">
      <c r="B1219" s="210" t="s">
        <v>1675</v>
      </c>
      <c r="C1219" s="211" t="s">
        <v>544</v>
      </c>
      <c r="D1219" s="211" t="s">
        <v>620</v>
      </c>
      <c r="E1219" s="201">
        <v>70</v>
      </c>
      <c r="F1219" s="201">
        <f t="shared" si="7"/>
        <v>6.666666666666667</v>
      </c>
      <c r="G1219" s="203">
        <v>45035</v>
      </c>
    </row>
    <row r="1220" spans="2:9">
      <c r="B1220" s="210" t="s">
        <v>1676</v>
      </c>
      <c r="C1220" s="211" t="s">
        <v>544</v>
      </c>
      <c r="D1220" s="211" t="s">
        <v>620</v>
      </c>
      <c r="E1220" s="201">
        <v>70</v>
      </c>
      <c r="F1220" s="201">
        <f t="shared" si="7"/>
        <v>6.666666666666667</v>
      </c>
      <c r="G1220" s="203">
        <v>45035</v>
      </c>
    </row>
    <row r="1221" spans="2:9">
      <c r="B1221" s="210" t="s">
        <v>1677</v>
      </c>
      <c r="C1221" s="211" t="s">
        <v>544</v>
      </c>
      <c r="D1221" s="211" t="s">
        <v>620</v>
      </c>
      <c r="E1221" s="201">
        <v>70</v>
      </c>
      <c r="F1221" s="201">
        <f t="shared" si="7"/>
        <v>6.666666666666667</v>
      </c>
      <c r="G1221" s="203">
        <v>45035</v>
      </c>
    </row>
    <row r="1222" spans="2:9">
      <c r="B1222" s="210" t="s">
        <v>1679</v>
      </c>
      <c r="C1222" s="211" t="s">
        <v>544</v>
      </c>
      <c r="D1222" s="211" t="s">
        <v>620</v>
      </c>
      <c r="E1222" s="201">
        <v>70</v>
      </c>
      <c r="F1222" s="201">
        <f>40/6</f>
        <v>6.666666666666667</v>
      </c>
      <c r="G1222" s="203">
        <v>45035</v>
      </c>
    </row>
    <row r="1223" spans="2:9">
      <c r="B1223" s="210" t="s">
        <v>1680</v>
      </c>
      <c r="C1223" s="211" t="s">
        <v>544</v>
      </c>
      <c r="D1223" s="211" t="s">
        <v>620</v>
      </c>
      <c r="E1223" s="201">
        <v>70</v>
      </c>
      <c r="F1223" s="201">
        <f>40/6</f>
        <v>6.666666666666667</v>
      </c>
      <c r="G1223" s="203">
        <v>45035</v>
      </c>
    </row>
    <row r="1224" spans="2:9">
      <c r="B1224" s="199" t="s">
        <v>926</v>
      </c>
      <c r="C1224" s="200" t="s">
        <v>565</v>
      </c>
      <c r="D1224" s="200" t="s">
        <v>618</v>
      </c>
      <c r="E1224" s="201">
        <v>85</v>
      </c>
      <c r="F1224" s="201">
        <v>6</v>
      </c>
      <c r="G1224" s="203">
        <v>44417</v>
      </c>
    </row>
    <row r="1225" spans="2:9">
      <c r="B1225" s="199" t="s">
        <v>1554</v>
      </c>
      <c r="C1225" s="200" t="s">
        <v>549</v>
      </c>
      <c r="D1225" s="200" t="s">
        <v>693</v>
      </c>
      <c r="E1225" s="201">
        <v>16</v>
      </c>
      <c r="F1225" s="201">
        <v>6</v>
      </c>
      <c r="G1225" s="203">
        <v>44298</v>
      </c>
    </row>
    <row r="1226" spans="2:9">
      <c r="B1226" s="217" t="s">
        <v>1699</v>
      </c>
      <c r="C1226" s="218" t="s">
        <v>549</v>
      </c>
      <c r="D1226" s="218" t="s">
        <v>704</v>
      </c>
      <c r="E1226" s="201">
        <v>13</v>
      </c>
      <c r="F1226" s="201">
        <v>6</v>
      </c>
      <c r="G1226" s="203">
        <v>44896</v>
      </c>
    </row>
    <row r="1227" spans="2:9">
      <c r="B1227" s="210" t="s">
        <v>1652</v>
      </c>
      <c r="C1227" s="211" t="s">
        <v>544</v>
      </c>
      <c r="D1227" s="211" t="s">
        <v>547</v>
      </c>
      <c r="E1227" s="201">
        <v>11</v>
      </c>
      <c r="F1227" s="201">
        <v>6</v>
      </c>
      <c r="G1227" s="203">
        <v>44044</v>
      </c>
    </row>
    <row r="1228" spans="2:9">
      <c r="B1228" s="210"/>
      <c r="C1228" s="211"/>
      <c r="D1228" s="211"/>
      <c r="G1228" s="203"/>
    </row>
    <row r="1229" spans="2:9">
      <c r="B1229" s="199" t="s">
        <v>925</v>
      </c>
      <c r="C1229" s="200" t="s">
        <v>565</v>
      </c>
      <c r="D1229" s="200" t="s">
        <v>618</v>
      </c>
      <c r="E1229" s="201">
        <v>85</v>
      </c>
      <c r="F1229" s="201">
        <f>45/8</f>
        <v>5.625</v>
      </c>
      <c r="G1229" s="203">
        <v>44417</v>
      </c>
      <c r="H1229" s="212"/>
    </row>
    <row r="1230" spans="2:9">
      <c r="C1230" s="273" t="s">
        <v>755</v>
      </c>
      <c r="D1230" s="273" t="s">
        <v>1823</v>
      </c>
      <c r="E1230" s="201">
        <v>676</v>
      </c>
      <c r="F1230" s="201">
        <v>71</v>
      </c>
      <c r="G1230" s="203">
        <v>44299</v>
      </c>
      <c r="H1230" s="212"/>
      <c r="I1230" s="199">
        <v>4400</v>
      </c>
    </row>
    <row r="1231" spans="2:9">
      <c r="C1231" s="273" t="s">
        <v>565</v>
      </c>
      <c r="D1231" s="273" t="s">
        <v>1823</v>
      </c>
      <c r="E1231" s="201">
        <v>250</v>
      </c>
      <c r="F1231" s="201">
        <f>170/5</f>
        <v>34</v>
      </c>
      <c r="G1231" s="203">
        <v>43886</v>
      </c>
      <c r="H1231" s="212"/>
      <c r="I1231" s="199">
        <v>2300</v>
      </c>
    </row>
    <row r="1232" spans="2:9">
      <c r="C1232" s="273" t="s">
        <v>402</v>
      </c>
      <c r="D1232" s="273" t="s">
        <v>1823</v>
      </c>
      <c r="E1232" s="201">
        <v>150</v>
      </c>
      <c r="F1232" s="201">
        <f>100/5</f>
        <v>20</v>
      </c>
      <c r="G1232" s="203">
        <v>43556</v>
      </c>
      <c r="H1232" s="212"/>
    </row>
    <row r="1233" spans="2:8">
      <c r="C1233" s="273" t="s">
        <v>544</v>
      </c>
      <c r="D1233" s="273" t="s">
        <v>1823</v>
      </c>
      <c r="E1233" s="201">
        <v>56</v>
      </c>
      <c r="F1233" s="201">
        <v>20</v>
      </c>
      <c r="G1233" s="203">
        <v>43174</v>
      </c>
      <c r="H1233" s="212"/>
    </row>
    <row r="1234" spans="2:8">
      <c r="G1234" s="203"/>
      <c r="H1234" s="212"/>
    </row>
    <row r="1235" spans="2:8">
      <c r="B1235" s="221" t="s">
        <v>1856</v>
      </c>
      <c r="C1235" s="222" t="s">
        <v>544</v>
      </c>
      <c r="D1235" s="222" t="s">
        <v>1857</v>
      </c>
      <c r="E1235" s="201">
        <v>10.6</v>
      </c>
      <c r="F1235" s="201">
        <v>5.6</v>
      </c>
      <c r="G1235" s="203">
        <v>44819</v>
      </c>
    </row>
    <row r="1236" spans="2:8">
      <c r="B1236" s="199" t="s">
        <v>1064</v>
      </c>
      <c r="C1236" s="200" t="s">
        <v>402</v>
      </c>
      <c r="D1236" s="200" t="s">
        <v>649</v>
      </c>
      <c r="E1236" s="201">
        <v>40</v>
      </c>
      <c r="F1236" s="201">
        <v>5</v>
      </c>
      <c r="G1236" s="203">
        <v>44728</v>
      </c>
    </row>
    <row r="1237" spans="2:8">
      <c r="B1237" s="199" t="s">
        <v>1070</v>
      </c>
      <c r="C1237" s="200" t="s">
        <v>402</v>
      </c>
      <c r="D1237" s="200" t="s">
        <v>650</v>
      </c>
      <c r="E1237" s="201">
        <v>40</v>
      </c>
      <c r="F1237" s="201">
        <v>5</v>
      </c>
      <c r="G1237" s="203">
        <v>44650</v>
      </c>
    </row>
    <row r="1238" spans="2:8">
      <c r="B1238" s="199" t="s">
        <v>1071</v>
      </c>
      <c r="C1238" s="200" t="s">
        <v>402</v>
      </c>
      <c r="D1238" s="200" t="s">
        <v>650</v>
      </c>
      <c r="E1238" s="201">
        <v>40</v>
      </c>
      <c r="F1238" s="201">
        <v>5</v>
      </c>
      <c r="G1238" s="203">
        <v>44650</v>
      </c>
    </row>
    <row r="1239" spans="2:8">
      <c r="B1239" s="199" t="s">
        <v>1451</v>
      </c>
      <c r="C1239" s="200" t="s">
        <v>544</v>
      </c>
      <c r="D1239" s="200" t="s">
        <v>1452</v>
      </c>
      <c r="E1239" s="201">
        <v>20</v>
      </c>
      <c r="F1239" s="201">
        <v>5</v>
      </c>
      <c r="G1239" s="203">
        <v>44578</v>
      </c>
    </row>
    <row r="1240" spans="2:8">
      <c r="B1240" s="199" t="s">
        <v>1469</v>
      </c>
      <c r="C1240" s="200" t="s">
        <v>544</v>
      </c>
      <c r="D1240" s="200" t="s">
        <v>686</v>
      </c>
      <c r="E1240" s="201">
        <v>20</v>
      </c>
      <c r="F1240" s="201">
        <v>5</v>
      </c>
      <c r="G1240" s="203">
        <v>45009</v>
      </c>
    </row>
    <row r="1241" spans="2:8">
      <c r="B1241" s="199" t="s">
        <v>307</v>
      </c>
      <c r="C1241" s="200" t="s">
        <v>549</v>
      </c>
      <c r="D1241" s="200" t="s">
        <v>1475</v>
      </c>
      <c r="E1241" s="201">
        <v>20</v>
      </c>
      <c r="F1241" s="201">
        <v>5</v>
      </c>
      <c r="G1241" s="203">
        <v>44614</v>
      </c>
    </row>
    <row r="1242" spans="2:8">
      <c r="B1242" s="199" t="s">
        <v>1493</v>
      </c>
      <c r="C1242" s="200" t="s">
        <v>544</v>
      </c>
      <c r="D1242" s="200" t="s">
        <v>1479</v>
      </c>
      <c r="E1242" s="201">
        <v>12.5</v>
      </c>
      <c r="F1242" s="201">
        <v>5</v>
      </c>
      <c r="G1242" s="203">
        <v>44784</v>
      </c>
    </row>
    <row r="1243" spans="2:8">
      <c r="B1243" s="199" t="s">
        <v>1254</v>
      </c>
      <c r="C1243" s="200" t="s">
        <v>549</v>
      </c>
      <c r="D1243" s="200" t="s">
        <v>455</v>
      </c>
      <c r="E1243" s="201">
        <v>30</v>
      </c>
      <c r="F1243" s="201">
        <v>5</v>
      </c>
      <c r="G1243" s="203">
        <v>44601</v>
      </c>
    </row>
    <row r="1244" spans="2:8">
      <c r="B1244" s="210" t="s">
        <v>1659</v>
      </c>
      <c r="C1244" s="211" t="s">
        <v>402</v>
      </c>
      <c r="D1244" s="211" t="s">
        <v>433</v>
      </c>
      <c r="E1244" s="201">
        <v>75</v>
      </c>
      <c r="F1244" s="201">
        <v>5</v>
      </c>
      <c r="G1244" s="203">
        <v>43783</v>
      </c>
    </row>
    <row r="1245" spans="2:8">
      <c r="B1245" s="199" t="s">
        <v>1049</v>
      </c>
      <c r="C1245" s="200" t="s">
        <v>544</v>
      </c>
      <c r="D1245" s="200" t="s">
        <v>632</v>
      </c>
      <c r="E1245" s="201">
        <v>44</v>
      </c>
      <c r="F1245" s="201">
        <f>14/3</f>
        <v>4.666666666666667</v>
      </c>
      <c r="G1245" s="203">
        <v>44671</v>
      </c>
    </row>
    <row r="1246" spans="2:8">
      <c r="B1246" s="199" t="s">
        <v>1050</v>
      </c>
      <c r="C1246" s="200" t="s">
        <v>544</v>
      </c>
      <c r="D1246" s="200" t="s">
        <v>632</v>
      </c>
      <c r="E1246" s="201">
        <v>44</v>
      </c>
      <c r="F1246" s="201">
        <f>14/3</f>
        <v>4.666666666666667</v>
      </c>
      <c r="G1246" s="203">
        <v>44671</v>
      </c>
    </row>
    <row r="1247" spans="2:8">
      <c r="B1247" s="199" t="s">
        <v>1051</v>
      </c>
      <c r="C1247" s="200" t="s">
        <v>544</v>
      </c>
      <c r="D1247" s="200" t="s">
        <v>632</v>
      </c>
      <c r="E1247" s="201">
        <v>44</v>
      </c>
      <c r="F1247" s="201">
        <f>14/3</f>
        <v>4.666666666666667</v>
      </c>
      <c r="G1247" s="203">
        <v>44671</v>
      </c>
    </row>
    <row r="1248" spans="2:8">
      <c r="B1248" s="210" t="s">
        <v>1623</v>
      </c>
      <c r="C1248" s="211" t="s">
        <v>544</v>
      </c>
      <c r="D1248" s="211" t="s">
        <v>700</v>
      </c>
      <c r="E1248" s="201">
        <v>14.5</v>
      </c>
      <c r="F1248" s="201">
        <v>4.5</v>
      </c>
      <c r="G1248" s="203">
        <v>44389</v>
      </c>
    </row>
    <row r="1249" spans="2:9">
      <c r="B1249" s="199" t="s">
        <v>930</v>
      </c>
      <c r="C1249" s="200" t="s">
        <v>402</v>
      </c>
      <c r="D1249" s="200" t="s">
        <v>618</v>
      </c>
      <c r="E1249" s="201">
        <v>35</v>
      </c>
      <c r="F1249" s="201">
        <f>25/6</f>
        <v>4.166666666666667</v>
      </c>
      <c r="G1249" s="203">
        <v>44293</v>
      </c>
    </row>
    <row r="1250" spans="2:9">
      <c r="B1250" s="219" t="s">
        <v>1793</v>
      </c>
      <c r="C1250" s="220" t="s">
        <v>544</v>
      </c>
      <c r="D1250" s="220" t="s">
        <v>713</v>
      </c>
      <c r="E1250" s="201">
        <v>12.5</v>
      </c>
      <c r="F1250" s="201">
        <f>E1250/3</f>
        <v>4.166666666666667</v>
      </c>
      <c r="G1250" s="203">
        <v>44825</v>
      </c>
    </row>
    <row r="1251" spans="2:9">
      <c r="B1251" s="219" t="s">
        <v>1791</v>
      </c>
      <c r="C1251" s="220" t="s">
        <v>544</v>
      </c>
      <c r="D1251" s="220" t="s">
        <v>713</v>
      </c>
      <c r="E1251" s="201">
        <v>12.5</v>
      </c>
      <c r="F1251" s="201">
        <f>E1251/3</f>
        <v>4.166666666666667</v>
      </c>
      <c r="G1251" s="203">
        <v>44825</v>
      </c>
    </row>
    <row r="1252" spans="2:9">
      <c r="B1252" s="199" t="s">
        <v>1191</v>
      </c>
      <c r="C1252" s="200" t="s">
        <v>544</v>
      </c>
      <c r="D1252" s="200" t="s">
        <v>659</v>
      </c>
      <c r="E1252" s="201">
        <v>30</v>
      </c>
      <c r="F1252" s="201">
        <v>4</v>
      </c>
      <c r="G1252" s="203">
        <v>44522</v>
      </c>
    </row>
    <row r="1253" spans="2:9">
      <c r="B1253" s="199" t="s">
        <v>1167</v>
      </c>
      <c r="C1253" s="200" t="s">
        <v>544</v>
      </c>
      <c r="D1253" s="200" t="s">
        <v>1163</v>
      </c>
      <c r="E1253" s="201">
        <v>21.4</v>
      </c>
      <c r="F1253" s="201">
        <f>11.4/3</f>
        <v>3.8000000000000003</v>
      </c>
      <c r="G1253" s="203">
        <v>44232</v>
      </c>
    </row>
    <row r="1254" spans="2:9">
      <c r="B1254" s="217" t="s">
        <v>1700</v>
      </c>
      <c r="C1254" s="218" t="s">
        <v>549</v>
      </c>
      <c r="D1254" s="218" t="s">
        <v>704</v>
      </c>
      <c r="E1254" s="201">
        <v>13</v>
      </c>
      <c r="F1254" s="201">
        <f>7/2</f>
        <v>3.5</v>
      </c>
      <c r="G1254" s="203">
        <v>44896</v>
      </c>
    </row>
    <row r="1255" spans="2:9">
      <c r="B1255" s="219" t="s">
        <v>1749</v>
      </c>
      <c r="C1255" s="220" t="s">
        <v>549</v>
      </c>
      <c r="D1255" s="220" t="s">
        <v>585</v>
      </c>
      <c r="E1255" s="201">
        <v>10</v>
      </c>
      <c r="F1255" s="201">
        <v>3.5</v>
      </c>
      <c r="G1255" s="203">
        <v>44858</v>
      </c>
    </row>
    <row r="1256" spans="2:9">
      <c r="B1256" s="219" t="s">
        <v>1750</v>
      </c>
      <c r="C1256" s="220" t="s">
        <v>549</v>
      </c>
      <c r="D1256" s="220" t="s">
        <v>585</v>
      </c>
      <c r="E1256" s="201">
        <v>10</v>
      </c>
      <c r="F1256" s="201">
        <v>3.5</v>
      </c>
      <c r="G1256" s="203">
        <v>44858</v>
      </c>
    </row>
    <row r="1257" spans="2:9">
      <c r="B1257" s="210" t="s">
        <v>1594</v>
      </c>
      <c r="C1257" s="211" t="s">
        <v>544</v>
      </c>
      <c r="D1257" s="211" t="s">
        <v>697</v>
      </c>
      <c r="E1257" s="201">
        <v>15</v>
      </c>
      <c r="F1257" s="201">
        <f>10/3</f>
        <v>3.3333333333333335</v>
      </c>
      <c r="G1257" s="203">
        <v>44838</v>
      </c>
    </row>
    <row r="1258" spans="2:9">
      <c r="B1258" s="210"/>
      <c r="C1258" s="211"/>
      <c r="D1258" s="211"/>
      <c r="G1258" s="203"/>
    </row>
    <row r="1259" spans="2:9">
      <c r="B1259" s="199" t="s">
        <v>1026</v>
      </c>
      <c r="C1259" s="200" t="s">
        <v>544</v>
      </c>
      <c r="D1259" s="200" t="s">
        <v>630</v>
      </c>
      <c r="E1259" s="201">
        <v>10</v>
      </c>
      <c r="F1259" s="201">
        <v>3</v>
      </c>
      <c r="G1259" s="203">
        <v>44378</v>
      </c>
    </row>
    <row r="1260" spans="2:9">
      <c r="C1260" s="273" t="s">
        <v>755</v>
      </c>
      <c r="D1260" s="273" t="s">
        <v>1822</v>
      </c>
      <c r="E1260" s="201">
        <v>700</v>
      </c>
      <c r="F1260" s="201">
        <f>400/12</f>
        <v>33.333333333333336</v>
      </c>
      <c r="G1260" s="203">
        <v>44218</v>
      </c>
    </row>
    <row r="1261" spans="2:9">
      <c r="C1261" s="273" t="s">
        <v>565</v>
      </c>
      <c r="D1261" s="273" t="s">
        <v>1822</v>
      </c>
      <c r="E1261" s="201">
        <v>140</v>
      </c>
      <c r="F1261" s="201">
        <f>E1261/9</f>
        <v>15.555555555555555</v>
      </c>
      <c r="G1261" s="203">
        <v>43453</v>
      </c>
    </row>
    <row r="1262" spans="2:9">
      <c r="C1262" s="273" t="s">
        <v>402</v>
      </c>
      <c r="D1262" s="273" t="s">
        <v>1828</v>
      </c>
      <c r="E1262" s="201">
        <v>462</v>
      </c>
      <c r="F1262" s="201">
        <f>162/2</f>
        <v>81</v>
      </c>
      <c r="G1262" s="203">
        <v>43886</v>
      </c>
      <c r="I1262" s="199">
        <v>2500</v>
      </c>
    </row>
    <row r="1263" spans="2:9">
      <c r="C1263" s="273" t="s">
        <v>544</v>
      </c>
      <c r="D1263" s="273" t="s">
        <v>1828</v>
      </c>
      <c r="E1263" s="201">
        <v>102</v>
      </c>
      <c r="F1263" s="201">
        <f>70/9</f>
        <v>7.7777777777777777</v>
      </c>
      <c r="G1263" s="203">
        <v>43292</v>
      </c>
    </row>
    <row r="1264" spans="2:9">
      <c r="C1264" s="273"/>
      <c r="D1264" s="273"/>
      <c r="G1264" s="203"/>
    </row>
    <row r="1265" spans="2:7">
      <c r="B1265" s="199" t="s">
        <v>1027</v>
      </c>
      <c r="C1265" s="200" t="s">
        <v>544</v>
      </c>
      <c r="D1265" s="200" t="s">
        <v>630</v>
      </c>
      <c r="E1265" s="201">
        <v>10</v>
      </c>
      <c r="F1265" s="201">
        <v>3</v>
      </c>
      <c r="G1265" s="203">
        <v>44378</v>
      </c>
    </row>
    <row r="1266" spans="2:7">
      <c r="G1266" s="203"/>
    </row>
    <row r="1267" spans="2:7">
      <c r="B1267" s="199" t="s">
        <v>1028</v>
      </c>
      <c r="C1267" s="200" t="s">
        <v>544</v>
      </c>
      <c r="D1267" s="200" t="s">
        <v>630</v>
      </c>
      <c r="E1267" s="201">
        <v>10</v>
      </c>
      <c r="F1267" s="201">
        <v>3</v>
      </c>
      <c r="G1267" s="203">
        <v>44378</v>
      </c>
    </row>
    <row r="1268" spans="2:7">
      <c r="C1268" s="200" t="s">
        <v>544</v>
      </c>
      <c r="D1268" s="273" t="s">
        <v>1825</v>
      </c>
      <c r="E1268" s="201">
        <v>5</v>
      </c>
      <c r="F1268" s="201">
        <f>E1268/3</f>
        <v>1.6666666666666667</v>
      </c>
      <c r="G1268" s="203">
        <v>42688</v>
      </c>
    </row>
    <row r="1269" spans="2:7">
      <c r="G1269" s="203"/>
    </row>
    <row r="1270" spans="2:7">
      <c r="B1270" s="199" t="s">
        <v>1029</v>
      </c>
      <c r="C1270" s="200" t="s">
        <v>544</v>
      </c>
      <c r="D1270" s="200" t="s">
        <v>630</v>
      </c>
      <c r="E1270" s="201">
        <v>10</v>
      </c>
      <c r="F1270" s="201">
        <v>3</v>
      </c>
      <c r="G1270" s="203">
        <v>44378</v>
      </c>
    </row>
    <row r="1271" spans="2:7">
      <c r="B1271" s="199" t="s">
        <v>1337</v>
      </c>
      <c r="C1271" s="200" t="s">
        <v>402</v>
      </c>
      <c r="D1271" s="200" t="s">
        <v>673</v>
      </c>
      <c r="E1271" s="201">
        <v>25</v>
      </c>
      <c r="F1271" s="201">
        <f>15/5</f>
        <v>3</v>
      </c>
      <c r="G1271" s="203">
        <v>44755</v>
      </c>
    </row>
    <row r="1272" spans="2:7">
      <c r="B1272" s="199" t="s">
        <v>1205</v>
      </c>
      <c r="C1272" s="200" t="s">
        <v>544</v>
      </c>
      <c r="D1272" s="200" t="s">
        <v>568</v>
      </c>
      <c r="E1272" s="201">
        <v>10.9</v>
      </c>
      <c r="F1272" s="201">
        <v>3</v>
      </c>
      <c r="G1272" s="203">
        <v>45070</v>
      </c>
    </row>
    <row r="1273" spans="2:7">
      <c r="B1273" s="199" t="s">
        <v>1319</v>
      </c>
      <c r="C1273" s="200" t="s">
        <v>402</v>
      </c>
      <c r="D1273" s="200" t="s">
        <v>671</v>
      </c>
      <c r="E1273" s="201">
        <v>25</v>
      </c>
      <c r="F1273" s="201">
        <v>3</v>
      </c>
      <c r="G1273" s="203">
        <v>44636</v>
      </c>
    </row>
    <row r="1274" spans="2:7">
      <c r="B1274" s="219" t="s">
        <v>1809</v>
      </c>
      <c r="C1274" s="220" t="s">
        <v>544</v>
      </c>
      <c r="D1274" s="220" t="s">
        <v>716</v>
      </c>
      <c r="E1274" s="201">
        <v>12</v>
      </c>
      <c r="F1274" s="201">
        <v>3</v>
      </c>
      <c r="G1274" s="203">
        <v>44860</v>
      </c>
    </row>
    <row r="1275" spans="2:7">
      <c r="B1275" s="219"/>
      <c r="C1275" s="220"/>
      <c r="D1275" s="220"/>
      <c r="G1275" s="203"/>
    </row>
    <row r="1276" spans="2:7">
      <c r="B1276" s="219" t="s">
        <v>1810</v>
      </c>
      <c r="C1276" s="220" t="s">
        <v>544</v>
      </c>
      <c r="D1276" s="220" t="s">
        <v>716</v>
      </c>
      <c r="E1276" s="201">
        <v>12</v>
      </c>
      <c r="F1276" s="201">
        <v>3</v>
      </c>
      <c r="G1276" s="203">
        <v>44860</v>
      </c>
    </row>
    <row r="1277" spans="2:7">
      <c r="B1277" s="219"/>
      <c r="C1277" s="273" t="s">
        <v>402</v>
      </c>
      <c r="D1277" s="273" t="s">
        <v>1823</v>
      </c>
      <c r="E1277" s="201">
        <v>150</v>
      </c>
      <c r="F1277" s="201">
        <v>20</v>
      </c>
      <c r="G1277" s="203">
        <v>43556</v>
      </c>
    </row>
    <row r="1278" spans="2:7">
      <c r="B1278" s="219"/>
      <c r="C1278" s="273" t="s">
        <v>544</v>
      </c>
      <c r="D1278" s="273" t="s">
        <v>1823</v>
      </c>
      <c r="E1278" s="201">
        <v>56</v>
      </c>
      <c r="F1278" s="201">
        <v>13</v>
      </c>
      <c r="G1278" s="203">
        <v>43174</v>
      </c>
    </row>
    <row r="1279" spans="2:7">
      <c r="B1279" s="219"/>
      <c r="C1279" s="220"/>
      <c r="D1279" s="220"/>
      <c r="G1279" s="203"/>
    </row>
    <row r="1280" spans="2:7">
      <c r="B1280" s="237" t="s">
        <v>2760</v>
      </c>
      <c r="C1280" s="238" t="s">
        <v>402</v>
      </c>
      <c r="D1280" s="238" t="s">
        <v>2754</v>
      </c>
      <c r="E1280" s="201">
        <v>32</v>
      </c>
      <c r="F1280" s="201">
        <v>3</v>
      </c>
      <c r="G1280" s="203">
        <v>44364</v>
      </c>
    </row>
    <row r="1281" spans="2:7">
      <c r="B1281" s="237" t="s">
        <v>11</v>
      </c>
      <c r="C1281" s="238" t="s">
        <v>402</v>
      </c>
      <c r="D1281" s="238" t="s">
        <v>2754</v>
      </c>
      <c r="E1281" s="201">
        <v>32</v>
      </c>
      <c r="F1281" s="201">
        <v>3</v>
      </c>
      <c r="G1281" s="203">
        <v>44364</v>
      </c>
    </row>
    <row r="1282" spans="2:7">
      <c r="B1282" s="199" t="s">
        <v>1341</v>
      </c>
      <c r="C1282" s="200" t="s">
        <v>544</v>
      </c>
      <c r="D1282" s="200" t="s">
        <v>673</v>
      </c>
      <c r="E1282" s="201">
        <v>21</v>
      </c>
      <c r="F1282" s="201">
        <f>14/5</f>
        <v>2.8</v>
      </c>
      <c r="G1282" s="203">
        <v>44489</v>
      </c>
    </row>
    <row r="1283" spans="2:7">
      <c r="B1283" s="199" t="s">
        <v>1345</v>
      </c>
      <c r="C1283" s="200" t="s">
        <v>544</v>
      </c>
      <c r="D1283" s="200" t="s">
        <v>674</v>
      </c>
      <c r="E1283" s="201">
        <v>25</v>
      </c>
      <c r="F1283" s="201">
        <f>18/7</f>
        <v>2.5714285714285716</v>
      </c>
      <c r="G1283" s="203">
        <v>44757</v>
      </c>
    </row>
    <row r="1284" spans="2:7">
      <c r="B1284" s="199" t="s">
        <v>1347</v>
      </c>
      <c r="C1284" s="200" t="s">
        <v>544</v>
      </c>
      <c r="D1284" s="200" t="s">
        <v>674</v>
      </c>
      <c r="E1284" s="201">
        <v>25</v>
      </c>
      <c r="F1284" s="201">
        <f>18/7</f>
        <v>2.5714285714285716</v>
      </c>
      <c r="G1284" s="203">
        <v>44757</v>
      </c>
    </row>
    <row r="1285" spans="2:7">
      <c r="B1285" s="199" t="s">
        <v>1555</v>
      </c>
      <c r="C1285" s="200" t="s">
        <v>549</v>
      </c>
      <c r="D1285" s="200" t="s">
        <v>693</v>
      </c>
      <c r="E1285" s="201">
        <v>16</v>
      </c>
      <c r="F1285" s="201">
        <f>10/4</f>
        <v>2.5</v>
      </c>
      <c r="G1285" s="203">
        <v>44298</v>
      </c>
    </row>
    <row r="1286" spans="2:7">
      <c r="B1286" s="199" t="s">
        <v>1556</v>
      </c>
      <c r="C1286" s="200" t="s">
        <v>549</v>
      </c>
      <c r="D1286" s="200" t="s">
        <v>693</v>
      </c>
      <c r="E1286" s="201">
        <v>16</v>
      </c>
      <c r="F1286" s="201">
        <f>10/4</f>
        <v>2.5</v>
      </c>
      <c r="G1286" s="203">
        <v>44298</v>
      </c>
    </row>
    <row r="1287" spans="2:7">
      <c r="B1287" s="199" t="s">
        <v>1557</v>
      </c>
      <c r="C1287" s="200" t="s">
        <v>549</v>
      </c>
      <c r="D1287" s="200" t="s">
        <v>693</v>
      </c>
      <c r="E1287" s="201">
        <v>16</v>
      </c>
      <c r="F1287" s="201">
        <f>10/4</f>
        <v>2.5</v>
      </c>
      <c r="G1287" s="203">
        <v>44298</v>
      </c>
    </row>
    <row r="1288" spans="2:7">
      <c r="B1288" s="199" t="s">
        <v>1558</v>
      </c>
      <c r="C1288" s="200" t="s">
        <v>549</v>
      </c>
      <c r="D1288" s="200" t="s">
        <v>693</v>
      </c>
      <c r="E1288" s="201">
        <v>16</v>
      </c>
      <c r="F1288" s="201">
        <f>10/4</f>
        <v>2.5</v>
      </c>
      <c r="G1288" s="203">
        <v>44298</v>
      </c>
    </row>
    <row r="1289" spans="2:7">
      <c r="B1289" s="199" t="s">
        <v>1099</v>
      </c>
      <c r="C1289" s="200" t="s">
        <v>544</v>
      </c>
      <c r="D1289" s="200" t="s">
        <v>1094</v>
      </c>
      <c r="E1289" s="201">
        <v>50</v>
      </c>
      <c r="F1289" s="201">
        <f>30/12</f>
        <v>2.5</v>
      </c>
      <c r="G1289" s="203">
        <v>44796</v>
      </c>
    </row>
    <row r="1290" spans="2:7">
      <c r="B1290" s="199" t="s">
        <v>1100</v>
      </c>
      <c r="C1290" s="200" t="s">
        <v>544</v>
      </c>
      <c r="D1290" s="200" t="s">
        <v>1094</v>
      </c>
      <c r="E1290" s="201">
        <v>50</v>
      </c>
      <c r="F1290" s="201">
        <f>30/12</f>
        <v>2.5</v>
      </c>
      <c r="G1290" s="203">
        <v>44796</v>
      </c>
    </row>
    <row r="1291" spans="2:7">
      <c r="B1291" s="199" t="s">
        <v>1463</v>
      </c>
      <c r="C1291" s="200" t="s">
        <v>544</v>
      </c>
      <c r="D1291" s="200" t="s">
        <v>684</v>
      </c>
      <c r="E1291" s="201">
        <v>20</v>
      </c>
      <c r="F1291" s="201">
        <v>2.5</v>
      </c>
      <c r="G1291" s="203">
        <v>44392</v>
      </c>
    </row>
    <row r="1292" spans="2:7">
      <c r="G1292" s="203"/>
    </row>
    <row r="1293" spans="2:7">
      <c r="B1293" s="268" t="s">
        <v>3892</v>
      </c>
      <c r="C1293" s="200" t="s">
        <v>544</v>
      </c>
      <c r="D1293" s="200" t="s">
        <v>1094</v>
      </c>
      <c r="E1293" s="201">
        <v>50</v>
      </c>
      <c r="F1293" s="201">
        <f>30/12</f>
        <v>2.5</v>
      </c>
      <c r="G1293" s="203">
        <v>44796</v>
      </c>
    </row>
    <row r="1294" spans="2:7">
      <c r="C1294" s="200" t="s">
        <v>544</v>
      </c>
      <c r="D1294" s="200" t="s">
        <v>632</v>
      </c>
      <c r="E1294" s="201">
        <v>44</v>
      </c>
      <c r="F1294" s="201">
        <v>10</v>
      </c>
      <c r="G1294" s="203">
        <v>44671</v>
      </c>
    </row>
    <row r="1295" spans="2:7">
      <c r="C1295" s="273" t="s">
        <v>565</v>
      </c>
      <c r="D1295" s="273" t="s">
        <v>1821</v>
      </c>
      <c r="E1295" s="201">
        <v>460</v>
      </c>
      <c r="F1295" s="201">
        <v>40</v>
      </c>
      <c r="G1295" s="203">
        <v>43040</v>
      </c>
    </row>
    <row r="1296" spans="2:7">
      <c r="G1296" s="203"/>
    </row>
    <row r="1297" spans="2:7">
      <c r="B1297" s="199" t="s">
        <v>1096</v>
      </c>
      <c r="C1297" s="200" t="s">
        <v>544</v>
      </c>
      <c r="D1297" s="200" t="s">
        <v>1094</v>
      </c>
      <c r="E1297" s="201">
        <v>50</v>
      </c>
      <c r="F1297" s="201">
        <f>30/12</f>
        <v>2.5</v>
      </c>
      <c r="G1297" s="203">
        <v>44796</v>
      </c>
    </row>
    <row r="1298" spans="2:7">
      <c r="B1298" s="199" t="s">
        <v>1097</v>
      </c>
      <c r="C1298" s="200" t="s">
        <v>544</v>
      </c>
      <c r="D1298" s="200" t="s">
        <v>1094</v>
      </c>
      <c r="E1298" s="201">
        <v>50</v>
      </c>
      <c r="F1298" s="201">
        <f>30/12</f>
        <v>2.5</v>
      </c>
      <c r="G1298" s="203">
        <v>44796</v>
      </c>
    </row>
    <row r="1299" spans="2:7">
      <c r="B1299" s="199" t="s">
        <v>1381</v>
      </c>
      <c r="C1299" s="200" t="s">
        <v>544</v>
      </c>
      <c r="D1299" s="200" t="s">
        <v>680</v>
      </c>
      <c r="E1299" s="201">
        <v>20</v>
      </c>
      <c r="F1299" s="201">
        <f>13/6</f>
        <v>2.1666666666666665</v>
      </c>
      <c r="G1299" s="203">
        <v>44903</v>
      </c>
    </row>
    <row r="1300" spans="2:7">
      <c r="B1300" s="199" t="s">
        <v>1377</v>
      </c>
      <c r="C1300" s="200" t="s">
        <v>544</v>
      </c>
      <c r="D1300" s="200" t="s">
        <v>680</v>
      </c>
      <c r="E1300" s="201">
        <v>20</v>
      </c>
      <c r="F1300" s="201">
        <f>13/6</f>
        <v>2.1666666666666665</v>
      </c>
      <c r="G1300" s="203">
        <v>44903</v>
      </c>
    </row>
    <row r="1301" spans="2:7">
      <c r="B1301" s="199" t="s">
        <v>1379</v>
      </c>
      <c r="C1301" s="200" t="s">
        <v>544</v>
      </c>
      <c r="D1301" s="200" t="s">
        <v>680</v>
      </c>
      <c r="E1301" s="201">
        <v>20</v>
      </c>
      <c r="F1301" s="201">
        <f>13/6</f>
        <v>2.1666666666666665</v>
      </c>
      <c r="G1301" s="203">
        <v>44903</v>
      </c>
    </row>
    <row r="1302" spans="2:7">
      <c r="B1302" s="199" t="s">
        <v>1367</v>
      </c>
      <c r="C1302" s="200" t="s">
        <v>544</v>
      </c>
      <c r="D1302" s="200" t="s">
        <v>679</v>
      </c>
      <c r="E1302" s="201">
        <v>20</v>
      </c>
      <c r="F1302" s="201">
        <f>13/6</f>
        <v>2.1666666666666665</v>
      </c>
      <c r="G1302" s="203">
        <v>44676</v>
      </c>
    </row>
    <row r="1303" spans="2:7">
      <c r="B1303" s="199" t="s">
        <v>1368</v>
      </c>
      <c r="C1303" s="200" t="s">
        <v>544</v>
      </c>
      <c r="D1303" s="200" t="s">
        <v>679</v>
      </c>
      <c r="E1303" s="201">
        <v>20</v>
      </c>
      <c r="F1303" s="201">
        <f>13/6</f>
        <v>2.1666666666666665</v>
      </c>
      <c r="G1303" s="203">
        <v>44676</v>
      </c>
    </row>
    <row r="1304" spans="2:7">
      <c r="B1304" s="210" t="s">
        <v>1607</v>
      </c>
      <c r="C1304" s="211" t="s">
        <v>549</v>
      </c>
      <c r="D1304" s="211" t="s">
        <v>467</v>
      </c>
      <c r="E1304" s="201">
        <v>15</v>
      </c>
      <c r="F1304" s="201">
        <f>15/7</f>
        <v>2.1428571428571428</v>
      </c>
      <c r="G1304" s="203">
        <v>44691</v>
      </c>
    </row>
    <row r="1305" spans="2:7">
      <c r="B1305" s="210" t="s">
        <v>1608</v>
      </c>
      <c r="C1305" s="211" t="s">
        <v>549</v>
      </c>
      <c r="D1305" s="211" t="s">
        <v>467</v>
      </c>
      <c r="E1305" s="201">
        <v>15</v>
      </c>
      <c r="F1305" s="201">
        <f>15/7</f>
        <v>2.1428571428571428</v>
      </c>
      <c r="G1305" s="203">
        <v>44691</v>
      </c>
    </row>
    <row r="1306" spans="2:7">
      <c r="B1306" s="210" t="s">
        <v>1609</v>
      </c>
      <c r="C1306" s="211" t="s">
        <v>549</v>
      </c>
      <c r="D1306" s="211" t="s">
        <v>467</v>
      </c>
      <c r="E1306" s="201">
        <v>15</v>
      </c>
      <c r="F1306" s="201">
        <f>15/7</f>
        <v>2.1428571428571428</v>
      </c>
      <c r="G1306" s="203">
        <v>44691</v>
      </c>
    </row>
    <row r="1307" spans="2:7">
      <c r="B1307" s="210" t="s">
        <v>1610</v>
      </c>
      <c r="C1307" s="211" t="s">
        <v>549</v>
      </c>
      <c r="D1307" s="211" t="s">
        <v>467</v>
      </c>
      <c r="E1307" s="201">
        <v>15</v>
      </c>
      <c r="F1307" s="201">
        <f>15/7</f>
        <v>2.1428571428571428</v>
      </c>
      <c r="G1307" s="203">
        <v>44691</v>
      </c>
    </row>
    <row r="1308" spans="2:7">
      <c r="B1308" s="199" t="s">
        <v>991</v>
      </c>
      <c r="C1308" s="200" t="s">
        <v>544</v>
      </c>
      <c r="D1308" s="200" t="s">
        <v>616</v>
      </c>
      <c r="E1308" s="201">
        <v>20</v>
      </c>
      <c r="F1308" s="201">
        <f>12/6</f>
        <v>2</v>
      </c>
      <c r="G1308" s="203">
        <v>43816</v>
      </c>
    </row>
    <row r="1309" spans="2:7">
      <c r="B1309" s="199" t="s">
        <v>1495</v>
      </c>
      <c r="C1309" s="200" t="s">
        <v>544</v>
      </c>
      <c r="D1309" s="200" t="s">
        <v>1479</v>
      </c>
      <c r="E1309" s="201">
        <v>12.5</v>
      </c>
      <c r="F1309" s="201">
        <v>2</v>
      </c>
      <c r="G1309" s="203">
        <v>44784</v>
      </c>
    </row>
    <row r="1310" spans="2:7">
      <c r="B1310" s="199" t="s">
        <v>1536</v>
      </c>
      <c r="C1310" s="200" t="s">
        <v>549</v>
      </c>
      <c r="D1310" s="200" t="s">
        <v>575</v>
      </c>
      <c r="E1310" s="201">
        <v>4.5</v>
      </c>
      <c r="F1310" s="201">
        <v>2</v>
      </c>
      <c r="G1310" s="203">
        <v>45056</v>
      </c>
    </row>
    <row r="1311" spans="2:7">
      <c r="B1311" s="199" t="s">
        <v>1431</v>
      </c>
      <c r="C1311" s="200" t="s">
        <v>544</v>
      </c>
      <c r="D1311" s="200" t="s">
        <v>546</v>
      </c>
      <c r="E1311" s="201">
        <v>23.5</v>
      </c>
      <c r="F1311" s="201">
        <v>2</v>
      </c>
      <c r="G1311" s="203">
        <v>44875</v>
      </c>
    </row>
    <row r="1312" spans="2:7">
      <c r="B1312" s="199" t="s">
        <v>1449</v>
      </c>
      <c r="C1312" s="200" t="s">
        <v>544</v>
      </c>
      <c r="D1312" s="200" t="s">
        <v>1448</v>
      </c>
      <c r="E1312" s="201">
        <v>20</v>
      </c>
      <c r="F1312" s="201">
        <v>2</v>
      </c>
      <c r="G1312" s="203">
        <v>44602</v>
      </c>
    </row>
    <row r="1313" spans="2:7">
      <c r="B1313" s="199" t="s">
        <v>1450</v>
      </c>
      <c r="C1313" s="200" t="s">
        <v>544</v>
      </c>
      <c r="D1313" s="200" t="s">
        <v>1448</v>
      </c>
      <c r="E1313" s="201">
        <v>20</v>
      </c>
      <c r="F1313" s="201">
        <v>2</v>
      </c>
      <c r="G1313" s="203">
        <v>44602</v>
      </c>
    </row>
    <row r="1314" spans="2:7">
      <c r="G1314" s="203"/>
    </row>
    <row r="1315" spans="2:7">
      <c r="B1315" s="199" t="s">
        <v>1453</v>
      </c>
      <c r="C1315" s="200" t="s">
        <v>544</v>
      </c>
      <c r="D1315" s="200" t="s">
        <v>1452</v>
      </c>
      <c r="E1315" s="201">
        <v>20</v>
      </c>
      <c r="F1315" s="201">
        <v>2</v>
      </c>
      <c r="G1315" s="203">
        <v>44578</v>
      </c>
    </row>
    <row r="1316" spans="2:7">
      <c r="C1316" s="273" t="s">
        <v>755</v>
      </c>
      <c r="D1316" s="273" t="s">
        <v>1818</v>
      </c>
      <c r="E1316" s="201">
        <v>600</v>
      </c>
      <c r="F1316" s="201">
        <f>500/8</f>
        <v>62.5</v>
      </c>
      <c r="G1316" s="203">
        <v>44502</v>
      </c>
    </row>
    <row r="1317" spans="2:7">
      <c r="C1317" s="273" t="s">
        <v>544</v>
      </c>
      <c r="D1317" s="273" t="s">
        <v>1818</v>
      </c>
      <c r="E1317" s="201">
        <v>92</v>
      </c>
      <c r="F1317" s="201">
        <f>E1317/2</f>
        <v>46</v>
      </c>
      <c r="G1317" s="203">
        <v>43130</v>
      </c>
    </row>
    <row r="1318" spans="2:7">
      <c r="G1318" s="203"/>
    </row>
    <row r="1319" spans="2:7">
      <c r="B1319" s="199" t="s">
        <v>1454</v>
      </c>
      <c r="C1319" s="200" t="s">
        <v>544</v>
      </c>
      <c r="D1319" s="200" t="s">
        <v>1452</v>
      </c>
      <c r="E1319" s="201">
        <v>20</v>
      </c>
      <c r="F1319" s="201">
        <v>2</v>
      </c>
      <c r="G1319" s="203">
        <v>44578</v>
      </c>
    </row>
    <row r="1320" spans="2:7">
      <c r="B1320" s="199" t="s">
        <v>1455</v>
      </c>
      <c r="C1320" s="200" t="s">
        <v>544</v>
      </c>
      <c r="D1320" s="200" t="s">
        <v>1452</v>
      </c>
      <c r="E1320" s="201">
        <v>20</v>
      </c>
      <c r="F1320" s="201">
        <v>2</v>
      </c>
      <c r="G1320" s="203">
        <v>44578</v>
      </c>
    </row>
    <row r="1321" spans="2:7">
      <c r="B1321" s="199" t="s">
        <v>1456</v>
      </c>
      <c r="C1321" s="200" t="s">
        <v>544</v>
      </c>
      <c r="D1321" s="200" t="s">
        <v>1452</v>
      </c>
      <c r="E1321" s="201">
        <v>20</v>
      </c>
      <c r="F1321" s="201">
        <v>2</v>
      </c>
      <c r="G1321" s="203">
        <v>44578</v>
      </c>
    </row>
    <row r="1322" spans="2:7">
      <c r="B1322" s="199" t="s">
        <v>1457</v>
      </c>
      <c r="C1322" s="200" t="s">
        <v>544</v>
      </c>
      <c r="D1322" s="200" t="s">
        <v>1452</v>
      </c>
      <c r="E1322" s="201">
        <v>20</v>
      </c>
      <c r="F1322" s="201">
        <v>2</v>
      </c>
      <c r="G1322" s="203">
        <v>44578</v>
      </c>
    </row>
    <row r="1323" spans="2:7">
      <c r="B1323" s="224" t="s">
        <v>2183</v>
      </c>
      <c r="C1323" s="225" t="s">
        <v>549</v>
      </c>
      <c r="D1323" s="225" t="s">
        <v>586</v>
      </c>
      <c r="E1323" s="201">
        <v>6</v>
      </c>
      <c r="F1323" s="201">
        <v>2</v>
      </c>
      <c r="G1323" s="203">
        <v>44781</v>
      </c>
    </row>
    <row r="1324" spans="2:7">
      <c r="B1324" s="210" t="s">
        <v>1587</v>
      </c>
      <c r="C1324" s="211" t="s">
        <v>549</v>
      </c>
      <c r="D1324" s="211" t="s">
        <v>1578</v>
      </c>
      <c r="E1324" s="201">
        <v>6</v>
      </c>
      <c r="F1324" s="201">
        <v>2</v>
      </c>
      <c r="G1324" s="203">
        <v>44180</v>
      </c>
    </row>
    <row r="1325" spans="2:7">
      <c r="B1325" s="219" t="s">
        <v>1794</v>
      </c>
      <c r="C1325" s="220" t="s">
        <v>549</v>
      </c>
      <c r="D1325" s="220" t="s">
        <v>713</v>
      </c>
      <c r="E1325" s="201">
        <v>2</v>
      </c>
      <c r="F1325" s="201">
        <v>2</v>
      </c>
      <c r="G1325" s="203">
        <v>43685</v>
      </c>
    </row>
    <row r="1326" spans="2:7">
      <c r="B1326" s="219" t="s">
        <v>1811</v>
      </c>
      <c r="C1326" s="220" t="s">
        <v>544</v>
      </c>
      <c r="D1326" s="220" t="s">
        <v>716</v>
      </c>
      <c r="E1326" s="201">
        <v>12</v>
      </c>
      <c r="F1326" s="201">
        <f>6/3</f>
        <v>2</v>
      </c>
      <c r="G1326" s="203">
        <v>44860</v>
      </c>
    </row>
    <row r="1327" spans="2:7">
      <c r="B1327" s="219" t="s">
        <v>1785</v>
      </c>
      <c r="C1327" s="220" t="s">
        <v>544</v>
      </c>
      <c r="D1327" s="220" t="s">
        <v>712</v>
      </c>
      <c r="E1327" s="201">
        <v>13</v>
      </c>
      <c r="F1327" s="201">
        <f>8/4</f>
        <v>2</v>
      </c>
      <c r="G1327" s="203">
        <v>44642</v>
      </c>
    </row>
    <row r="1328" spans="2:7">
      <c r="B1328" s="219" t="s">
        <v>1786</v>
      </c>
      <c r="C1328" s="220" t="s">
        <v>544</v>
      </c>
      <c r="D1328" s="220" t="s">
        <v>712</v>
      </c>
      <c r="E1328" s="201">
        <v>13</v>
      </c>
      <c r="F1328" s="201">
        <f>8/4</f>
        <v>2</v>
      </c>
      <c r="G1328" s="203">
        <v>44642</v>
      </c>
    </row>
    <row r="1329" spans="2:18">
      <c r="B1329" s="219" t="s">
        <v>1739</v>
      </c>
      <c r="C1329" s="220" t="s">
        <v>549</v>
      </c>
      <c r="D1329" s="220" t="s">
        <v>710</v>
      </c>
      <c r="E1329" s="201">
        <v>12.8</v>
      </c>
      <c r="F1329" s="201">
        <v>2</v>
      </c>
      <c r="G1329" s="203">
        <v>44601</v>
      </c>
    </row>
    <row r="1330" spans="2:18">
      <c r="B1330" s="210" t="s">
        <v>1650</v>
      </c>
      <c r="C1330" s="211" t="s">
        <v>402</v>
      </c>
      <c r="D1330" s="211" t="s">
        <v>547</v>
      </c>
      <c r="E1330" s="201">
        <v>27</v>
      </c>
      <c r="F1330" s="201">
        <v>2</v>
      </c>
      <c r="G1330" s="203">
        <v>44882</v>
      </c>
    </row>
    <row r="1331" spans="2:18">
      <c r="B1331" s="219" t="s">
        <v>1762</v>
      </c>
      <c r="C1331" s="220" t="s">
        <v>549</v>
      </c>
      <c r="D1331" s="220" t="s">
        <v>580</v>
      </c>
      <c r="E1331" s="201">
        <v>4</v>
      </c>
      <c r="F1331" s="201">
        <v>2</v>
      </c>
      <c r="G1331" s="203">
        <v>45026</v>
      </c>
    </row>
    <row r="1332" spans="2:18">
      <c r="B1332" s="219" t="s">
        <v>1757</v>
      </c>
      <c r="C1332" s="220" t="s">
        <v>549</v>
      </c>
      <c r="D1332" s="220" t="s">
        <v>579</v>
      </c>
      <c r="E1332" s="201">
        <v>5</v>
      </c>
      <c r="F1332" s="201">
        <f>5/3</f>
        <v>1.6666666666666667</v>
      </c>
      <c r="G1332" s="203">
        <v>45062</v>
      </c>
    </row>
    <row r="1333" spans="2:18">
      <c r="B1333" s="199" t="s">
        <v>1105</v>
      </c>
      <c r="C1333" s="200" t="s">
        <v>549</v>
      </c>
      <c r="D1333" s="200" t="s">
        <v>1094</v>
      </c>
      <c r="E1333" s="201">
        <v>12.5</v>
      </c>
      <c r="F1333" s="201">
        <f>8/5</f>
        <v>1.6</v>
      </c>
      <c r="G1333" s="203">
        <v>44623</v>
      </c>
    </row>
    <row r="1334" spans="2:18">
      <c r="B1334" s="210" t="s">
        <v>1665</v>
      </c>
      <c r="C1334" s="211" t="s">
        <v>544</v>
      </c>
      <c r="D1334" s="211" t="s">
        <v>578</v>
      </c>
      <c r="E1334" s="201">
        <v>12.7</v>
      </c>
      <c r="F1334" s="201">
        <f>8/5</f>
        <v>1.6</v>
      </c>
      <c r="G1334" s="203">
        <v>44952</v>
      </c>
    </row>
    <row r="1335" spans="2:18">
      <c r="B1335" s="199" t="s">
        <v>768</v>
      </c>
      <c r="C1335" s="200" t="s">
        <v>544</v>
      </c>
      <c r="D1335" s="200" t="s">
        <v>751</v>
      </c>
      <c r="E1335" s="201">
        <v>4.5</v>
      </c>
      <c r="F1335" s="201">
        <v>1.5</v>
      </c>
      <c r="G1335" s="203">
        <v>42858</v>
      </c>
      <c r="M1335" s="199"/>
      <c r="N1335" s="199"/>
      <c r="O1335" s="199"/>
      <c r="P1335" s="199"/>
      <c r="Q1335" s="199"/>
      <c r="R1335" s="199"/>
    </row>
    <row r="1336" spans="2:18">
      <c r="B1336" s="199" t="s">
        <v>1514</v>
      </c>
      <c r="C1336" s="200" t="s">
        <v>544</v>
      </c>
      <c r="D1336" s="200" t="s">
        <v>692</v>
      </c>
      <c r="E1336" s="201">
        <v>17</v>
      </c>
      <c r="F1336" s="201">
        <v>1.5</v>
      </c>
      <c r="G1336" s="203">
        <v>44679</v>
      </c>
      <c r="M1336" s="199"/>
      <c r="N1336" s="199"/>
      <c r="O1336" s="199"/>
      <c r="P1336" s="199"/>
      <c r="Q1336" s="199"/>
      <c r="R1336" s="199"/>
    </row>
    <row r="1337" spans="2:18">
      <c r="B1337" s="199" t="s">
        <v>830</v>
      </c>
      <c r="C1337" s="200" t="s">
        <v>549</v>
      </c>
      <c r="D1337" s="200" t="s">
        <v>420</v>
      </c>
      <c r="E1337" s="201">
        <v>6</v>
      </c>
      <c r="F1337" s="201">
        <v>1</v>
      </c>
      <c r="G1337" s="203">
        <v>44352</v>
      </c>
      <c r="M1337" s="199"/>
      <c r="N1337" s="199"/>
      <c r="O1337" s="199"/>
      <c r="P1337" s="199"/>
      <c r="Q1337" s="199"/>
      <c r="R1337" s="199"/>
    </row>
    <row r="1338" spans="2:18">
      <c r="B1338" s="199" t="s">
        <v>831</v>
      </c>
      <c r="C1338" s="200" t="s">
        <v>549</v>
      </c>
      <c r="D1338" s="200" t="s">
        <v>420</v>
      </c>
      <c r="E1338" s="201">
        <v>6</v>
      </c>
      <c r="F1338" s="201">
        <v>1</v>
      </c>
      <c r="G1338" s="203">
        <v>44352</v>
      </c>
      <c r="M1338" s="199"/>
      <c r="N1338" s="199"/>
      <c r="O1338" s="199"/>
      <c r="P1338" s="199"/>
      <c r="Q1338" s="199"/>
      <c r="R1338" s="199"/>
    </row>
    <row r="1339" spans="2:18">
      <c r="B1339" s="199" t="s">
        <v>1009</v>
      </c>
      <c r="C1339" s="200" t="s">
        <v>549</v>
      </c>
      <c r="D1339" s="200" t="s">
        <v>626</v>
      </c>
      <c r="E1339" s="201">
        <v>5.3</v>
      </c>
      <c r="F1339" s="201">
        <v>1</v>
      </c>
      <c r="G1339" s="203">
        <v>43628</v>
      </c>
      <c r="M1339" s="199"/>
      <c r="N1339" s="199"/>
      <c r="O1339" s="199"/>
      <c r="P1339" s="199"/>
      <c r="Q1339" s="199"/>
      <c r="R1339" s="199"/>
    </row>
    <row r="1340" spans="2:18">
      <c r="B1340" s="199" t="s">
        <v>1044</v>
      </c>
      <c r="C1340" s="200" t="s">
        <v>544</v>
      </c>
      <c r="D1340" s="200" t="s">
        <v>623</v>
      </c>
      <c r="E1340" s="201">
        <v>17.5</v>
      </c>
      <c r="F1340" s="201">
        <v>1</v>
      </c>
      <c r="G1340" s="203">
        <v>44614</v>
      </c>
      <c r="M1340" s="199"/>
      <c r="N1340" s="199"/>
      <c r="O1340" s="199"/>
      <c r="P1340" s="199"/>
      <c r="Q1340" s="199"/>
      <c r="R1340" s="199"/>
    </row>
    <row r="1341" spans="2:18">
      <c r="B1341" s="199" t="s">
        <v>1212</v>
      </c>
      <c r="C1341" s="200" t="s">
        <v>544</v>
      </c>
      <c r="D1341" s="200" t="s">
        <v>568</v>
      </c>
      <c r="E1341" s="201">
        <v>10.9</v>
      </c>
      <c r="F1341" s="201">
        <f>8/8</f>
        <v>1</v>
      </c>
      <c r="G1341" s="203">
        <v>45070</v>
      </c>
      <c r="M1341" s="199"/>
      <c r="N1341" s="199"/>
      <c r="O1341" s="199"/>
      <c r="P1341" s="199"/>
      <c r="Q1341" s="199"/>
      <c r="R1341" s="199"/>
    </row>
    <row r="1342" spans="2:18">
      <c r="B1342" s="199" t="s">
        <v>1540</v>
      </c>
      <c r="C1342" s="200" t="s">
        <v>549</v>
      </c>
      <c r="D1342" s="200" t="s">
        <v>1531</v>
      </c>
      <c r="E1342" s="201">
        <v>5.5</v>
      </c>
      <c r="F1342" s="201">
        <v>1</v>
      </c>
      <c r="G1342" s="203">
        <v>45092</v>
      </c>
      <c r="M1342" s="199"/>
      <c r="N1342" s="199"/>
      <c r="O1342" s="199"/>
      <c r="P1342" s="199"/>
      <c r="Q1342" s="199"/>
      <c r="R1342" s="199"/>
    </row>
    <row r="1343" spans="2:18">
      <c r="B1343" s="199" t="s">
        <v>1417</v>
      </c>
      <c r="C1343" s="200" t="s">
        <v>549</v>
      </c>
      <c r="D1343" s="200" t="s">
        <v>573</v>
      </c>
      <c r="E1343" s="201">
        <v>2.5</v>
      </c>
      <c r="F1343" s="201">
        <v>1</v>
      </c>
      <c r="G1343" s="203">
        <v>44469</v>
      </c>
      <c r="M1343" s="199"/>
      <c r="N1343" s="199"/>
      <c r="O1343" s="199"/>
      <c r="P1343" s="199"/>
      <c r="Q1343" s="199"/>
      <c r="R1343" s="199"/>
    </row>
    <row r="1344" spans="2:18">
      <c r="B1344" s="199" t="s">
        <v>1432</v>
      </c>
      <c r="C1344" s="200" t="s">
        <v>549</v>
      </c>
      <c r="D1344" s="200" t="s">
        <v>546</v>
      </c>
      <c r="E1344" s="201">
        <v>5.6</v>
      </c>
      <c r="F1344" s="201">
        <v>1</v>
      </c>
      <c r="G1344" s="203">
        <v>44292</v>
      </c>
      <c r="M1344" s="199"/>
      <c r="N1344" s="199"/>
      <c r="O1344" s="199"/>
      <c r="P1344" s="199"/>
      <c r="Q1344" s="199"/>
      <c r="R1344" s="199"/>
    </row>
    <row r="1345" spans="2:18">
      <c r="B1345" s="199" t="s">
        <v>1433</v>
      </c>
      <c r="C1345" s="200" t="s">
        <v>549</v>
      </c>
      <c r="D1345" s="200" t="s">
        <v>546</v>
      </c>
      <c r="E1345" s="201">
        <v>5.6</v>
      </c>
      <c r="F1345" s="201">
        <v>1</v>
      </c>
      <c r="G1345" s="203">
        <v>44292</v>
      </c>
      <c r="M1345" s="199"/>
      <c r="N1345" s="199"/>
      <c r="O1345" s="199"/>
      <c r="P1345" s="199"/>
      <c r="Q1345" s="199"/>
      <c r="R1345" s="199"/>
    </row>
    <row r="1346" spans="2:18">
      <c r="B1346" s="199" t="s">
        <v>1434</v>
      </c>
      <c r="C1346" s="200" t="s">
        <v>549</v>
      </c>
      <c r="D1346" s="200" t="s">
        <v>546</v>
      </c>
      <c r="E1346" s="201">
        <v>5.6</v>
      </c>
      <c r="F1346" s="201">
        <v>1</v>
      </c>
      <c r="G1346" s="203">
        <v>44292</v>
      </c>
      <c r="M1346" s="199"/>
      <c r="N1346" s="199"/>
      <c r="O1346" s="199"/>
      <c r="P1346" s="199"/>
      <c r="Q1346" s="199"/>
      <c r="R1346" s="199"/>
    </row>
    <row r="1347" spans="2:18">
      <c r="B1347" s="199" t="s">
        <v>1435</v>
      </c>
      <c r="C1347" s="200" t="s">
        <v>549</v>
      </c>
      <c r="D1347" s="200" t="s">
        <v>546</v>
      </c>
      <c r="E1347" s="201">
        <v>5.6</v>
      </c>
      <c r="F1347" s="201">
        <v>1</v>
      </c>
      <c r="G1347" s="203">
        <v>44292</v>
      </c>
      <c r="M1347" s="199"/>
      <c r="N1347" s="199"/>
      <c r="O1347" s="199"/>
      <c r="P1347" s="199"/>
      <c r="Q1347" s="199"/>
      <c r="R1347" s="199"/>
    </row>
    <row r="1348" spans="2:18">
      <c r="B1348" s="199" t="s">
        <v>1206</v>
      </c>
      <c r="C1348" s="200" t="s">
        <v>544</v>
      </c>
      <c r="D1348" s="200" t="s">
        <v>568</v>
      </c>
      <c r="E1348" s="201">
        <v>10.9</v>
      </c>
      <c r="F1348" s="201">
        <f>8/8</f>
        <v>1</v>
      </c>
      <c r="G1348" s="203">
        <v>45070</v>
      </c>
      <c r="M1348" s="199"/>
      <c r="N1348" s="199"/>
      <c r="O1348" s="199"/>
      <c r="P1348" s="199"/>
      <c r="Q1348" s="199"/>
      <c r="R1348" s="199"/>
    </row>
    <row r="1349" spans="2:18">
      <c r="B1349" s="199" t="s">
        <v>1207</v>
      </c>
      <c r="C1349" s="200" t="s">
        <v>544</v>
      </c>
      <c r="D1349" s="200" t="s">
        <v>568</v>
      </c>
      <c r="E1349" s="201">
        <v>10.9</v>
      </c>
      <c r="F1349" s="201">
        <f>8/8</f>
        <v>1</v>
      </c>
      <c r="G1349" s="203">
        <v>45070</v>
      </c>
      <c r="M1349" s="199"/>
      <c r="N1349" s="199"/>
      <c r="O1349" s="199"/>
      <c r="P1349" s="199"/>
      <c r="Q1349" s="199"/>
      <c r="R1349" s="199"/>
    </row>
    <row r="1350" spans="2:18">
      <c r="B1350" s="199" t="s">
        <v>1208</v>
      </c>
      <c r="C1350" s="200" t="s">
        <v>544</v>
      </c>
      <c r="D1350" s="200" t="s">
        <v>568</v>
      </c>
      <c r="E1350" s="201">
        <v>10.9</v>
      </c>
      <c r="F1350" s="201">
        <f>8/8</f>
        <v>1</v>
      </c>
      <c r="G1350" s="203">
        <v>45070</v>
      </c>
      <c r="M1350" s="199"/>
      <c r="N1350" s="199"/>
      <c r="O1350" s="199"/>
      <c r="P1350" s="199"/>
      <c r="Q1350" s="199"/>
      <c r="R1350" s="199"/>
    </row>
    <row r="1351" spans="2:18">
      <c r="B1351" s="199" t="s">
        <v>1209</v>
      </c>
      <c r="C1351" s="200" t="s">
        <v>544</v>
      </c>
      <c r="D1351" s="200" t="s">
        <v>568</v>
      </c>
      <c r="E1351" s="201">
        <v>10.9</v>
      </c>
      <c r="F1351" s="201">
        <f>8/8</f>
        <v>1</v>
      </c>
      <c r="G1351" s="203">
        <v>45070</v>
      </c>
      <c r="M1351" s="199"/>
      <c r="N1351" s="199"/>
      <c r="O1351" s="199"/>
      <c r="P1351" s="199"/>
      <c r="Q1351" s="199"/>
      <c r="R1351" s="199"/>
    </row>
    <row r="1352" spans="2:18">
      <c r="B1352" s="199" t="s">
        <v>1210</v>
      </c>
      <c r="C1352" s="200" t="s">
        <v>544</v>
      </c>
      <c r="D1352" s="200" t="s">
        <v>568</v>
      </c>
      <c r="E1352" s="201">
        <v>10.9</v>
      </c>
      <c r="F1352" s="201">
        <f>8/8</f>
        <v>1</v>
      </c>
      <c r="G1352" s="203">
        <v>45070</v>
      </c>
      <c r="M1352" s="199"/>
      <c r="N1352" s="199"/>
      <c r="O1352" s="199"/>
      <c r="P1352" s="199"/>
      <c r="Q1352" s="199"/>
      <c r="R1352" s="199"/>
    </row>
    <row r="1353" spans="2:18">
      <c r="B1353" s="199" t="s">
        <v>13</v>
      </c>
      <c r="C1353" s="200" t="s">
        <v>549</v>
      </c>
      <c r="D1353" s="200" t="s">
        <v>1094</v>
      </c>
      <c r="E1353" s="201">
        <v>7.2</v>
      </c>
      <c r="F1353" s="201">
        <v>1</v>
      </c>
      <c r="G1353" s="203">
        <v>44508</v>
      </c>
      <c r="M1353" s="199"/>
      <c r="N1353" s="199"/>
      <c r="O1353" s="199"/>
      <c r="P1353" s="199"/>
      <c r="Q1353" s="199"/>
      <c r="R1353" s="199"/>
    </row>
    <row r="1354" spans="2:18">
      <c r="B1354" s="199" t="s">
        <v>1107</v>
      </c>
      <c r="C1354" s="200" t="s">
        <v>549</v>
      </c>
      <c r="D1354" s="200" t="s">
        <v>1094</v>
      </c>
      <c r="E1354" s="201">
        <v>7.2</v>
      </c>
      <c r="F1354" s="201">
        <v>1</v>
      </c>
      <c r="G1354" s="203">
        <v>44508</v>
      </c>
      <c r="M1354" s="199"/>
      <c r="N1354" s="199"/>
      <c r="O1354" s="199"/>
      <c r="P1354" s="199"/>
      <c r="Q1354" s="199"/>
      <c r="R1354" s="199"/>
    </row>
    <row r="1355" spans="2:18">
      <c r="B1355" s="199" t="s">
        <v>1138</v>
      </c>
      <c r="C1355" s="206" t="s">
        <v>1137</v>
      </c>
      <c r="D1355" s="206" t="s">
        <v>654</v>
      </c>
      <c r="E1355" s="207">
        <v>3</v>
      </c>
      <c r="F1355" s="207">
        <v>1</v>
      </c>
      <c r="G1355" s="208">
        <v>44183</v>
      </c>
      <c r="M1355" s="199"/>
      <c r="N1355" s="199"/>
      <c r="O1355" s="199"/>
      <c r="P1355" s="199"/>
      <c r="Q1355" s="199"/>
      <c r="R1355" s="199"/>
    </row>
    <row r="1356" spans="2:18">
      <c r="B1356" s="210" t="s">
        <v>1634</v>
      </c>
      <c r="C1356" s="211" t="s">
        <v>1137</v>
      </c>
      <c r="D1356" s="211" t="s">
        <v>701</v>
      </c>
      <c r="E1356" s="201">
        <v>4.5</v>
      </c>
      <c r="F1356" s="201">
        <v>1</v>
      </c>
      <c r="G1356" s="203">
        <v>44691</v>
      </c>
      <c r="M1356" s="199"/>
      <c r="N1356" s="199"/>
      <c r="O1356" s="199"/>
      <c r="P1356" s="199"/>
      <c r="Q1356" s="199"/>
      <c r="R1356" s="199"/>
    </row>
    <row r="1357" spans="2:18">
      <c r="B1357" s="210" t="s">
        <v>1635</v>
      </c>
      <c r="C1357" s="211" t="s">
        <v>1137</v>
      </c>
      <c r="D1357" s="211" t="s">
        <v>701</v>
      </c>
      <c r="E1357" s="201">
        <v>4.5</v>
      </c>
      <c r="F1357" s="201">
        <v>1</v>
      </c>
      <c r="G1357" s="203">
        <v>44691</v>
      </c>
      <c r="M1357" s="199"/>
      <c r="N1357" s="199"/>
      <c r="O1357" s="199"/>
      <c r="P1357" s="199"/>
      <c r="Q1357" s="199"/>
      <c r="R1357" s="199"/>
    </row>
    <row r="1358" spans="2:18">
      <c r="B1358" s="219" t="s">
        <v>1776</v>
      </c>
      <c r="C1358" s="220" t="s">
        <v>549</v>
      </c>
      <c r="D1358" s="220" t="s">
        <v>715</v>
      </c>
      <c r="E1358" s="201">
        <v>8</v>
      </c>
      <c r="F1358" s="201">
        <v>1</v>
      </c>
      <c r="G1358" s="203">
        <v>44677</v>
      </c>
      <c r="M1358" s="199"/>
      <c r="N1358" s="199"/>
      <c r="O1358" s="199"/>
      <c r="P1358" s="199"/>
      <c r="Q1358" s="199"/>
      <c r="R1358" s="199"/>
    </row>
    <row r="1359" spans="2:18">
      <c r="B1359" s="219" t="s">
        <v>1745</v>
      </c>
      <c r="C1359" s="220" t="s">
        <v>549</v>
      </c>
      <c r="D1359" s="220" t="s">
        <v>711</v>
      </c>
      <c r="E1359" s="201">
        <v>5.5</v>
      </c>
      <c r="F1359" s="201">
        <v>1</v>
      </c>
      <c r="G1359" s="203">
        <v>44488</v>
      </c>
      <c r="M1359" s="199"/>
      <c r="N1359" s="199"/>
      <c r="O1359" s="199"/>
      <c r="P1359" s="199"/>
      <c r="Q1359" s="199"/>
      <c r="R1359" s="199"/>
    </row>
    <row r="1360" spans="2:18">
      <c r="B1360" s="219" t="s">
        <v>1751</v>
      </c>
      <c r="C1360" s="220" t="s">
        <v>549</v>
      </c>
      <c r="D1360" s="220" t="s">
        <v>585</v>
      </c>
      <c r="E1360" s="201">
        <v>10</v>
      </c>
      <c r="F1360" s="201">
        <v>1</v>
      </c>
      <c r="G1360" s="203">
        <v>44858</v>
      </c>
      <c r="M1360" s="199"/>
      <c r="N1360" s="199"/>
      <c r="O1360" s="199"/>
      <c r="P1360" s="199"/>
      <c r="Q1360" s="199"/>
      <c r="R1360" s="199"/>
    </row>
    <row r="1361" spans="2:18">
      <c r="B1361" s="199" t="s">
        <v>1405</v>
      </c>
      <c r="C1361" s="200" t="s">
        <v>549</v>
      </c>
      <c r="D1361" s="200" t="s">
        <v>680</v>
      </c>
      <c r="E1361" s="201">
        <v>3</v>
      </c>
      <c r="F1361" s="201">
        <v>0.75</v>
      </c>
      <c r="G1361" s="203">
        <v>44011</v>
      </c>
      <c r="M1361" s="199"/>
      <c r="N1361" s="199"/>
      <c r="O1361" s="199"/>
      <c r="P1361" s="199"/>
      <c r="Q1361" s="199"/>
      <c r="R1361" s="199"/>
    </row>
    <row r="1362" spans="2:18">
      <c r="B1362" s="199" t="s">
        <v>1406</v>
      </c>
      <c r="C1362" s="200" t="s">
        <v>549</v>
      </c>
      <c r="D1362" s="200" t="s">
        <v>680</v>
      </c>
      <c r="E1362" s="201">
        <v>3</v>
      </c>
      <c r="F1362" s="201">
        <v>0.75</v>
      </c>
      <c r="G1362" s="203">
        <v>44011</v>
      </c>
      <c r="M1362" s="199"/>
      <c r="N1362" s="199"/>
      <c r="O1362" s="199"/>
      <c r="P1362" s="199"/>
      <c r="Q1362" s="199"/>
      <c r="R1362" s="199"/>
    </row>
    <row r="1363" spans="2:18">
      <c r="B1363" s="219" t="s">
        <v>1763</v>
      </c>
      <c r="C1363" s="220" t="s">
        <v>549</v>
      </c>
      <c r="D1363" s="220" t="s">
        <v>580</v>
      </c>
      <c r="E1363" s="201">
        <v>4</v>
      </c>
      <c r="F1363" s="201">
        <f>2/3</f>
        <v>0.66666666666666663</v>
      </c>
      <c r="G1363" s="203">
        <v>45026</v>
      </c>
      <c r="M1363" s="199"/>
      <c r="N1363" s="199"/>
      <c r="O1363" s="199"/>
      <c r="P1363" s="199"/>
      <c r="Q1363" s="199"/>
      <c r="R1363" s="199"/>
    </row>
    <row r="1364" spans="2:18">
      <c r="B1364" s="219" t="s">
        <v>1764</v>
      </c>
      <c r="C1364" s="220" t="s">
        <v>549</v>
      </c>
      <c r="D1364" s="220" t="s">
        <v>580</v>
      </c>
      <c r="E1364" s="201">
        <v>4</v>
      </c>
      <c r="F1364" s="201">
        <f>2/3</f>
        <v>0.66666666666666663</v>
      </c>
      <c r="G1364" s="203">
        <v>45026</v>
      </c>
      <c r="M1364" s="199"/>
      <c r="N1364" s="199"/>
      <c r="O1364" s="199"/>
      <c r="P1364" s="199"/>
      <c r="Q1364" s="199"/>
      <c r="R1364" s="199"/>
    </row>
    <row r="1365" spans="2:18">
      <c r="B1365" s="219" t="s">
        <v>1765</v>
      </c>
      <c r="C1365" s="220" t="s">
        <v>549</v>
      </c>
      <c r="D1365" s="220" t="s">
        <v>580</v>
      </c>
      <c r="E1365" s="201">
        <v>4</v>
      </c>
      <c r="F1365" s="201">
        <f>2/3</f>
        <v>0.66666666666666663</v>
      </c>
      <c r="G1365" s="203">
        <v>45026</v>
      </c>
      <c r="M1365" s="199"/>
      <c r="N1365" s="199"/>
      <c r="O1365" s="199"/>
      <c r="P1365" s="199"/>
      <c r="Q1365" s="199"/>
      <c r="R1365" s="199"/>
    </row>
    <row r="1366" spans="2:18">
      <c r="B1366" s="199" t="s">
        <v>828</v>
      </c>
      <c r="C1366" s="200" t="s">
        <v>669</v>
      </c>
      <c r="D1366" s="200" t="s">
        <v>420</v>
      </c>
      <c r="E1366" s="201">
        <v>1</v>
      </c>
      <c r="F1366" s="201">
        <v>0.5</v>
      </c>
      <c r="G1366" s="203">
        <v>44287</v>
      </c>
      <c r="M1366" s="199"/>
      <c r="N1366" s="199"/>
      <c r="O1366" s="199"/>
      <c r="P1366" s="199"/>
      <c r="Q1366" s="199"/>
      <c r="R1366" s="199"/>
    </row>
    <row r="1367" spans="2:18">
      <c r="B1367" s="199" t="s">
        <v>1516</v>
      </c>
      <c r="C1367" s="200" t="s">
        <v>549</v>
      </c>
      <c r="D1367" s="200" t="s">
        <v>692</v>
      </c>
      <c r="E1367" s="201">
        <v>4.5</v>
      </c>
      <c r="F1367" s="201">
        <v>0.5</v>
      </c>
      <c r="G1367" s="203">
        <v>44415</v>
      </c>
      <c r="M1367" s="199"/>
      <c r="N1367" s="199"/>
      <c r="O1367" s="199"/>
      <c r="P1367" s="199"/>
      <c r="Q1367" s="199"/>
      <c r="R1367" s="199"/>
    </row>
    <row r="1368" spans="2:18">
      <c r="B1368" s="199" t="s">
        <v>1488</v>
      </c>
      <c r="C1368" s="200" t="s">
        <v>549</v>
      </c>
      <c r="D1368" s="200" t="s">
        <v>688</v>
      </c>
      <c r="E1368" s="201">
        <v>2.1</v>
      </c>
      <c r="F1368" s="201">
        <v>0.5</v>
      </c>
      <c r="G1368" s="203">
        <v>44455</v>
      </c>
      <c r="M1368" s="199"/>
      <c r="N1368" s="199"/>
      <c r="O1368" s="199"/>
      <c r="P1368" s="199"/>
      <c r="Q1368" s="199"/>
      <c r="R1368" s="199"/>
    </row>
    <row r="1369" spans="2:18">
      <c r="B1369" s="199" t="s">
        <v>1352</v>
      </c>
      <c r="C1369" s="200" t="s">
        <v>549</v>
      </c>
      <c r="D1369" s="200" t="s">
        <v>674</v>
      </c>
      <c r="E1369" s="201">
        <v>4</v>
      </c>
      <c r="F1369" s="201">
        <v>0.5</v>
      </c>
      <c r="G1369" s="203">
        <v>44340</v>
      </c>
      <c r="M1369" s="199"/>
      <c r="N1369" s="199"/>
      <c r="O1369" s="199"/>
      <c r="P1369" s="199"/>
      <c r="Q1369" s="199"/>
      <c r="R1369" s="199"/>
    </row>
    <row r="1370" spans="2:18">
      <c r="B1370" s="199" t="s">
        <v>1354</v>
      </c>
      <c r="C1370" s="200" t="s">
        <v>549</v>
      </c>
      <c r="D1370" s="200" t="s">
        <v>674</v>
      </c>
      <c r="E1370" s="201">
        <v>1.5</v>
      </c>
      <c r="F1370" s="201">
        <v>0.5</v>
      </c>
      <c r="G1370" s="203">
        <v>43979</v>
      </c>
      <c r="M1370" s="199"/>
      <c r="N1370" s="199"/>
      <c r="O1370" s="199"/>
      <c r="P1370" s="199"/>
      <c r="Q1370" s="199"/>
      <c r="R1370" s="199"/>
    </row>
    <row r="1371" spans="2:18">
      <c r="B1371" s="210" t="s">
        <v>1618</v>
      </c>
      <c r="C1371" s="211" t="s">
        <v>549</v>
      </c>
      <c r="D1371" s="211" t="s">
        <v>699</v>
      </c>
      <c r="E1371" s="201">
        <v>4.5</v>
      </c>
      <c r="F1371" s="201">
        <v>0.5</v>
      </c>
      <c r="G1371" s="203">
        <v>44362</v>
      </c>
      <c r="M1371" s="199"/>
      <c r="N1371" s="199"/>
      <c r="O1371" s="199"/>
      <c r="P1371" s="199"/>
      <c r="Q1371" s="199"/>
      <c r="R1371" s="199"/>
    </row>
    <row r="1372" spans="2:18">
      <c r="B1372" s="210" t="s">
        <v>1627</v>
      </c>
      <c r="C1372" s="211" t="s">
        <v>549</v>
      </c>
      <c r="D1372" s="211" t="s">
        <v>700</v>
      </c>
      <c r="E1372" s="201">
        <v>3</v>
      </c>
      <c r="F1372" s="201">
        <v>0.5</v>
      </c>
      <c r="G1372" s="203">
        <v>43993</v>
      </c>
      <c r="M1372" s="199"/>
      <c r="N1372" s="199"/>
      <c r="O1372" s="199"/>
      <c r="P1372" s="199"/>
      <c r="Q1372" s="199"/>
      <c r="R1372" s="199"/>
    </row>
    <row r="1373" spans="2:18">
      <c r="B1373" s="210" t="s">
        <v>1628</v>
      </c>
      <c r="C1373" s="211" t="s">
        <v>549</v>
      </c>
      <c r="D1373" s="211" t="s">
        <v>700</v>
      </c>
      <c r="E1373" s="201">
        <v>3</v>
      </c>
      <c r="F1373" s="201">
        <v>0.5</v>
      </c>
      <c r="G1373" s="203">
        <v>43993</v>
      </c>
      <c r="M1373" s="199"/>
      <c r="N1373" s="199"/>
      <c r="O1373" s="199"/>
      <c r="P1373" s="199"/>
      <c r="Q1373" s="199"/>
      <c r="R1373" s="199"/>
    </row>
    <row r="1374" spans="2:18">
      <c r="B1374" s="210" t="s">
        <v>1629</v>
      </c>
      <c r="C1374" s="211" t="s">
        <v>549</v>
      </c>
      <c r="D1374" s="211" t="s">
        <v>700</v>
      </c>
      <c r="E1374" s="201">
        <v>3</v>
      </c>
      <c r="F1374" s="201">
        <v>0.5</v>
      </c>
      <c r="G1374" s="203">
        <v>43993</v>
      </c>
      <c r="M1374" s="199"/>
      <c r="N1374" s="199"/>
      <c r="O1374" s="199"/>
      <c r="P1374" s="199"/>
      <c r="Q1374" s="199"/>
      <c r="R1374" s="199"/>
    </row>
    <row r="1375" spans="2:18">
      <c r="B1375" s="221" t="s">
        <v>1843</v>
      </c>
      <c r="C1375" s="222" t="s">
        <v>549</v>
      </c>
      <c r="D1375" s="222" t="s">
        <v>1840</v>
      </c>
      <c r="E1375" s="201">
        <v>2.2000000000000002</v>
      </c>
      <c r="F1375" s="201">
        <v>0.5</v>
      </c>
      <c r="G1375" s="203">
        <v>44959</v>
      </c>
      <c r="M1375" s="199"/>
      <c r="N1375" s="199"/>
      <c r="O1375" s="199"/>
      <c r="P1375" s="199"/>
      <c r="Q1375" s="199"/>
      <c r="R1375" s="199"/>
    </row>
    <row r="1376" spans="2:18">
      <c r="B1376" s="221" t="s">
        <v>1844</v>
      </c>
      <c r="C1376" s="222" t="s">
        <v>549</v>
      </c>
      <c r="D1376" s="222" t="s">
        <v>1840</v>
      </c>
      <c r="E1376" s="201">
        <v>2.2000000000000002</v>
      </c>
      <c r="F1376" s="201">
        <v>0.5</v>
      </c>
      <c r="G1376" s="203">
        <v>44959</v>
      </c>
      <c r="M1376" s="199"/>
      <c r="N1376" s="199"/>
      <c r="O1376" s="199"/>
      <c r="P1376" s="199"/>
      <c r="Q1376" s="199"/>
      <c r="R1376" s="199"/>
    </row>
    <row r="1377" spans="2:18">
      <c r="B1377" s="221" t="s">
        <v>1849</v>
      </c>
      <c r="C1377" s="222" t="s">
        <v>549</v>
      </c>
      <c r="D1377" s="222" t="s">
        <v>719</v>
      </c>
      <c r="E1377" s="201">
        <v>2.9</v>
      </c>
      <c r="F1377" s="201">
        <v>0.5</v>
      </c>
      <c r="G1377" s="203">
        <v>44272</v>
      </c>
      <c r="M1377" s="199"/>
      <c r="N1377" s="199"/>
      <c r="O1377" s="199"/>
      <c r="P1377" s="199"/>
      <c r="Q1377" s="199"/>
      <c r="R1377" s="199"/>
    </row>
    <row r="1378" spans="2:18">
      <c r="B1378" s="221" t="s">
        <v>1859</v>
      </c>
      <c r="C1378" s="222" t="s">
        <v>549</v>
      </c>
      <c r="D1378" s="222" t="s">
        <v>1857</v>
      </c>
      <c r="E1378" s="201">
        <v>1.5</v>
      </c>
      <c r="F1378" s="201">
        <v>0.5</v>
      </c>
      <c r="G1378" s="203">
        <v>44098</v>
      </c>
      <c r="M1378" s="199"/>
      <c r="N1378" s="199"/>
      <c r="O1378" s="199"/>
      <c r="P1378" s="199"/>
      <c r="Q1378" s="199"/>
      <c r="R1378" s="199"/>
    </row>
    <row r="1379" spans="2:18">
      <c r="B1379" s="237" t="s">
        <v>2745</v>
      </c>
      <c r="C1379" s="238" t="s">
        <v>549</v>
      </c>
      <c r="D1379" s="238" t="s">
        <v>1991</v>
      </c>
      <c r="E1379" s="201">
        <v>3.1</v>
      </c>
      <c r="F1379" s="201">
        <v>0.5</v>
      </c>
      <c r="G1379" s="203">
        <v>43580</v>
      </c>
      <c r="M1379" s="199"/>
      <c r="N1379" s="199"/>
      <c r="O1379" s="199"/>
      <c r="P1379" s="199"/>
      <c r="Q1379" s="199"/>
      <c r="R1379" s="199"/>
    </row>
    <row r="1380" spans="2:18">
      <c r="B1380" s="237" t="s">
        <v>2746</v>
      </c>
      <c r="C1380" s="238" t="s">
        <v>549</v>
      </c>
      <c r="D1380" s="238" t="s">
        <v>1991</v>
      </c>
      <c r="E1380" s="201">
        <v>3.1</v>
      </c>
      <c r="F1380" s="201">
        <v>0.5</v>
      </c>
      <c r="G1380" s="203">
        <v>43580</v>
      </c>
      <c r="M1380" s="199"/>
      <c r="N1380" s="199"/>
      <c r="O1380" s="199"/>
      <c r="P1380" s="199"/>
      <c r="Q1380" s="199"/>
      <c r="R1380" s="199"/>
    </row>
    <row r="1381" spans="2:18">
      <c r="B1381" s="199" t="s">
        <v>1224</v>
      </c>
      <c r="C1381" s="200" t="s">
        <v>549</v>
      </c>
      <c r="D1381" s="200" t="s">
        <v>551</v>
      </c>
      <c r="E1381" s="201">
        <v>2.6</v>
      </c>
      <c r="F1381" s="201">
        <f>1.6/4</f>
        <v>0.4</v>
      </c>
      <c r="G1381" s="203">
        <v>44147</v>
      </c>
      <c r="M1381" s="199"/>
      <c r="N1381" s="199"/>
      <c r="O1381" s="199"/>
      <c r="P1381" s="199"/>
      <c r="Q1381" s="199"/>
      <c r="R1381" s="199"/>
    </row>
    <row r="1382" spans="2:18">
      <c r="B1382" s="199" t="s">
        <v>1225</v>
      </c>
      <c r="C1382" s="200" t="s">
        <v>549</v>
      </c>
      <c r="D1382" s="200" t="s">
        <v>551</v>
      </c>
      <c r="E1382" s="201">
        <v>2.6</v>
      </c>
      <c r="F1382" s="201">
        <f>1.6/4</f>
        <v>0.4</v>
      </c>
      <c r="G1382" s="203">
        <v>44147</v>
      </c>
      <c r="M1382" s="199"/>
      <c r="N1382" s="199"/>
      <c r="O1382" s="199"/>
      <c r="P1382" s="199"/>
      <c r="Q1382" s="199"/>
      <c r="R1382" s="199"/>
    </row>
    <row r="1383" spans="2:18">
      <c r="B1383" s="199" t="s">
        <v>1226</v>
      </c>
      <c r="C1383" s="200" t="s">
        <v>549</v>
      </c>
      <c r="D1383" s="200" t="s">
        <v>551</v>
      </c>
      <c r="E1383" s="201">
        <v>2.6</v>
      </c>
      <c r="F1383" s="201">
        <f>1.6/4</f>
        <v>0.4</v>
      </c>
      <c r="G1383" s="203">
        <v>44147</v>
      </c>
      <c r="M1383" s="199"/>
      <c r="N1383" s="199"/>
      <c r="O1383" s="199"/>
      <c r="P1383" s="199"/>
      <c r="Q1383" s="199"/>
      <c r="R1383" s="199"/>
    </row>
    <row r="1384" spans="2:18">
      <c r="B1384" s="199" t="s">
        <v>1419</v>
      </c>
      <c r="C1384" s="200" t="s">
        <v>549</v>
      </c>
      <c r="D1384" s="200" t="s">
        <v>573</v>
      </c>
      <c r="E1384" s="201">
        <v>2.5</v>
      </c>
      <c r="F1384" s="201">
        <f>2/6</f>
        <v>0.33333333333333331</v>
      </c>
      <c r="G1384" s="203">
        <v>44469</v>
      </c>
      <c r="M1384" s="199"/>
      <c r="N1384" s="199"/>
      <c r="O1384" s="199"/>
      <c r="P1384" s="199"/>
      <c r="Q1384" s="199"/>
      <c r="R1384" s="199"/>
    </row>
    <row r="1385" spans="2:18">
      <c r="B1385" s="199" t="s">
        <v>1420</v>
      </c>
      <c r="C1385" s="200" t="s">
        <v>549</v>
      </c>
      <c r="D1385" s="200" t="s">
        <v>573</v>
      </c>
      <c r="E1385" s="201">
        <v>2.5</v>
      </c>
      <c r="F1385" s="201">
        <f>2/6</f>
        <v>0.33333333333333331</v>
      </c>
      <c r="G1385" s="203">
        <v>44469</v>
      </c>
      <c r="M1385" s="199"/>
      <c r="N1385" s="199"/>
      <c r="O1385" s="199"/>
      <c r="P1385" s="199"/>
      <c r="Q1385" s="199"/>
      <c r="R1385" s="199"/>
    </row>
    <row r="1386" spans="2:18">
      <c r="B1386" s="199" t="s">
        <v>1421</v>
      </c>
      <c r="C1386" s="200" t="s">
        <v>549</v>
      </c>
      <c r="D1386" s="200" t="s">
        <v>573</v>
      </c>
      <c r="E1386" s="201">
        <v>2.5</v>
      </c>
      <c r="F1386" s="201">
        <f>2/6</f>
        <v>0.33333333333333331</v>
      </c>
      <c r="G1386" s="203">
        <v>44469</v>
      </c>
      <c r="M1386" s="199"/>
      <c r="N1386" s="199"/>
      <c r="O1386" s="199"/>
      <c r="P1386" s="199"/>
      <c r="Q1386" s="199"/>
      <c r="R1386" s="199"/>
    </row>
    <row r="1387" spans="2:18">
      <c r="B1387" s="199" t="s">
        <v>1422</v>
      </c>
      <c r="C1387" s="200" t="s">
        <v>549</v>
      </c>
      <c r="D1387" s="200" t="s">
        <v>573</v>
      </c>
      <c r="E1387" s="201">
        <v>2.5</v>
      </c>
      <c r="F1387" s="201">
        <f>2/6</f>
        <v>0.33333333333333331</v>
      </c>
      <c r="G1387" s="203">
        <v>44469</v>
      </c>
      <c r="M1387" s="199"/>
      <c r="N1387" s="199"/>
      <c r="O1387" s="199"/>
      <c r="P1387" s="199"/>
      <c r="Q1387" s="199"/>
      <c r="R1387" s="199"/>
    </row>
    <row r="1388" spans="2:18">
      <c r="B1388" s="199" t="s">
        <v>1423</v>
      </c>
      <c r="C1388" s="200" t="s">
        <v>549</v>
      </c>
      <c r="D1388" s="200" t="s">
        <v>573</v>
      </c>
      <c r="E1388" s="201">
        <v>2.5</v>
      </c>
      <c r="F1388" s="201">
        <f>2/6</f>
        <v>0.33333333333333331</v>
      </c>
      <c r="G1388" s="203">
        <v>44469</v>
      </c>
      <c r="I1388" s="212"/>
      <c r="M1388" s="199"/>
      <c r="N1388" s="199"/>
      <c r="O1388" s="199"/>
      <c r="P1388" s="199"/>
      <c r="Q1388" s="199"/>
      <c r="R1388" s="199"/>
    </row>
    <row r="1389" spans="2:18">
      <c r="B1389" s="221"/>
      <c r="C1389" s="222"/>
      <c r="D1389" s="222"/>
      <c r="G1389" s="203"/>
      <c r="M1389" s="199"/>
      <c r="N1389" s="199"/>
      <c r="O1389" s="199"/>
      <c r="P1389" s="199"/>
      <c r="Q1389" s="199"/>
      <c r="R1389" s="199"/>
    </row>
    <row r="1390" spans="2:18">
      <c r="B1390" s="199" t="s">
        <v>1335</v>
      </c>
      <c r="C1390" s="200" t="s">
        <v>402</v>
      </c>
      <c r="D1390" s="200" t="s">
        <v>673</v>
      </c>
      <c r="E1390" s="201">
        <v>25</v>
      </c>
      <c r="F1390" s="201">
        <f>15/5</f>
        <v>3</v>
      </c>
      <c r="G1390" s="203">
        <v>44755</v>
      </c>
    </row>
    <row r="1391" spans="2:18">
      <c r="C1391" s="200" t="s">
        <v>544</v>
      </c>
      <c r="D1391" s="200" t="s">
        <v>673</v>
      </c>
      <c r="E1391" s="201">
        <v>21</v>
      </c>
      <c r="F1391" s="201">
        <f>14/5</f>
        <v>2.8</v>
      </c>
      <c r="G1391" s="203">
        <v>44489</v>
      </c>
    </row>
    <row r="1392" spans="2:18">
      <c r="C1392" s="200" t="s">
        <v>549</v>
      </c>
      <c r="D1392" s="200" t="s">
        <v>673</v>
      </c>
      <c r="E1392" s="201">
        <v>9.1</v>
      </c>
      <c r="F1392" s="201">
        <v>4</v>
      </c>
      <c r="G1392" s="203">
        <v>44131</v>
      </c>
    </row>
    <row r="1393" spans="2:7">
      <c r="G1393" s="203"/>
    </row>
    <row r="1394" spans="2:7">
      <c r="B1394" s="199" t="s">
        <v>1336</v>
      </c>
      <c r="C1394" s="200" t="s">
        <v>402</v>
      </c>
      <c r="D1394" s="200" t="s">
        <v>673</v>
      </c>
      <c r="E1394" s="201">
        <v>25</v>
      </c>
      <c r="F1394" s="201">
        <f>15/5</f>
        <v>3</v>
      </c>
      <c r="G1394" s="203">
        <v>44755</v>
      </c>
    </row>
    <row r="1395" spans="2:7">
      <c r="C1395" s="200" t="s">
        <v>544</v>
      </c>
      <c r="D1395" s="200" t="s">
        <v>673</v>
      </c>
      <c r="E1395" s="201">
        <v>21</v>
      </c>
      <c r="F1395" s="201">
        <f>14/5</f>
        <v>2.8</v>
      </c>
      <c r="G1395" s="203">
        <v>44489</v>
      </c>
    </row>
    <row r="1396" spans="2:7">
      <c r="C1396" s="200" t="s">
        <v>549</v>
      </c>
      <c r="D1396" s="200" t="s">
        <v>673</v>
      </c>
      <c r="E1396" s="201">
        <v>9.1</v>
      </c>
      <c r="F1396" s="201">
        <v>4</v>
      </c>
      <c r="G1396" s="203">
        <v>44131</v>
      </c>
    </row>
    <row r="1397" spans="2:7">
      <c r="G1397" s="203"/>
    </row>
    <row r="1398" spans="2:7">
      <c r="B1398" s="199" t="s">
        <v>1338</v>
      </c>
      <c r="C1398" s="200" t="s">
        <v>402</v>
      </c>
      <c r="D1398" s="200" t="s">
        <v>673</v>
      </c>
      <c r="E1398" s="201">
        <v>25</v>
      </c>
      <c r="F1398" s="201">
        <f>15/5</f>
        <v>3</v>
      </c>
      <c r="G1398" s="203">
        <v>44755</v>
      </c>
    </row>
    <row r="1399" spans="2:7">
      <c r="C1399" s="200" t="s">
        <v>544</v>
      </c>
      <c r="D1399" s="200" t="s">
        <v>673</v>
      </c>
      <c r="E1399" s="201">
        <v>21</v>
      </c>
      <c r="F1399" s="201">
        <f>14/5</f>
        <v>2.8</v>
      </c>
      <c r="G1399" s="203">
        <v>44489</v>
      </c>
    </row>
    <row r="1400" spans="2:7">
      <c r="G1400" s="203"/>
    </row>
    <row r="1401" spans="2:7">
      <c r="B1401" s="199" t="s">
        <v>1339</v>
      </c>
      <c r="C1401" s="200" t="s">
        <v>402</v>
      </c>
      <c r="D1401" s="200" t="s">
        <v>673</v>
      </c>
      <c r="E1401" s="201">
        <v>25</v>
      </c>
      <c r="F1401" s="201">
        <f>15/5</f>
        <v>3</v>
      </c>
      <c r="G1401" s="203">
        <v>44755</v>
      </c>
    </row>
    <row r="1402" spans="2:7">
      <c r="C1402" s="228" t="s">
        <v>755</v>
      </c>
      <c r="D1402" s="228" t="s">
        <v>1257</v>
      </c>
      <c r="E1402" s="201">
        <v>90</v>
      </c>
      <c r="F1402" s="201">
        <v>5</v>
      </c>
      <c r="G1402" s="203">
        <v>44776</v>
      </c>
    </row>
    <row r="1403" spans="2:7">
      <c r="C1403" s="228" t="s">
        <v>565</v>
      </c>
      <c r="D1403" s="228" t="s">
        <v>1257</v>
      </c>
      <c r="E1403" s="201">
        <v>40</v>
      </c>
      <c r="F1403" s="201">
        <v>10</v>
      </c>
      <c r="G1403" s="203">
        <v>44176</v>
      </c>
    </row>
    <row r="1404" spans="2:7">
      <c r="C1404" s="228" t="s">
        <v>565</v>
      </c>
      <c r="D1404" s="228" t="s">
        <v>1530</v>
      </c>
      <c r="E1404" s="201">
        <v>23</v>
      </c>
      <c r="F1404" s="201">
        <v>3</v>
      </c>
      <c r="G1404" s="203">
        <v>44328</v>
      </c>
    </row>
    <row r="1405" spans="2:7">
      <c r="C1405" s="228" t="s">
        <v>402</v>
      </c>
      <c r="D1405" s="228" t="s">
        <v>1530</v>
      </c>
      <c r="E1405" s="201">
        <v>16</v>
      </c>
      <c r="F1405" s="201">
        <v>8</v>
      </c>
      <c r="G1405" s="203">
        <v>42995</v>
      </c>
    </row>
    <row r="1406" spans="2:7">
      <c r="G1406" s="203"/>
    </row>
    <row r="1407" spans="2:7">
      <c r="B1407" s="199" t="s">
        <v>1344</v>
      </c>
      <c r="C1407" s="200" t="s">
        <v>544</v>
      </c>
      <c r="D1407" s="200" t="s">
        <v>674</v>
      </c>
      <c r="E1407" s="201">
        <v>25</v>
      </c>
      <c r="F1407" s="201">
        <v>7</v>
      </c>
      <c r="G1407" s="203">
        <v>44757</v>
      </c>
    </row>
    <row r="1408" spans="2:7">
      <c r="C1408" s="200" t="s">
        <v>549</v>
      </c>
      <c r="D1408" s="200" t="s">
        <v>674</v>
      </c>
      <c r="E1408" s="201">
        <v>4</v>
      </c>
      <c r="F1408" s="201">
        <v>0.5</v>
      </c>
      <c r="G1408" s="203">
        <v>44340</v>
      </c>
    </row>
    <row r="1409" spans="2:7">
      <c r="G1409" s="203"/>
    </row>
    <row r="1410" spans="2:7">
      <c r="B1410" s="199" t="s">
        <v>1346</v>
      </c>
      <c r="C1410" s="200" t="s">
        <v>544</v>
      </c>
      <c r="D1410" s="200" t="s">
        <v>674</v>
      </c>
      <c r="E1410" s="201">
        <v>25</v>
      </c>
      <c r="F1410" s="201">
        <f>18/7</f>
        <v>2.5714285714285716</v>
      </c>
      <c r="G1410" s="203">
        <v>44757</v>
      </c>
    </row>
    <row r="1411" spans="2:7">
      <c r="C1411" s="200" t="s">
        <v>549</v>
      </c>
      <c r="D1411" s="200" t="s">
        <v>674</v>
      </c>
      <c r="E1411" s="201">
        <v>4</v>
      </c>
      <c r="F1411" s="201">
        <v>0.5</v>
      </c>
      <c r="G1411" s="203">
        <v>44340</v>
      </c>
    </row>
    <row r="1413" spans="2:7">
      <c r="B1413" s="199" t="s">
        <v>1348</v>
      </c>
      <c r="C1413" s="200" t="s">
        <v>544</v>
      </c>
      <c r="D1413" s="200" t="s">
        <v>674</v>
      </c>
      <c r="E1413" s="201">
        <v>25</v>
      </c>
      <c r="F1413" s="201">
        <f t="shared" ref="F1413:F1416" si="8">18/7</f>
        <v>2.5714285714285716</v>
      </c>
      <c r="G1413" s="203">
        <v>44757</v>
      </c>
    </row>
    <row r="1414" spans="2:7">
      <c r="C1414" s="200" t="s">
        <v>549</v>
      </c>
      <c r="D1414" s="200" t="s">
        <v>674</v>
      </c>
      <c r="E1414" s="201">
        <v>4</v>
      </c>
      <c r="F1414" s="201">
        <v>0.5</v>
      </c>
      <c r="G1414" s="203">
        <v>44340</v>
      </c>
    </row>
    <row r="1415" spans="2:7">
      <c r="G1415" s="203"/>
    </row>
    <row r="1416" spans="2:7">
      <c r="B1416" s="199" t="s">
        <v>1349</v>
      </c>
      <c r="C1416" s="200" t="s">
        <v>544</v>
      </c>
      <c r="D1416" s="200" t="s">
        <v>674</v>
      </c>
      <c r="E1416" s="201">
        <v>25</v>
      </c>
      <c r="F1416" s="201">
        <f t="shared" si="8"/>
        <v>2.5714285714285716</v>
      </c>
      <c r="G1416" s="203">
        <v>44757</v>
      </c>
    </row>
    <row r="1417" spans="2:7">
      <c r="C1417" s="200" t="s">
        <v>549</v>
      </c>
      <c r="D1417" s="200" t="s">
        <v>674</v>
      </c>
      <c r="E1417" s="201">
        <v>4</v>
      </c>
      <c r="F1417" s="201">
        <v>1</v>
      </c>
      <c r="G1417" s="203">
        <v>44340</v>
      </c>
    </row>
    <row r="1418" spans="2:7">
      <c r="C1418" s="200" t="s">
        <v>549</v>
      </c>
      <c r="D1418" s="200" t="s">
        <v>674</v>
      </c>
      <c r="E1418" s="201">
        <v>1.5</v>
      </c>
      <c r="F1418" s="201">
        <v>0.75</v>
      </c>
      <c r="G1418" s="203">
        <v>43979</v>
      </c>
    </row>
    <row r="1419" spans="2:7">
      <c r="G1419" s="203"/>
    </row>
    <row r="1420" spans="2:7">
      <c r="B1420" s="199" t="s">
        <v>1364</v>
      </c>
      <c r="C1420" s="200" t="s">
        <v>544</v>
      </c>
      <c r="D1420" s="200" t="s">
        <v>679</v>
      </c>
      <c r="E1420" s="201">
        <v>20</v>
      </c>
      <c r="F1420" s="201">
        <f>13/6</f>
        <v>2.1666666666666665</v>
      </c>
      <c r="G1420" s="203">
        <v>44676</v>
      </c>
    </row>
    <row r="1421" spans="2:7">
      <c r="C1421" s="200" t="s">
        <v>549</v>
      </c>
      <c r="D1421" s="200" t="s">
        <v>679</v>
      </c>
      <c r="E1421" s="201">
        <v>5</v>
      </c>
      <c r="F1421" s="201">
        <v>1.5</v>
      </c>
      <c r="G1421" s="203">
        <v>44060</v>
      </c>
    </row>
    <row r="1422" spans="2:7">
      <c r="G1422" s="203"/>
    </row>
    <row r="1423" spans="2:7">
      <c r="B1423" s="199" t="s">
        <v>1365</v>
      </c>
      <c r="C1423" s="200" t="s">
        <v>544</v>
      </c>
      <c r="D1423" s="200" t="s">
        <v>679</v>
      </c>
      <c r="E1423" s="201">
        <v>20</v>
      </c>
      <c r="F1423" s="201">
        <f t="shared" ref="F1423:F1429" si="9">13/6</f>
        <v>2.1666666666666665</v>
      </c>
      <c r="G1423" s="203">
        <v>44676</v>
      </c>
    </row>
    <row r="1424" spans="2:7">
      <c r="C1424" s="200" t="s">
        <v>549</v>
      </c>
      <c r="D1424" s="200" t="s">
        <v>679</v>
      </c>
      <c r="E1424" s="201">
        <v>5</v>
      </c>
      <c r="F1424" s="201">
        <v>1.5</v>
      </c>
      <c r="G1424" s="203">
        <v>44060</v>
      </c>
    </row>
    <row r="1425" spans="2:7">
      <c r="G1425" s="203"/>
    </row>
    <row r="1426" spans="2:7">
      <c r="B1426" s="199" t="s">
        <v>1366</v>
      </c>
      <c r="C1426" s="200" t="s">
        <v>544</v>
      </c>
      <c r="D1426" s="200" t="s">
        <v>679</v>
      </c>
      <c r="E1426" s="201">
        <v>20</v>
      </c>
      <c r="F1426" s="201">
        <f t="shared" si="9"/>
        <v>2.1666666666666665</v>
      </c>
      <c r="G1426" s="203">
        <v>44676</v>
      </c>
    </row>
    <row r="1427" spans="2:7">
      <c r="C1427" s="200" t="s">
        <v>549</v>
      </c>
      <c r="D1427" s="200" t="s">
        <v>679</v>
      </c>
      <c r="E1427" s="201">
        <v>5</v>
      </c>
      <c r="F1427" s="201">
        <v>1.5</v>
      </c>
      <c r="G1427" s="203">
        <v>44060</v>
      </c>
    </row>
    <row r="1429" spans="2:7">
      <c r="B1429" s="199" t="s">
        <v>1369</v>
      </c>
      <c r="C1429" s="200" t="s">
        <v>544</v>
      </c>
      <c r="D1429" s="200" t="s">
        <v>679</v>
      </c>
      <c r="E1429" s="201">
        <v>20</v>
      </c>
      <c r="F1429" s="201">
        <f t="shared" si="9"/>
        <v>2.1666666666666665</v>
      </c>
      <c r="G1429" s="203">
        <v>44676</v>
      </c>
    </row>
    <row r="1430" spans="2:7">
      <c r="C1430" s="200" t="s">
        <v>549</v>
      </c>
      <c r="D1430" s="200" t="s">
        <v>679</v>
      </c>
      <c r="E1430" s="201">
        <v>5</v>
      </c>
      <c r="F1430" s="201">
        <v>0.5</v>
      </c>
      <c r="G1430" s="203">
        <v>44060</v>
      </c>
    </row>
    <row r="1431" spans="2:7">
      <c r="G1431" s="203"/>
    </row>
    <row r="1432" spans="2:7">
      <c r="B1432" s="199" t="s">
        <v>1380</v>
      </c>
      <c r="C1432" s="200" t="s">
        <v>544</v>
      </c>
      <c r="D1432" s="200" t="s">
        <v>680</v>
      </c>
      <c r="E1432" s="201">
        <v>20</v>
      </c>
      <c r="F1432" s="201">
        <f>13/6</f>
        <v>2.1666666666666665</v>
      </c>
      <c r="G1432" s="203">
        <v>44903</v>
      </c>
    </row>
    <row r="1433" spans="2:7">
      <c r="C1433" s="200" t="s">
        <v>544</v>
      </c>
      <c r="D1433" s="200" t="s">
        <v>680</v>
      </c>
      <c r="E1433" s="201">
        <v>11</v>
      </c>
      <c r="F1433" s="201">
        <v>3</v>
      </c>
      <c r="G1433" s="203">
        <v>44313</v>
      </c>
    </row>
    <row r="1434" spans="2:7">
      <c r="C1434" s="220" t="s">
        <v>544</v>
      </c>
      <c r="D1434" s="220" t="s">
        <v>145</v>
      </c>
      <c r="E1434" s="201">
        <v>10</v>
      </c>
      <c r="F1434" s="201">
        <v>10</v>
      </c>
      <c r="G1434" s="203">
        <v>44854</v>
      </c>
    </row>
    <row r="1435" spans="2:7">
      <c r="G1435" s="203"/>
    </row>
    <row r="1436" spans="2:7">
      <c r="B1436" s="199" t="s">
        <v>1382</v>
      </c>
      <c r="C1436" s="200" t="s">
        <v>544</v>
      </c>
      <c r="D1436" s="200" t="s">
        <v>680</v>
      </c>
      <c r="E1436" s="201">
        <v>20</v>
      </c>
      <c r="F1436" s="201">
        <f>13/6</f>
        <v>2.1666666666666665</v>
      </c>
      <c r="G1436" s="203">
        <v>44903</v>
      </c>
    </row>
    <row r="1437" spans="2:7">
      <c r="C1437" s="200" t="s">
        <v>544</v>
      </c>
      <c r="D1437" s="200" t="s">
        <v>680</v>
      </c>
      <c r="E1437" s="201">
        <v>11</v>
      </c>
      <c r="F1437" s="201">
        <v>5</v>
      </c>
      <c r="G1437" s="203">
        <v>44313</v>
      </c>
    </row>
    <row r="1438" spans="2:7">
      <c r="G1438" s="203"/>
    </row>
    <row r="1439" spans="2:7">
      <c r="G1439" s="203"/>
    </row>
    <row r="1440" spans="2:7">
      <c r="B1440" s="199" t="s">
        <v>1486</v>
      </c>
      <c r="C1440" s="200" t="s">
        <v>544</v>
      </c>
      <c r="D1440" s="200" t="s">
        <v>688</v>
      </c>
      <c r="E1440" s="201">
        <v>20</v>
      </c>
      <c r="F1440" s="201">
        <v>7</v>
      </c>
      <c r="G1440" s="203">
        <v>44455</v>
      </c>
    </row>
    <row r="1441" spans="2:7">
      <c r="C1441" s="200" t="s">
        <v>549</v>
      </c>
      <c r="D1441" s="200" t="s">
        <v>688</v>
      </c>
      <c r="E1441" s="201">
        <v>2.1</v>
      </c>
      <c r="F1441" s="201">
        <v>1</v>
      </c>
      <c r="G1441" s="203">
        <v>44455</v>
      </c>
    </row>
    <row r="1442" spans="2:7">
      <c r="C1442" s="222" t="s">
        <v>544</v>
      </c>
      <c r="D1442" s="222" t="s">
        <v>719</v>
      </c>
      <c r="E1442" s="201">
        <v>11</v>
      </c>
      <c r="F1442" s="201">
        <f>7/3</f>
        <v>2.3333333333333335</v>
      </c>
      <c r="G1442" s="203">
        <v>44483</v>
      </c>
    </row>
    <row r="1443" spans="2:7">
      <c r="C1443" s="222" t="s">
        <v>549</v>
      </c>
      <c r="D1443" s="222" t="s">
        <v>719</v>
      </c>
      <c r="E1443" s="201">
        <v>2.9</v>
      </c>
      <c r="F1443" s="201">
        <v>1.9</v>
      </c>
      <c r="G1443" s="203">
        <v>44272</v>
      </c>
    </row>
    <row r="1444" spans="2:7">
      <c r="C1444" s="228" t="s">
        <v>549</v>
      </c>
      <c r="D1444" s="228" t="s">
        <v>2483</v>
      </c>
      <c r="E1444" s="201">
        <v>2</v>
      </c>
      <c r="F1444" s="201">
        <v>0.5</v>
      </c>
      <c r="G1444" s="203">
        <v>43876</v>
      </c>
    </row>
    <row r="1445" spans="2:7">
      <c r="G1445" s="203"/>
    </row>
    <row r="1446" spans="2:7">
      <c r="B1446" s="199" t="s">
        <v>1494</v>
      </c>
      <c r="C1446" s="200" t="s">
        <v>544</v>
      </c>
      <c r="D1446" s="200" t="s">
        <v>1479</v>
      </c>
      <c r="E1446" s="201">
        <v>12.5</v>
      </c>
      <c r="F1446" s="201">
        <v>2</v>
      </c>
      <c r="G1446" s="203">
        <v>44784</v>
      </c>
    </row>
    <row r="1447" spans="2:7">
      <c r="C1447" s="200" t="s">
        <v>544</v>
      </c>
      <c r="D1447" s="200" t="s">
        <v>1479</v>
      </c>
      <c r="E1447" s="201">
        <v>10</v>
      </c>
      <c r="F1447" s="201">
        <v>4</v>
      </c>
      <c r="G1447" s="203">
        <v>44110</v>
      </c>
    </row>
    <row r="1448" spans="2:7">
      <c r="C1448" s="211" t="s">
        <v>544</v>
      </c>
      <c r="D1448" s="211" t="s">
        <v>578</v>
      </c>
      <c r="E1448" s="201">
        <v>12.7</v>
      </c>
      <c r="F1448" s="201">
        <v>4.7</v>
      </c>
      <c r="G1448" s="203">
        <v>44952</v>
      </c>
    </row>
    <row r="1449" spans="2:7">
      <c r="G1449" s="203"/>
    </row>
    <row r="1450" spans="2:7">
      <c r="B1450" s="199" t="s">
        <v>1498</v>
      </c>
      <c r="C1450" s="200" t="s">
        <v>544</v>
      </c>
      <c r="D1450" s="200" t="s">
        <v>1479</v>
      </c>
      <c r="E1450" s="201">
        <v>10</v>
      </c>
      <c r="F1450" s="201">
        <v>2</v>
      </c>
      <c r="G1450" s="203">
        <v>44110</v>
      </c>
    </row>
    <row r="1451" spans="2:7">
      <c r="C1451" s="200" t="s">
        <v>549</v>
      </c>
      <c r="D1451" s="200" t="s">
        <v>1479</v>
      </c>
      <c r="E1451" s="201">
        <v>5</v>
      </c>
      <c r="F1451" s="201">
        <v>2</v>
      </c>
      <c r="G1451" s="203">
        <v>43423</v>
      </c>
    </row>
    <row r="1452" spans="2:7">
      <c r="G1452" s="203"/>
    </row>
    <row r="1453" spans="2:7">
      <c r="B1453" s="199" t="s">
        <v>1509</v>
      </c>
      <c r="C1453" s="200" t="s">
        <v>544</v>
      </c>
      <c r="D1453" s="200" t="s">
        <v>692</v>
      </c>
      <c r="E1453" s="201">
        <v>17</v>
      </c>
      <c r="F1453" s="201">
        <v>1.5</v>
      </c>
      <c r="G1453" s="203">
        <v>44679</v>
      </c>
    </row>
    <row r="1454" spans="2:7">
      <c r="C1454" s="200" t="s">
        <v>549</v>
      </c>
      <c r="D1454" s="200" t="s">
        <v>692</v>
      </c>
      <c r="E1454" s="201">
        <v>4.5</v>
      </c>
      <c r="F1454" s="201">
        <v>0.5</v>
      </c>
      <c r="G1454" s="203">
        <v>44415</v>
      </c>
    </row>
    <row r="1455" spans="2:7">
      <c r="G1455" s="203"/>
    </row>
    <row r="1456" spans="2:7">
      <c r="B1456" s="199" t="s">
        <v>1510</v>
      </c>
      <c r="C1456" s="200" t="s">
        <v>544</v>
      </c>
      <c r="D1456" s="200" t="s">
        <v>692</v>
      </c>
      <c r="E1456" s="201">
        <v>17</v>
      </c>
      <c r="F1456" s="201">
        <v>1.5</v>
      </c>
      <c r="G1456" s="203">
        <v>44679</v>
      </c>
    </row>
    <row r="1457" spans="2:12">
      <c r="C1457" s="200" t="s">
        <v>549</v>
      </c>
      <c r="D1457" s="200" t="s">
        <v>692</v>
      </c>
      <c r="E1457" s="201">
        <v>4.5</v>
      </c>
      <c r="F1457" s="201">
        <v>0.5</v>
      </c>
      <c r="G1457" s="203">
        <v>44415</v>
      </c>
    </row>
    <row r="1458" spans="2:12">
      <c r="G1458" s="203"/>
    </row>
    <row r="1459" spans="2:12">
      <c r="B1459" s="199" t="s">
        <v>1511</v>
      </c>
      <c r="C1459" s="200" t="s">
        <v>544</v>
      </c>
      <c r="D1459" s="200" t="s">
        <v>692</v>
      </c>
      <c r="E1459" s="201">
        <v>17</v>
      </c>
      <c r="F1459" s="201">
        <v>1.5</v>
      </c>
      <c r="G1459" s="203">
        <v>44679</v>
      </c>
    </row>
    <row r="1460" spans="2:12">
      <c r="C1460" s="200" t="s">
        <v>549</v>
      </c>
      <c r="D1460" s="200" t="s">
        <v>692</v>
      </c>
      <c r="E1460" s="201">
        <v>4.5</v>
      </c>
      <c r="F1460" s="201">
        <v>0.5</v>
      </c>
      <c r="G1460" s="203">
        <v>44415</v>
      </c>
    </row>
    <row r="1461" spans="2:12">
      <c r="G1461" s="203"/>
    </row>
    <row r="1462" spans="2:12">
      <c r="B1462" s="199" t="s">
        <v>1512</v>
      </c>
      <c r="C1462" s="200" t="s">
        <v>544</v>
      </c>
      <c r="D1462" s="200" t="s">
        <v>692</v>
      </c>
      <c r="E1462" s="201">
        <v>17</v>
      </c>
      <c r="F1462" s="201">
        <v>1.5</v>
      </c>
      <c r="G1462" s="203">
        <v>44679</v>
      </c>
    </row>
    <row r="1463" spans="2:12">
      <c r="C1463" s="200" t="s">
        <v>549</v>
      </c>
      <c r="D1463" s="200" t="s">
        <v>692</v>
      </c>
      <c r="E1463" s="201">
        <v>4.5</v>
      </c>
      <c r="F1463" s="201">
        <v>0.5</v>
      </c>
      <c r="G1463" s="203">
        <v>44415</v>
      </c>
    </row>
    <row r="1464" spans="2:12">
      <c r="G1464" s="203"/>
    </row>
    <row r="1465" spans="2:12">
      <c r="B1465" s="199" t="s">
        <v>1513</v>
      </c>
      <c r="C1465" s="200" t="s">
        <v>544</v>
      </c>
      <c r="D1465" s="200" t="s">
        <v>692</v>
      </c>
      <c r="E1465" s="201">
        <v>17</v>
      </c>
      <c r="F1465" s="201">
        <v>1.5</v>
      </c>
      <c r="G1465" s="203">
        <v>44679</v>
      </c>
    </row>
    <row r="1466" spans="2:12">
      <c r="C1466" s="200" t="s">
        <v>549</v>
      </c>
      <c r="D1466" s="200" t="s">
        <v>692</v>
      </c>
      <c r="E1466" s="201">
        <v>4.5</v>
      </c>
      <c r="F1466" s="201">
        <v>0.5</v>
      </c>
      <c r="G1466" s="203">
        <v>44415</v>
      </c>
    </row>
    <row r="1467" spans="2:12">
      <c r="G1467" s="203"/>
    </row>
    <row r="1468" spans="2:12">
      <c r="B1468" s="199" t="s">
        <v>1539</v>
      </c>
      <c r="C1468" s="200" t="s">
        <v>549</v>
      </c>
      <c r="D1468" s="200" t="s">
        <v>1531</v>
      </c>
      <c r="E1468" s="201">
        <v>5.5</v>
      </c>
      <c r="F1468" s="201">
        <v>3</v>
      </c>
      <c r="G1468" s="203">
        <v>45092</v>
      </c>
    </row>
    <row r="1469" spans="2:12">
      <c r="C1469" s="200" t="s">
        <v>549</v>
      </c>
      <c r="D1469" s="249" t="s">
        <v>1546</v>
      </c>
      <c r="E1469" s="201">
        <v>3.5</v>
      </c>
      <c r="F1469" s="201">
        <v>1.25</v>
      </c>
      <c r="G1469" s="203">
        <v>44636</v>
      </c>
    </row>
    <row r="1470" spans="2:12">
      <c r="C1470" s="249" t="s">
        <v>549</v>
      </c>
      <c r="D1470" s="249" t="s">
        <v>1548</v>
      </c>
      <c r="E1470" s="201">
        <v>3</v>
      </c>
      <c r="F1470" s="201">
        <f>1.5/4</f>
        <v>0.375</v>
      </c>
      <c r="G1470" s="203">
        <v>44327</v>
      </c>
    </row>
    <row r="1471" spans="2:12">
      <c r="C1471" s="249" t="s">
        <v>549</v>
      </c>
      <c r="D1471" s="249" t="s">
        <v>1550</v>
      </c>
      <c r="E1471" s="201">
        <v>5.0999999999999996</v>
      </c>
      <c r="F1471" s="201">
        <v>1</v>
      </c>
      <c r="G1471" s="203">
        <v>43990</v>
      </c>
    </row>
    <row r="1472" spans="2:12">
      <c r="C1472" s="249" t="s">
        <v>549</v>
      </c>
      <c r="D1472" s="249" t="s">
        <v>1551</v>
      </c>
      <c r="E1472" s="201">
        <v>5</v>
      </c>
      <c r="F1472" s="201">
        <v>1</v>
      </c>
      <c r="G1472" s="203">
        <v>43224</v>
      </c>
      <c r="L1472" s="248">
        <v>0</v>
      </c>
    </row>
    <row r="1473" spans="2:7">
      <c r="G1473" s="203"/>
    </row>
    <row r="1474" spans="2:7">
      <c r="B1474" s="210" t="s">
        <v>1572</v>
      </c>
      <c r="C1474" s="211" t="s">
        <v>549</v>
      </c>
      <c r="D1474" s="211" t="s">
        <v>1151</v>
      </c>
      <c r="E1474" s="201">
        <v>113</v>
      </c>
      <c r="F1474" s="201">
        <v>8</v>
      </c>
      <c r="G1474" s="203">
        <v>45090</v>
      </c>
    </row>
    <row r="1475" spans="2:7">
      <c r="B1475" s="210"/>
      <c r="C1475" s="243" t="s">
        <v>544</v>
      </c>
      <c r="D1475" s="243" t="s">
        <v>1464</v>
      </c>
      <c r="E1475" s="201">
        <v>86</v>
      </c>
      <c r="F1475" s="201">
        <v>10</v>
      </c>
      <c r="G1475" s="203">
        <v>44488</v>
      </c>
    </row>
    <row r="1476" spans="2:7">
      <c r="B1476" s="210"/>
      <c r="C1476" s="249" t="s">
        <v>549</v>
      </c>
      <c r="D1476" s="243" t="s">
        <v>1464</v>
      </c>
      <c r="E1476" s="201">
        <v>8.5</v>
      </c>
      <c r="F1476" s="201">
        <v>5.5</v>
      </c>
      <c r="G1476" s="203">
        <v>43796</v>
      </c>
    </row>
    <row r="1477" spans="2:7">
      <c r="B1477" s="210"/>
      <c r="C1477" s="211"/>
      <c r="D1477" s="211"/>
      <c r="G1477" s="203"/>
    </row>
    <row r="1478" spans="2:7">
      <c r="B1478" s="210" t="s">
        <v>1575</v>
      </c>
      <c r="C1478" s="211" t="s">
        <v>549</v>
      </c>
      <c r="D1478" s="211" t="s">
        <v>1151</v>
      </c>
      <c r="E1478" s="201">
        <v>113</v>
      </c>
      <c r="F1478" s="201">
        <v>8</v>
      </c>
      <c r="G1478" s="203">
        <v>45090</v>
      </c>
    </row>
    <row r="1479" spans="2:7">
      <c r="B1479" s="210"/>
      <c r="C1479" s="228" t="s">
        <v>544</v>
      </c>
      <c r="D1479" s="228" t="s">
        <v>1202</v>
      </c>
      <c r="E1479" s="201">
        <v>15.5</v>
      </c>
      <c r="F1479" s="201">
        <v>1.625</v>
      </c>
      <c r="G1479" s="203">
        <v>44727</v>
      </c>
    </row>
    <row r="1480" spans="2:7">
      <c r="B1480" s="210"/>
      <c r="C1480" s="228" t="s">
        <v>544</v>
      </c>
      <c r="D1480" s="228" t="s">
        <v>1202</v>
      </c>
      <c r="E1480" s="201">
        <v>12</v>
      </c>
      <c r="F1480" s="201">
        <v>6</v>
      </c>
      <c r="G1480" s="203">
        <v>43948</v>
      </c>
    </row>
    <row r="1481" spans="2:7">
      <c r="B1481" s="210"/>
      <c r="C1481" s="211"/>
      <c r="D1481" s="211"/>
      <c r="G1481" s="203"/>
    </row>
    <row r="1482" spans="2:7">
      <c r="B1482" s="210" t="s">
        <v>1584</v>
      </c>
      <c r="C1482" s="211" t="s">
        <v>544</v>
      </c>
      <c r="D1482" s="211" t="s">
        <v>1578</v>
      </c>
      <c r="E1482" s="201">
        <v>6</v>
      </c>
      <c r="F1482" s="201">
        <v>1</v>
      </c>
      <c r="G1482" s="203">
        <v>44917</v>
      </c>
    </row>
    <row r="1483" spans="2:7">
      <c r="B1483" s="210"/>
      <c r="C1483" s="211" t="s">
        <v>549</v>
      </c>
      <c r="D1483" s="211" t="s">
        <v>1578</v>
      </c>
      <c r="E1483" s="201">
        <v>3.6</v>
      </c>
      <c r="F1483" s="201">
        <v>1.8</v>
      </c>
      <c r="G1483" s="203">
        <v>43361</v>
      </c>
    </row>
    <row r="1484" spans="2:7">
      <c r="B1484" s="210"/>
      <c r="C1484" s="211"/>
      <c r="D1484" s="211"/>
      <c r="G1484" s="203"/>
    </row>
    <row r="1485" spans="2:7">
      <c r="B1485" s="210" t="s">
        <v>1585</v>
      </c>
      <c r="C1485" s="211" t="s">
        <v>544</v>
      </c>
      <c r="D1485" s="211" t="s">
        <v>1578</v>
      </c>
      <c r="E1485" s="201">
        <v>6</v>
      </c>
      <c r="F1485" s="201">
        <v>1</v>
      </c>
      <c r="G1485" s="203">
        <v>44917</v>
      </c>
    </row>
    <row r="1486" spans="2:7">
      <c r="B1486" s="210"/>
      <c r="C1486" s="211" t="s">
        <v>549</v>
      </c>
      <c r="D1486" s="211" t="s">
        <v>1578</v>
      </c>
      <c r="E1486" s="201">
        <v>5.9</v>
      </c>
      <c r="F1486" s="201">
        <v>3</v>
      </c>
      <c r="G1486" s="203">
        <v>44180</v>
      </c>
    </row>
    <row r="1487" spans="2:7">
      <c r="G1487" s="203"/>
    </row>
    <row r="1488" spans="2:7">
      <c r="B1488" s="199" t="s">
        <v>1098</v>
      </c>
      <c r="C1488" s="200" t="s">
        <v>544</v>
      </c>
      <c r="D1488" s="200" t="s">
        <v>1094</v>
      </c>
      <c r="E1488" s="201">
        <v>50</v>
      </c>
      <c r="F1488" s="201">
        <f t="shared" si="5"/>
        <v>2.5</v>
      </c>
      <c r="G1488" s="203">
        <v>44796</v>
      </c>
    </row>
    <row r="1489" spans="2:12">
      <c r="C1489" s="211" t="s">
        <v>544</v>
      </c>
      <c r="D1489" s="211" t="s">
        <v>578</v>
      </c>
      <c r="E1489" s="201">
        <v>12.7</v>
      </c>
      <c r="F1489" s="201">
        <f>8/5</f>
        <v>1.6</v>
      </c>
      <c r="G1489" s="203">
        <v>44952</v>
      </c>
    </row>
    <row r="1490" spans="2:12">
      <c r="G1490" s="203"/>
    </row>
    <row r="1491" spans="2:12">
      <c r="B1491" s="199" t="s">
        <v>1418</v>
      </c>
      <c r="C1491" s="200" t="s">
        <v>549</v>
      </c>
      <c r="D1491" s="200" t="s">
        <v>573</v>
      </c>
      <c r="E1491" s="201">
        <v>2.5</v>
      </c>
      <c r="F1491" s="201">
        <f t="shared" ref="F1491" si="10">2/6</f>
        <v>0.33333333333333331</v>
      </c>
      <c r="G1491" s="203">
        <v>44469</v>
      </c>
    </row>
    <row r="1492" spans="2:12">
      <c r="C1492" s="249" t="s">
        <v>549</v>
      </c>
      <c r="D1492" s="249" t="s">
        <v>1416</v>
      </c>
      <c r="E1492" s="201">
        <v>3.5</v>
      </c>
      <c r="F1492" s="201">
        <f>E1492/10</f>
        <v>0.35</v>
      </c>
      <c r="G1492" s="203">
        <v>43046</v>
      </c>
      <c r="L1492" s="248">
        <v>0</v>
      </c>
    </row>
    <row r="1493" spans="2:12">
      <c r="G1493" s="203"/>
    </row>
    <row r="1494" spans="2:12">
      <c r="B1494" s="217" t="s">
        <v>1707</v>
      </c>
      <c r="C1494" s="200" t="s">
        <v>544</v>
      </c>
      <c r="D1494" s="200" t="s">
        <v>546</v>
      </c>
      <c r="E1494" s="201">
        <v>23.5</v>
      </c>
      <c r="F1494" s="201">
        <v>2</v>
      </c>
      <c r="G1494" s="203">
        <v>44875</v>
      </c>
    </row>
    <row r="1495" spans="2:12">
      <c r="C1495" s="218" t="s">
        <v>549</v>
      </c>
      <c r="D1495" s="218" t="s">
        <v>705</v>
      </c>
      <c r="E1495" s="201">
        <v>5</v>
      </c>
      <c r="F1495" s="201">
        <v>5</v>
      </c>
      <c r="G1495" s="203">
        <v>44562</v>
      </c>
    </row>
    <row r="1496" spans="2:12">
      <c r="G1496" s="203"/>
    </row>
    <row r="1497" spans="2:12">
      <c r="B1497" s="199" t="s">
        <v>1461</v>
      </c>
      <c r="C1497" s="200" t="s">
        <v>544</v>
      </c>
      <c r="D1497" s="200" t="s">
        <v>684</v>
      </c>
      <c r="E1497" s="201">
        <v>20</v>
      </c>
      <c r="F1497" s="201">
        <v>2.5</v>
      </c>
      <c r="G1497" s="203">
        <v>44392</v>
      </c>
    </row>
    <row r="1498" spans="2:12">
      <c r="C1498" s="225" t="s">
        <v>565</v>
      </c>
      <c r="D1498" s="225" t="s">
        <v>442</v>
      </c>
      <c r="E1498" s="201">
        <v>125</v>
      </c>
      <c r="F1498" s="201">
        <f>75/8</f>
        <v>9.375</v>
      </c>
      <c r="G1498" s="203">
        <v>44663</v>
      </c>
    </row>
    <row r="1499" spans="2:12">
      <c r="C1499" s="225" t="s">
        <v>544</v>
      </c>
      <c r="D1499" s="225" t="s">
        <v>442</v>
      </c>
      <c r="E1499" s="201">
        <v>26</v>
      </c>
      <c r="F1499" s="201">
        <f>16/4</f>
        <v>4</v>
      </c>
      <c r="G1499" s="203">
        <v>43809</v>
      </c>
    </row>
    <row r="1500" spans="2:12">
      <c r="C1500" s="225" t="s">
        <v>544</v>
      </c>
      <c r="D1500" s="225" t="s">
        <v>442</v>
      </c>
      <c r="E1500" s="201">
        <v>8</v>
      </c>
      <c r="F1500" s="201">
        <v>2</v>
      </c>
      <c r="G1500" s="203">
        <v>43249</v>
      </c>
    </row>
    <row r="1501" spans="2:12">
      <c r="C1501" s="225"/>
      <c r="D1501" s="225"/>
      <c r="G1501" s="203"/>
    </row>
    <row r="1502" spans="2:12">
      <c r="B1502" s="199" t="s">
        <v>1082</v>
      </c>
      <c r="C1502" s="200" t="s">
        <v>402</v>
      </c>
      <c r="D1502" s="200" t="s">
        <v>1083</v>
      </c>
      <c r="E1502" s="201">
        <v>50</v>
      </c>
      <c r="F1502" s="201">
        <v>25</v>
      </c>
      <c r="G1502" s="203">
        <v>44643</v>
      </c>
    </row>
    <row r="1503" spans="2:12">
      <c r="C1503" s="225" t="s">
        <v>565</v>
      </c>
      <c r="D1503" s="225" t="s">
        <v>2162</v>
      </c>
      <c r="E1503" s="201">
        <v>125</v>
      </c>
      <c r="F1503" s="201">
        <f>75/8</f>
        <v>9.375</v>
      </c>
      <c r="G1503" s="203">
        <v>44663</v>
      </c>
    </row>
    <row r="1504" spans="2:12">
      <c r="C1504" s="225" t="s">
        <v>402</v>
      </c>
      <c r="D1504" s="225" t="s">
        <v>2162</v>
      </c>
      <c r="E1504" s="201">
        <v>54</v>
      </c>
      <c r="F1504" s="201">
        <f>40/5</f>
        <v>8</v>
      </c>
      <c r="G1504" s="203">
        <v>44089</v>
      </c>
    </row>
    <row r="1505" spans="2:7">
      <c r="C1505" s="225" t="s">
        <v>544</v>
      </c>
      <c r="D1505" s="225" t="s">
        <v>2162</v>
      </c>
      <c r="E1505" s="201">
        <v>26</v>
      </c>
      <c r="F1505" s="201">
        <v>10</v>
      </c>
      <c r="G1505" s="203">
        <v>43809</v>
      </c>
    </row>
    <row r="1506" spans="2:7">
      <c r="C1506" s="225"/>
      <c r="D1506" s="225"/>
      <c r="G1506" s="203"/>
    </row>
    <row r="1507" spans="2:7">
      <c r="B1507" s="199" t="s">
        <v>1153</v>
      </c>
      <c r="C1507" s="200" t="s">
        <v>549</v>
      </c>
      <c r="D1507" s="200" t="s">
        <v>454</v>
      </c>
      <c r="E1507" s="201">
        <v>30</v>
      </c>
      <c r="F1507" s="201">
        <v>5</v>
      </c>
      <c r="G1507" s="203">
        <v>44742</v>
      </c>
    </row>
    <row r="1508" spans="2:7">
      <c r="C1508" s="218" t="s">
        <v>544</v>
      </c>
      <c r="D1508" s="218" t="s">
        <v>581</v>
      </c>
      <c r="E1508" s="201">
        <v>29</v>
      </c>
      <c r="F1508" s="201">
        <v>3</v>
      </c>
      <c r="G1508" s="203">
        <v>44691</v>
      </c>
    </row>
    <row r="1509" spans="2:7">
      <c r="C1509" s="218" t="s">
        <v>544</v>
      </c>
      <c r="D1509" s="218" t="s">
        <v>705</v>
      </c>
      <c r="E1509" s="201">
        <v>13</v>
      </c>
      <c r="F1509" s="201">
        <v>3</v>
      </c>
      <c r="G1509" s="203">
        <v>45005</v>
      </c>
    </row>
    <row r="1510" spans="2:7">
      <c r="C1510" s="218"/>
      <c r="D1510" s="218"/>
      <c r="G1510" s="203"/>
    </row>
    <row r="1511" spans="2:7">
      <c r="G1511" s="203"/>
    </row>
    <row r="1512" spans="2:7">
      <c r="B1512" s="199" t="s">
        <v>1255</v>
      </c>
      <c r="C1512" s="200" t="s">
        <v>549</v>
      </c>
      <c r="D1512" s="200" t="s">
        <v>455</v>
      </c>
      <c r="E1512" s="201">
        <v>30</v>
      </c>
      <c r="F1512" s="201">
        <v>5</v>
      </c>
      <c r="G1512" s="203">
        <v>44601</v>
      </c>
    </row>
    <row r="1513" spans="2:7">
      <c r="C1513" s="220" t="s">
        <v>549</v>
      </c>
      <c r="D1513" s="220" t="s">
        <v>710</v>
      </c>
      <c r="E1513" s="201">
        <v>12.8</v>
      </c>
      <c r="F1513" s="201">
        <v>2</v>
      </c>
      <c r="G1513" s="203">
        <v>44601</v>
      </c>
    </row>
    <row r="1514" spans="2:7">
      <c r="G1514" s="203"/>
    </row>
    <row r="1515" spans="2:7">
      <c r="B1515" s="199" t="s">
        <v>1159</v>
      </c>
      <c r="C1515" s="200" t="s">
        <v>544</v>
      </c>
      <c r="D1515" s="200" t="s">
        <v>1158</v>
      </c>
      <c r="E1515" s="201">
        <v>21</v>
      </c>
      <c r="F1515" s="201">
        <f>11/3</f>
        <v>3.6666666666666665</v>
      </c>
      <c r="G1515" s="203">
        <v>45027</v>
      </c>
    </row>
    <row r="1516" spans="2:7">
      <c r="C1516" s="249" t="s">
        <v>549</v>
      </c>
      <c r="D1516" s="249" t="s">
        <v>1193</v>
      </c>
      <c r="E1516" s="201">
        <v>12</v>
      </c>
      <c r="F1516" s="201">
        <v>3</v>
      </c>
      <c r="G1516" s="203">
        <v>44271</v>
      </c>
    </row>
    <row r="1517" spans="2:7">
      <c r="G1517" s="203"/>
    </row>
    <row r="1518" spans="2:7">
      <c r="B1518" s="210"/>
      <c r="C1518" s="211"/>
      <c r="D1518" s="211"/>
      <c r="G1518" s="203"/>
    </row>
    <row r="1519" spans="2:7">
      <c r="B1519" s="210" t="s">
        <v>1593</v>
      </c>
      <c r="C1519" s="211" t="s">
        <v>544</v>
      </c>
      <c r="D1519" s="211" t="s">
        <v>697</v>
      </c>
      <c r="E1519" s="201">
        <v>15</v>
      </c>
      <c r="F1519" s="201">
        <v>5</v>
      </c>
      <c r="G1519" s="203">
        <v>44838</v>
      </c>
    </row>
    <row r="1520" spans="2:7">
      <c r="B1520" s="210"/>
      <c r="C1520" s="218" t="s">
        <v>544</v>
      </c>
      <c r="D1520" s="218" t="s">
        <v>705</v>
      </c>
      <c r="E1520" s="201">
        <v>13</v>
      </c>
      <c r="F1520" s="201">
        <v>3</v>
      </c>
      <c r="G1520" s="203">
        <v>45005</v>
      </c>
    </row>
    <row r="1521" spans="2:7">
      <c r="B1521" s="210"/>
      <c r="C1521" s="222" t="s">
        <v>544</v>
      </c>
      <c r="D1521" s="222" t="s">
        <v>1840</v>
      </c>
      <c r="E1521" s="201">
        <v>11</v>
      </c>
      <c r="F1521" s="201">
        <v>7</v>
      </c>
      <c r="G1521" s="203">
        <v>44959</v>
      </c>
    </row>
    <row r="1522" spans="2:7">
      <c r="B1522" s="210"/>
      <c r="C1522" s="228" t="s">
        <v>755</v>
      </c>
      <c r="D1522" s="228" t="s">
        <v>2591</v>
      </c>
      <c r="E1522" s="201">
        <v>90</v>
      </c>
      <c r="F1522" s="201">
        <v>5</v>
      </c>
      <c r="G1522" s="203">
        <v>44776</v>
      </c>
    </row>
    <row r="1523" spans="2:7">
      <c r="B1523" s="210"/>
      <c r="C1523" s="228" t="s">
        <v>565</v>
      </c>
      <c r="D1523" s="228" t="s">
        <v>2591</v>
      </c>
      <c r="E1523" s="201">
        <v>40</v>
      </c>
      <c r="F1523" s="201">
        <v>3.75</v>
      </c>
      <c r="G1523" s="203">
        <v>44176</v>
      </c>
    </row>
    <row r="1524" spans="2:7">
      <c r="B1524" s="210"/>
      <c r="C1524" s="228" t="s">
        <v>402</v>
      </c>
      <c r="D1524" s="228" t="s">
        <v>2591</v>
      </c>
      <c r="E1524" s="201">
        <v>20</v>
      </c>
      <c r="F1524" s="201">
        <v>5</v>
      </c>
      <c r="G1524" s="203">
        <v>43879</v>
      </c>
    </row>
    <row r="1525" spans="2:7">
      <c r="B1525" s="210"/>
      <c r="C1525" s="218"/>
      <c r="D1525" s="218"/>
      <c r="G1525" s="203"/>
    </row>
    <row r="1526" spans="2:7">
      <c r="B1526" s="210"/>
      <c r="C1526" s="211"/>
      <c r="D1526" s="211"/>
      <c r="G1526" s="203"/>
    </row>
    <row r="1527" spans="2:7">
      <c r="B1527" s="210" t="s">
        <v>1595</v>
      </c>
      <c r="C1527" s="211" t="s">
        <v>544</v>
      </c>
      <c r="D1527" s="211" t="s">
        <v>697</v>
      </c>
      <c r="E1527" s="201">
        <v>15</v>
      </c>
      <c r="F1527" s="201">
        <f>10/3</f>
        <v>3.3333333333333335</v>
      </c>
      <c r="G1527" s="203">
        <v>44838</v>
      </c>
    </row>
    <row r="1528" spans="2:7">
      <c r="B1528" s="210"/>
      <c r="C1528" s="225" t="s">
        <v>549</v>
      </c>
      <c r="D1528" s="225" t="s">
        <v>586</v>
      </c>
      <c r="E1528" s="201">
        <v>6</v>
      </c>
      <c r="F1528" s="201">
        <v>1</v>
      </c>
      <c r="G1528" s="203">
        <v>44781</v>
      </c>
    </row>
    <row r="1529" spans="2:7">
      <c r="B1529" s="210"/>
      <c r="C1529" s="211"/>
      <c r="D1529" s="211"/>
      <c r="G1529" s="203"/>
    </row>
    <row r="1530" spans="2:7">
      <c r="B1530" s="210" t="s">
        <v>1600</v>
      </c>
      <c r="C1530" s="211" t="s">
        <v>549</v>
      </c>
      <c r="D1530" s="211" t="s">
        <v>571</v>
      </c>
      <c r="E1530" s="201">
        <v>5.3</v>
      </c>
      <c r="F1530" s="201">
        <v>3.3</v>
      </c>
      <c r="G1530" s="203">
        <v>45069</v>
      </c>
    </row>
    <row r="1531" spans="2:7">
      <c r="B1531" s="210"/>
      <c r="C1531" s="211"/>
      <c r="D1531" s="211"/>
      <c r="G1531" s="203"/>
    </row>
    <row r="1532" spans="2:7">
      <c r="B1532" s="210" t="s">
        <v>1605</v>
      </c>
      <c r="C1532" s="211" t="s">
        <v>549</v>
      </c>
      <c r="D1532" s="211" t="s">
        <v>467</v>
      </c>
      <c r="E1532" s="201">
        <v>15</v>
      </c>
      <c r="F1532" s="201">
        <f t="shared" ref="F1532:F1534" si="11">15/7</f>
        <v>2.1428571428571428</v>
      </c>
      <c r="G1532" s="203">
        <v>44691</v>
      </c>
    </row>
    <row r="1533" spans="2:7">
      <c r="B1533" s="210"/>
      <c r="C1533" s="211"/>
      <c r="D1533" s="211"/>
      <c r="G1533" s="203"/>
    </row>
    <row r="1534" spans="2:7">
      <c r="B1534" s="210" t="s">
        <v>1606</v>
      </c>
      <c r="C1534" s="211" t="s">
        <v>549</v>
      </c>
      <c r="D1534" s="211" t="s">
        <v>467</v>
      </c>
      <c r="E1534" s="201">
        <v>15</v>
      </c>
      <c r="F1534" s="201">
        <f t="shared" si="11"/>
        <v>2.1428571428571428</v>
      </c>
      <c r="G1534" s="203">
        <v>44691</v>
      </c>
    </row>
    <row r="1535" spans="2:7">
      <c r="B1535" s="210"/>
      <c r="C1535" s="225" t="s">
        <v>402</v>
      </c>
      <c r="D1535" s="225" t="s">
        <v>1525</v>
      </c>
      <c r="E1535" s="201">
        <v>40</v>
      </c>
      <c r="F1535" s="201">
        <f>25/4</f>
        <v>6.25</v>
      </c>
      <c r="G1535" s="203">
        <v>44811</v>
      </c>
    </row>
    <row r="1536" spans="2:7">
      <c r="B1536" s="210"/>
      <c r="C1536" s="225" t="s">
        <v>544</v>
      </c>
      <c r="D1536" s="225" t="s">
        <v>1525</v>
      </c>
      <c r="E1536" s="201">
        <v>14</v>
      </c>
      <c r="F1536" s="201">
        <f>8/5</f>
        <v>1.6</v>
      </c>
      <c r="G1536" s="203">
        <v>44447</v>
      </c>
    </row>
    <row r="1537" spans="2:18">
      <c r="B1537" s="210"/>
      <c r="C1537" s="225" t="s">
        <v>544</v>
      </c>
      <c r="D1537" s="225" t="s">
        <v>1525</v>
      </c>
      <c r="E1537" s="201">
        <v>12</v>
      </c>
      <c r="F1537" s="201">
        <v>4</v>
      </c>
      <c r="G1537" s="203">
        <v>43532</v>
      </c>
    </row>
    <row r="1538" spans="2:18">
      <c r="B1538" s="210"/>
      <c r="C1538" s="211"/>
      <c r="D1538" s="211"/>
      <c r="G1538" s="203"/>
    </row>
    <row r="1539" spans="2:18">
      <c r="G1539" s="203"/>
    </row>
    <row r="1540" spans="2:18">
      <c r="B1540" s="210" t="s">
        <v>1617</v>
      </c>
      <c r="C1540" s="211" t="s">
        <v>544</v>
      </c>
      <c r="D1540" s="211" t="s">
        <v>699</v>
      </c>
      <c r="E1540" s="201">
        <v>15</v>
      </c>
      <c r="F1540" s="201">
        <v>3</v>
      </c>
      <c r="G1540" s="203">
        <v>44482</v>
      </c>
    </row>
    <row r="1541" spans="2:18">
      <c r="C1541" s="211" t="s">
        <v>549</v>
      </c>
      <c r="D1541" s="211" t="s">
        <v>699</v>
      </c>
      <c r="E1541" s="201">
        <v>4.5</v>
      </c>
      <c r="F1541" s="201">
        <v>0.5</v>
      </c>
      <c r="G1541" s="203">
        <v>44362</v>
      </c>
      <c r="M1541" s="199"/>
      <c r="N1541" s="199"/>
      <c r="O1541" s="199"/>
      <c r="P1541" s="199"/>
      <c r="Q1541" s="199"/>
      <c r="R1541" s="199"/>
    </row>
    <row r="1542" spans="2:18">
      <c r="C1542" s="211"/>
      <c r="D1542" s="211"/>
      <c r="G1542" s="203"/>
      <c r="M1542" s="199"/>
      <c r="N1542" s="199"/>
      <c r="O1542" s="199"/>
      <c r="P1542" s="199"/>
      <c r="Q1542" s="199"/>
      <c r="R1542" s="199"/>
    </row>
    <row r="1543" spans="2:18">
      <c r="B1543" s="210" t="s">
        <v>1619</v>
      </c>
      <c r="C1543" s="211" t="s">
        <v>549</v>
      </c>
      <c r="D1543" s="211" t="s">
        <v>699</v>
      </c>
      <c r="E1543" s="201">
        <v>4.5</v>
      </c>
      <c r="F1543" s="201">
        <v>0.5</v>
      </c>
      <c r="G1543" s="203">
        <v>44362</v>
      </c>
      <c r="M1543" s="199"/>
      <c r="N1543" s="199"/>
      <c r="O1543" s="199"/>
      <c r="P1543" s="199"/>
      <c r="Q1543" s="199"/>
      <c r="R1543" s="199"/>
    </row>
    <row r="1544" spans="2:18">
      <c r="B1544" s="210"/>
      <c r="C1544" s="249" t="s">
        <v>549</v>
      </c>
      <c r="D1544" s="249" t="s">
        <v>1416</v>
      </c>
      <c r="E1544" s="201">
        <v>3.5</v>
      </c>
      <c r="F1544" s="201">
        <f>E1544/10</f>
        <v>0.35</v>
      </c>
      <c r="G1544" s="203">
        <v>43046</v>
      </c>
      <c r="L1544" s="248">
        <v>0</v>
      </c>
      <c r="M1544" s="199"/>
      <c r="N1544" s="199"/>
      <c r="O1544" s="199"/>
      <c r="P1544" s="199"/>
      <c r="Q1544" s="199"/>
      <c r="R1544" s="199"/>
    </row>
    <row r="1545" spans="2:18">
      <c r="B1545" s="210"/>
      <c r="C1545" s="211"/>
      <c r="D1545" s="211"/>
      <c r="G1545" s="203"/>
      <c r="M1545" s="199"/>
      <c r="N1545" s="199"/>
      <c r="O1545" s="199"/>
      <c r="P1545" s="199"/>
      <c r="Q1545" s="199"/>
      <c r="R1545" s="199"/>
    </row>
    <row r="1546" spans="2:18">
      <c r="B1546" s="210" t="s">
        <v>1624</v>
      </c>
      <c r="C1546" s="211" t="s">
        <v>544</v>
      </c>
      <c r="D1546" s="211" t="s">
        <v>700</v>
      </c>
      <c r="E1546" s="201">
        <v>14.5</v>
      </c>
      <c r="F1546" s="201">
        <v>2.5</v>
      </c>
      <c r="G1546" s="203">
        <v>44389</v>
      </c>
      <c r="M1546" s="199"/>
      <c r="N1546" s="199"/>
      <c r="O1546" s="199"/>
      <c r="P1546" s="199"/>
      <c r="Q1546" s="199"/>
      <c r="R1546" s="199"/>
    </row>
    <row r="1547" spans="2:18">
      <c r="B1547" s="210"/>
      <c r="C1547" s="211" t="s">
        <v>549</v>
      </c>
      <c r="D1547" s="211" t="s">
        <v>700</v>
      </c>
      <c r="E1547" s="201">
        <v>3</v>
      </c>
      <c r="F1547" s="201">
        <v>0.5</v>
      </c>
      <c r="G1547" s="203">
        <v>43993</v>
      </c>
      <c r="M1547" s="199"/>
      <c r="N1547" s="199"/>
      <c r="O1547" s="199"/>
      <c r="P1547" s="199"/>
      <c r="Q1547" s="199"/>
      <c r="R1547" s="199"/>
    </row>
    <row r="1548" spans="2:18">
      <c r="B1548" s="210"/>
      <c r="C1548" s="211"/>
      <c r="D1548" s="211"/>
      <c r="G1548" s="203"/>
      <c r="M1548" s="199"/>
      <c r="N1548" s="199"/>
      <c r="O1548" s="199"/>
      <c r="P1548" s="199"/>
      <c r="Q1548" s="199"/>
      <c r="R1548" s="199"/>
    </row>
    <row r="1549" spans="2:18">
      <c r="B1549" s="210" t="s">
        <v>1625</v>
      </c>
      <c r="C1549" s="211" t="s">
        <v>544</v>
      </c>
      <c r="D1549" s="211" t="s">
        <v>700</v>
      </c>
      <c r="E1549" s="201">
        <v>14.5</v>
      </c>
      <c r="F1549" s="201">
        <v>2.5</v>
      </c>
      <c r="G1549" s="203">
        <v>44389</v>
      </c>
      <c r="M1549" s="199"/>
      <c r="N1549" s="199"/>
      <c r="O1549" s="199"/>
      <c r="P1549" s="199"/>
      <c r="Q1549" s="199"/>
      <c r="R1549" s="199"/>
    </row>
    <row r="1550" spans="2:18">
      <c r="B1550" s="210"/>
      <c r="C1550" s="211" t="s">
        <v>549</v>
      </c>
      <c r="D1550" s="211" t="s">
        <v>700</v>
      </c>
      <c r="E1550" s="201">
        <v>3</v>
      </c>
      <c r="F1550" s="201">
        <v>1</v>
      </c>
      <c r="G1550" s="203">
        <v>43993</v>
      </c>
      <c r="M1550" s="199"/>
      <c r="N1550" s="199"/>
      <c r="O1550" s="199"/>
      <c r="P1550" s="199"/>
      <c r="Q1550" s="199"/>
      <c r="R1550" s="199"/>
    </row>
    <row r="1551" spans="2:18">
      <c r="B1551" s="210"/>
      <c r="C1551" s="211"/>
      <c r="D1551" s="211"/>
      <c r="G1551" s="203"/>
      <c r="M1551" s="199"/>
      <c r="N1551" s="199"/>
      <c r="O1551" s="199"/>
      <c r="P1551" s="199"/>
      <c r="Q1551" s="199"/>
      <c r="R1551" s="199"/>
    </row>
    <row r="1552" spans="2:18">
      <c r="B1552" s="210" t="s">
        <v>1626</v>
      </c>
      <c r="C1552" s="211" t="s">
        <v>544</v>
      </c>
      <c r="D1552" s="211" t="s">
        <v>700</v>
      </c>
      <c r="E1552" s="201">
        <v>14.5</v>
      </c>
      <c r="F1552" s="201">
        <v>2.5</v>
      </c>
      <c r="G1552" s="203">
        <v>44389</v>
      </c>
      <c r="M1552" s="199"/>
      <c r="N1552" s="199"/>
      <c r="O1552" s="199"/>
      <c r="P1552" s="199"/>
      <c r="Q1552" s="199"/>
      <c r="R1552" s="199"/>
    </row>
    <row r="1553" spans="2:18">
      <c r="B1553" s="210"/>
      <c r="C1553" s="211" t="s">
        <v>549</v>
      </c>
      <c r="D1553" s="211" t="s">
        <v>700</v>
      </c>
      <c r="E1553" s="201">
        <v>3</v>
      </c>
      <c r="F1553" s="201">
        <v>0.5</v>
      </c>
      <c r="G1553" s="203">
        <v>43993</v>
      </c>
      <c r="M1553" s="199"/>
      <c r="N1553" s="199"/>
      <c r="O1553" s="199"/>
      <c r="P1553" s="199"/>
      <c r="Q1553" s="199"/>
      <c r="R1553" s="199"/>
    </row>
    <row r="1554" spans="2:18">
      <c r="B1554" s="210"/>
      <c r="C1554" s="211"/>
      <c r="D1554" s="211"/>
      <c r="G1554" s="203"/>
      <c r="M1554" s="199"/>
      <c r="N1554" s="199"/>
      <c r="O1554" s="199"/>
      <c r="P1554" s="199"/>
      <c r="Q1554" s="199"/>
      <c r="R1554" s="199"/>
    </row>
    <row r="1555" spans="2:18">
      <c r="B1555" s="210"/>
      <c r="C1555" s="211"/>
      <c r="D1555" s="211"/>
      <c r="G1555" s="203"/>
      <c r="M1555" s="199"/>
      <c r="N1555" s="199"/>
      <c r="O1555" s="199"/>
      <c r="P1555" s="199"/>
      <c r="Q1555" s="199"/>
      <c r="R1555" s="199"/>
    </row>
    <row r="1556" spans="2:18">
      <c r="B1556" s="210" t="s">
        <v>1640</v>
      </c>
      <c r="C1556" s="211" t="s">
        <v>544</v>
      </c>
      <c r="D1556" s="211" t="s">
        <v>702</v>
      </c>
      <c r="E1556" s="201">
        <v>14</v>
      </c>
      <c r="F1556" s="201">
        <v>3</v>
      </c>
      <c r="G1556" s="203">
        <v>44705</v>
      </c>
      <c r="M1556" s="199"/>
      <c r="N1556" s="199"/>
      <c r="O1556" s="199"/>
      <c r="P1556" s="199"/>
      <c r="Q1556" s="199"/>
      <c r="R1556" s="199"/>
    </row>
    <row r="1557" spans="2:18">
      <c r="C1557" s="211" t="s">
        <v>1137</v>
      </c>
      <c r="D1557" s="211" t="s">
        <v>702</v>
      </c>
      <c r="E1557" s="201">
        <v>0.62</v>
      </c>
      <c r="F1557" s="201">
        <v>0.62</v>
      </c>
      <c r="G1557" s="203">
        <v>44105</v>
      </c>
      <c r="M1557" s="199"/>
      <c r="N1557" s="199"/>
      <c r="O1557" s="199"/>
      <c r="P1557" s="199"/>
      <c r="Q1557" s="199"/>
      <c r="R1557" s="199"/>
    </row>
    <row r="1558" spans="2:18">
      <c r="C1558" s="211"/>
      <c r="D1558" s="211"/>
      <c r="G1558" s="203"/>
      <c r="M1558" s="199"/>
      <c r="N1558" s="199"/>
      <c r="O1558" s="199"/>
      <c r="P1558" s="199"/>
      <c r="Q1558" s="199"/>
      <c r="R1558" s="199"/>
    </row>
    <row r="1559" spans="2:18">
      <c r="B1559" s="210" t="s">
        <v>1657</v>
      </c>
      <c r="C1559" s="211" t="s">
        <v>565</v>
      </c>
      <c r="D1559" s="211" t="s">
        <v>433</v>
      </c>
      <c r="E1559" s="201">
        <v>200</v>
      </c>
      <c r="F1559" s="201">
        <f>100/5</f>
        <v>20</v>
      </c>
      <c r="G1559" s="203">
        <v>44377</v>
      </c>
      <c r="M1559" s="199"/>
      <c r="N1559" s="199"/>
      <c r="O1559" s="199"/>
      <c r="P1559" s="199"/>
      <c r="Q1559" s="199"/>
      <c r="R1559" s="199"/>
    </row>
    <row r="1560" spans="2:18">
      <c r="C1560" s="211" t="s">
        <v>402</v>
      </c>
      <c r="D1560" s="211" t="s">
        <v>433</v>
      </c>
      <c r="E1560" s="201">
        <v>75</v>
      </c>
      <c r="F1560" s="201">
        <v>20</v>
      </c>
      <c r="G1560" s="203">
        <v>43783</v>
      </c>
      <c r="M1560" s="199"/>
      <c r="N1560" s="199"/>
      <c r="O1560" s="199"/>
      <c r="P1560" s="199"/>
      <c r="Q1560" s="199"/>
      <c r="R1560" s="199"/>
    </row>
    <row r="1561" spans="2:18">
      <c r="C1561" s="228" t="s">
        <v>813</v>
      </c>
      <c r="D1561" s="228" t="s">
        <v>2441</v>
      </c>
      <c r="E1561" s="201">
        <v>270</v>
      </c>
      <c r="F1561" s="201">
        <v>22</v>
      </c>
      <c r="G1561" s="203">
        <v>44152</v>
      </c>
      <c r="M1561" s="199"/>
      <c r="N1561" s="199"/>
      <c r="O1561" s="199"/>
      <c r="P1561" s="199"/>
      <c r="Q1561" s="199"/>
      <c r="R1561" s="199"/>
    </row>
    <row r="1562" spans="2:18">
      <c r="C1562" s="228" t="s">
        <v>738</v>
      </c>
      <c r="D1562" s="228" t="s">
        <v>2441</v>
      </c>
      <c r="E1562" s="201">
        <v>206</v>
      </c>
      <c r="F1562" s="201">
        <v>36</v>
      </c>
      <c r="G1562" s="203">
        <v>43725</v>
      </c>
      <c r="M1562" s="199"/>
      <c r="N1562" s="199"/>
      <c r="O1562" s="199"/>
      <c r="P1562" s="199"/>
      <c r="Q1562" s="199"/>
      <c r="R1562" s="199"/>
    </row>
    <row r="1563" spans="2:18">
      <c r="C1563" s="228" t="s">
        <v>755</v>
      </c>
      <c r="D1563" s="228" t="s">
        <v>2441</v>
      </c>
      <c r="E1563" s="201">
        <v>100</v>
      </c>
      <c r="F1563" s="201">
        <v>20</v>
      </c>
      <c r="G1563" s="203">
        <v>43397</v>
      </c>
      <c r="M1563" s="199"/>
      <c r="N1563" s="199"/>
      <c r="O1563" s="199"/>
      <c r="P1563" s="199"/>
      <c r="Q1563" s="199"/>
      <c r="R1563" s="199"/>
    </row>
    <row r="1564" spans="2:18">
      <c r="B1564" s="210"/>
      <c r="C1564" s="211"/>
      <c r="D1564" s="211"/>
      <c r="G1564" s="203"/>
      <c r="M1564" s="199"/>
      <c r="N1564" s="199"/>
      <c r="O1564" s="199"/>
      <c r="P1564" s="199"/>
      <c r="Q1564" s="199"/>
      <c r="R1564" s="199"/>
    </row>
    <row r="1565" spans="2:18">
      <c r="B1565" s="210" t="s">
        <v>1666</v>
      </c>
      <c r="C1565" s="211" t="s">
        <v>544</v>
      </c>
      <c r="D1565" s="211" t="s">
        <v>578</v>
      </c>
      <c r="E1565" s="201">
        <v>12.7</v>
      </c>
      <c r="F1565" s="201">
        <f>8/5</f>
        <v>1.6</v>
      </c>
      <c r="G1565" s="203">
        <v>44952</v>
      </c>
      <c r="M1565" s="199"/>
      <c r="N1565" s="199"/>
      <c r="O1565" s="199"/>
      <c r="P1565" s="199"/>
      <c r="Q1565" s="199"/>
      <c r="R1565" s="199"/>
    </row>
    <row r="1566" spans="2:18">
      <c r="B1566" s="210"/>
      <c r="C1566" s="225" t="s">
        <v>549</v>
      </c>
      <c r="D1566" s="225" t="s">
        <v>447</v>
      </c>
      <c r="E1566" s="201">
        <v>100</v>
      </c>
      <c r="F1566" s="201">
        <v>50</v>
      </c>
      <c r="G1566" s="203">
        <v>44663</v>
      </c>
      <c r="M1566" s="199"/>
      <c r="N1566" s="199"/>
      <c r="O1566" s="199"/>
      <c r="P1566" s="199"/>
      <c r="Q1566" s="199"/>
      <c r="R1566" s="199"/>
    </row>
    <row r="1567" spans="2:18">
      <c r="B1567" s="210"/>
      <c r="C1567" s="211"/>
      <c r="D1567" s="211"/>
      <c r="G1567" s="203"/>
      <c r="M1567" s="199"/>
      <c r="N1567" s="199"/>
      <c r="O1567" s="199"/>
      <c r="P1567" s="199"/>
      <c r="Q1567" s="199"/>
      <c r="R1567" s="199"/>
    </row>
    <row r="1568" spans="2:18">
      <c r="B1568" s="210" t="s">
        <v>1668</v>
      </c>
      <c r="C1568" s="211" t="s">
        <v>549</v>
      </c>
      <c r="D1568" s="211" t="s">
        <v>578</v>
      </c>
      <c r="E1568" s="201">
        <v>5</v>
      </c>
      <c r="F1568" s="201">
        <v>2.5</v>
      </c>
      <c r="G1568" s="203">
        <v>44277</v>
      </c>
      <c r="M1568" s="199"/>
      <c r="N1568" s="199"/>
      <c r="O1568" s="199"/>
      <c r="P1568" s="199"/>
      <c r="Q1568" s="199"/>
      <c r="R1568" s="199"/>
    </row>
    <row r="1569" spans="2:18">
      <c r="B1569" s="210"/>
      <c r="C1569" s="225" t="s">
        <v>549</v>
      </c>
      <c r="D1569" s="225" t="s">
        <v>447</v>
      </c>
      <c r="E1569" s="201">
        <v>100</v>
      </c>
      <c r="F1569" s="201">
        <v>50</v>
      </c>
      <c r="G1569" s="203">
        <v>44663</v>
      </c>
      <c r="M1569" s="199"/>
      <c r="N1569" s="199"/>
      <c r="O1569" s="199"/>
      <c r="P1569" s="199"/>
      <c r="Q1569" s="199"/>
      <c r="R1569" s="199"/>
    </row>
    <row r="1570" spans="2:18">
      <c r="B1570" s="210"/>
      <c r="C1570" s="211"/>
      <c r="D1570" s="211"/>
      <c r="G1570" s="203"/>
      <c r="M1570" s="199"/>
      <c r="N1570" s="199"/>
      <c r="O1570" s="199"/>
      <c r="P1570" s="199"/>
      <c r="Q1570" s="199"/>
      <c r="R1570" s="199"/>
    </row>
    <row r="1571" spans="2:18">
      <c r="B1571" s="210"/>
      <c r="C1571" s="211"/>
      <c r="D1571" s="211"/>
      <c r="G1571" s="203"/>
      <c r="M1571" s="199"/>
      <c r="N1571" s="199"/>
      <c r="O1571" s="199"/>
      <c r="P1571" s="199"/>
      <c r="Q1571" s="199"/>
      <c r="R1571" s="199"/>
    </row>
    <row r="1572" spans="2:18">
      <c r="B1572" s="210"/>
      <c r="C1572" s="211"/>
      <c r="D1572" s="211"/>
      <c r="G1572" s="203"/>
      <c r="M1572" s="199"/>
      <c r="N1572" s="199"/>
      <c r="O1572" s="199"/>
      <c r="P1572" s="199"/>
      <c r="Q1572" s="199"/>
      <c r="R1572" s="199"/>
    </row>
    <row r="1573" spans="2:18">
      <c r="B1573" s="210"/>
      <c r="C1573" s="211"/>
      <c r="D1573" s="211"/>
      <c r="G1573" s="203"/>
      <c r="M1573" s="199"/>
      <c r="N1573" s="199"/>
      <c r="O1573" s="199"/>
      <c r="P1573" s="199"/>
      <c r="Q1573" s="199"/>
      <c r="R1573" s="199"/>
    </row>
    <row r="1574" spans="2:18">
      <c r="B1574" s="199" t="s">
        <v>1507</v>
      </c>
      <c r="C1574" s="200" t="s">
        <v>544</v>
      </c>
      <c r="D1574" s="200" t="s">
        <v>692</v>
      </c>
      <c r="E1574" s="201">
        <v>17</v>
      </c>
      <c r="F1574" s="201">
        <v>6</v>
      </c>
      <c r="G1574" s="203">
        <v>44679</v>
      </c>
      <c r="M1574" s="199"/>
      <c r="N1574" s="199"/>
      <c r="O1574" s="199"/>
      <c r="P1574" s="199"/>
      <c r="Q1574" s="199"/>
      <c r="R1574" s="199"/>
    </row>
    <row r="1575" spans="2:18">
      <c r="C1575" s="225" t="s">
        <v>549</v>
      </c>
      <c r="D1575" s="225" t="s">
        <v>596</v>
      </c>
      <c r="E1575" s="201">
        <v>10</v>
      </c>
      <c r="F1575" s="201">
        <v>3</v>
      </c>
      <c r="G1575" s="203">
        <v>44887</v>
      </c>
      <c r="M1575" s="199"/>
      <c r="N1575" s="199"/>
      <c r="O1575" s="199"/>
      <c r="P1575" s="199"/>
      <c r="Q1575" s="199"/>
      <c r="R1575" s="199"/>
    </row>
    <row r="1576" spans="2:18">
      <c r="G1576" s="203"/>
      <c r="M1576" s="199"/>
      <c r="N1576" s="199"/>
      <c r="O1576" s="199"/>
      <c r="P1576" s="199"/>
      <c r="Q1576" s="199"/>
      <c r="R1576" s="199"/>
    </row>
    <row r="1577" spans="2:18">
      <c r="B1577" s="224" t="s">
        <v>2152</v>
      </c>
      <c r="C1577" s="218" t="s">
        <v>549</v>
      </c>
      <c r="D1577" s="218" t="s">
        <v>704</v>
      </c>
      <c r="E1577" s="201">
        <v>13</v>
      </c>
      <c r="F1577" s="201">
        <f>7/2</f>
        <v>3.5</v>
      </c>
      <c r="G1577" s="203">
        <v>44896</v>
      </c>
      <c r="M1577" s="199"/>
      <c r="N1577" s="199"/>
      <c r="O1577" s="199"/>
      <c r="P1577" s="199"/>
      <c r="Q1577" s="199"/>
      <c r="R1577" s="199"/>
    </row>
    <row r="1578" spans="2:18">
      <c r="B1578" s="217"/>
      <c r="C1578" s="225" t="s">
        <v>565</v>
      </c>
      <c r="D1578" s="225" t="s">
        <v>441</v>
      </c>
      <c r="E1578" s="201">
        <v>48</v>
      </c>
      <c r="F1578" s="201">
        <v>10</v>
      </c>
      <c r="G1578" s="203">
        <v>43888</v>
      </c>
      <c r="M1578" s="199"/>
      <c r="N1578" s="199"/>
      <c r="O1578" s="199"/>
      <c r="P1578" s="199"/>
      <c r="Q1578" s="199"/>
      <c r="R1578" s="199"/>
    </row>
    <row r="1579" spans="2:18">
      <c r="B1579" s="217"/>
      <c r="C1579" s="225" t="s">
        <v>402</v>
      </c>
      <c r="D1579" s="225" t="s">
        <v>441</v>
      </c>
      <c r="E1579" s="201">
        <v>25</v>
      </c>
      <c r="F1579" s="201">
        <v>5</v>
      </c>
      <c r="G1579" s="203">
        <v>43440</v>
      </c>
      <c r="M1579" s="199"/>
      <c r="N1579" s="199"/>
      <c r="O1579" s="199"/>
      <c r="P1579" s="199"/>
      <c r="Q1579" s="199"/>
      <c r="R1579" s="199"/>
    </row>
    <row r="1580" spans="2:18">
      <c r="C1580" s="225" t="s">
        <v>544</v>
      </c>
      <c r="D1580" s="225" t="s">
        <v>441</v>
      </c>
      <c r="E1580" s="201">
        <v>5.8</v>
      </c>
      <c r="F1580" s="201">
        <f>E1580/4</f>
        <v>1.45</v>
      </c>
      <c r="G1580" s="203">
        <v>43117</v>
      </c>
      <c r="M1580" s="199"/>
      <c r="N1580" s="199"/>
      <c r="O1580" s="199"/>
      <c r="P1580" s="199"/>
      <c r="Q1580" s="199"/>
      <c r="R1580" s="199"/>
    </row>
    <row r="1581" spans="2:18">
      <c r="C1581" s="225" t="s">
        <v>549</v>
      </c>
      <c r="D1581" s="225" t="s">
        <v>441</v>
      </c>
      <c r="E1581" s="201">
        <v>3.2</v>
      </c>
      <c r="F1581" s="201">
        <v>3.2</v>
      </c>
      <c r="G1581" s="203">
        <v>42887</v>
      </c>
      <c r="M1581" s="199"/>
      <c r="N1581" s="199"/>
      <c r="O1581" s="199"/>
      <c r="P1581" s="199"/>
      <c r="Q1581" s="199"/>
      <c r="R1581" s="199"/>
    </row>
    <row r="1582" spans="2:18">
      <c r="C1582" s="225" t="s">
        <v>549</v>
      </c>
      <c r="D1582" s="225" t="s">
        <v>441</v>
      </c>
      <c r="E1582" s="201">
        <v>3.3</v>
      </c>
      <c r="F1582" s="201">
        <v>1</v>
      </c>
      <c r="G1582" s="203">
        <v>42678</v>
      </c>
      <c r="M1582" s="199"/>
      <c r="N1582" s="199"/>
      <c r="O1582" s="199"/>
      <c r="P1582" s="199"/>
      <c r="Q1582" s="199"/>
      <c r="R1582" s="199"/>
    </row>
    <row r="1583" spans="2:18">
      <c r="B1583" s="217"/>
      <c r="C1583" s="218"/>
      <c r="D1583" s="218"/>
      <c r="G1583" s="203"/>
      <c r="M1583" s="199"/>
      <c r="N1583" s="199"/>
      <c r="O1583" s="199"/>
      <c r="P1583" s="199"/>
      <c r="Q1583" s="199"/>
      <c r="R1583" s="199"/>
    </row>
    <row r="1584" spans="2:18">
      <c r="B1584" s="219" t="s">
        <v>1723</v>
      </c>
      <c r="C1584" s="220" t="s">
        <v>549</v>
      </c>
      <c r="D1584" s="220" t="s">
        <v>145</v>
      </c>
      <c r="E1584" s="201">
        <v>5</v>
      </c>
      <c r="F1584" s="201">
        <v>5</v>
      </c>
      <c r="G1584" s="203">
        <v>44873</v>
      </c>
      <c r="M1584" s="199"/>
      <c r="N1584" s="199"/>
      <c r="O1584" s="199"/>
      <c r="P1584" s="199"/>
      <c r="Q1584" s="199"/>
      <c r="R1584" s="199"/>
    </row>
    <row r="1585" spans="2:18">
      <c r="B1585" s="219"/>
      <c r="C1585" s="222" t="s">
        <v>544</v>
      </c>
      <c r="D1585" s="222" t="s">
        <v>724</v>
      </c>
      <c r="E1585" s="201">
        <v>10.5</v>
      </c>
      <c r="F1585" s="201">
        <v>6.5</v>
      </c>
      <c r="G1585" s="203">
        <v>44984</v>
      </c>
      <c r="M1585" s="199"/>
      <c r="N1585" s="199"/>
      <c r="O1585" s="199"/>
      <c r="P1585" s="199"/>
      <c r="Q1585" s="199"/>
      <c r="R1585" s="199"/>
    </row>
    <row r="1586" spans="2:18">
      <c r="B1586" s="219"/>
      <c r="C1586" s="220"/>
      <c r="D1586" s="220"/>
      <c r="G1586" s="203"/>
      <c r="M1586" s="199"/>
      <c r="N1586" s="199"/>
      <c r="O1586" s="199"/>
      <c r="P1586" s="199"/>
      <c r="Q1586" s="199"/>
      <c r="R1586" s="199"/>
    </row>
    <row r="1587" spans="2:18">
      <c r="B1587" s="219" t="s">
        <v>1727</v>
      </c>
      <c r="C1587" s="220" t="s">
        <v>544</v>
      </c>
      <c r="D1587" s="220" t="s">
        <v>707</v>
      </c>
      <c r="E1587" s="201">
        <v>12.6</v>
      </c>
      <c r="F1587" s="201">
        <v>3</v>
      </c>
      <c r="G1587" s="203">
        <v>44579</v>
      </c>
      <c r="M1587" s="199"/>
      <c r="N1587" s="199"/>
      <c r="O1587" s="199"/>
      <c r="P1587" s="199"/>
      <c r="Q1587" s="199"/>
      <c r="R1587" s="199"/>
    </row>
    <row r="1588" spans="2:18">
      <c r="B1588" s="219"/>
      <c r="C1588" s="220" t="s">
        <v>549</v>
      </c>
      <c r="D1588" s="220" t="s">
        <v>707</v>
      </c>
      <c r="E1588" s="201">
        <v>3</v>
      </c>
      <c r="F1588" s="201">
        <v>1</v>
      </c>
      <c r="G1588" s="203">
        <v>43999</v>
      </c>
      <c r="M1588" s="199"/>
      <c r="N1588" s="199"/>
      <c r="O1588" s="199"/>
      <c r="P1588" s="199"/>
      <c r="Q1588" s="199"/>
      <c r="R1588" s="199"/>
    </row>
    <row r="1589" spans="2:18">
      <c r="B1589" s="219"/>
      <c r="C1589" s="253" t="s">
        <v>402</v>
      </c>
      <c r="D1589" s="253" t="s">
        <v>1632</v>
      </c>
      <c r="E1589" s="201">
        <v>40</v>
      </c>
      <c r="F1589" s="201">
        <v>4</v>
      </c>
      <c r="G1589" s="203">
        <v>43419</v>
      </c>
      <c r="M1589" s="199"/>
      <c r="N1589" s="199"/>
      <c r="O1589" s="199"/>
      <c r="P1589" s="199"/>
      <c r="Q1589" s="199"/>
      <c r="R1589" s="199"/>
    </row>
    <row r="1590" spans="2:18">
      <c r="B1590" s="219"/>
      <c r="C1590" s="253" t="s">
        <v>544</v>
      </c>
      <c r="D1590" s="253" t="s">
        <v>1632</v>
      </c>
      <c r="E1590" s="201">
        <v>14.7</v>
      </c>
      <c r="F1590" s="201">
        <v>2.25</v>
      </c>
      <c r="G1590" s="203">
        <v>43032</v>
      </c>
      <c r="M1590" s="199"/>
      <c r="N1590" s="199"/>
      <c r="O1590" s="199"/>
      <c r="P1590" s="199"/>
      <c r="Q1590" s="199"/>
      <c r="R1590" s="199"/>
    </row>
    <row r="1591" spans="2:18">
      <c r="B1591" s="219"/>
      <c r="C1591" s="253" t="s">
        <v>549</v>
      </c>
      <c r="D1591" s="253" t="s">
        <v>1647</v>
      </c>
      <c r="E1591" s="201">
        <v>1.8</v>
      </c>
      <c r="F1591" s="201">
        <v>0.2</v>
      </c>
      <c r="G1591" s="203">
        <v>42690</v>
      </c>
      <c r="M1591" s="199"/>
      <c r="N1591" s="199"/>
      <c r="O1591" s="199"/>
      <c r="P1591" s="199"/>
      <c r="Q1591" s="199"/>
      <c r="R1591" s="199"/>
    </row>
    <row r="1592" spans="2:18">
      <c r="B1592" s="219"/>
      <c r="C1592" s="220"/>
      <c r="D1592" s="220"/>
      <c r="G1592" s="203"/>
      <c r="M1592" s="199"/>
      <c r="N1592" s="199"/>
      <c r="O1592" s="199"/>
      <c r="P1592" s="199"/>
      <c r="Q1592" s="199"/>
      <c r="R1592" s="199"/>
    </row>
    <row r="1593" spans="2:18">
      <c r="B1593" s="219" t="s">
        <v>1728</v>
      </c>
      <c r="C1593" s="220" t="s">
        <v>544</v>
      </c>
      <c r="D1593" s="220" t="s">
        <v>707</v>
      </c>
      <c r="E1593" s="201">
        <v>12.6</v>
      </c>
      <c r="F1593" s="201">
        <f>6.6/3</f>
        <v>2.1999999999999997</v>
      </c>
      <c r="G1593" s="203">
        <v>44579</v>
      </c>
      <c r="M1593" s="199"/>
      <c r="N1593" s="199"/>
      <c r="O1593" s="199"/>
      <c r="P1593" s="199"/>
      <c r="Q1593" s="199"/>
      <c r="R1593" s="199"/>
    </row>
    <row r="1594" spans="2:18">
      <c r="B1594" s="219"/>
      <c r="C1594" s="228" t="s">
        <v>755</v>
      </c>
      <c r="D1594" s="228" t="s">
        <v>1257</v>
      </c>
      <c r="E1594" s="201">
        <v>90</v>
      </c>
      <c r="F1594" s="201">
        <f>50/11</f>
        <v>4.5454545454545459</v>
      </c>
      <c r="G1594" s="203">
        <v>44776</v>
      </c>
      <c r="M1594" s="199"/>
      <c r="N1594" s="199"/>
      <c r="O1594" s="199"/>
      <c r="P1594" s="199"/>
      <c r="Q1594" s="199"/>
      <c r="R1594" s="199"/>
    </row>
    <row r="1595" spans="2:18">
      <c r="B1595" s="219"/>
      <c r="C1595" s="220"/>
      <c r="D1595" s="220"/>
      <c r="G1595" s="203"/>
      <c r="M1595" s="199"/>
      <c r="N1595" s="199"/>
      <c r="O1595" s="199"/>
      <c r="P1595" s="199"/>
      <c r="Q1595" s="199"/>
      <c r="R1595" s="199"/>
    </row>
    <row r="1596" spans="2:18">
      <c r="B1596" s="219" t="s">
        <v>1729</v>
      </c>
      <c r="C1596" s="220" t="s">
        <v>544</v>
      </c>
      <c r="D1596" s="220" t="s">
        <v>707</v>
      </c>
      <c r="E1596" s="201">
        <v>12.6</v>
      </c>
      <c r="F1596" s="201">
        <f>6.6/3</f>
        <v>2.1999999999999997</v>
      </c>
      <c r="G1596" s="203">
        <v>44579</v>
      </c>
      <c r="M1596" s="199"/>
      <c r="N1596" s="199"/>
      <c r="O1596" s="199"/>
      <c r="P1596" s="199"/>
      <c r="Q1596" s="199"/>
      <c r="R1596" s="199"/>
    </row>
    <row r="1597" spans="2:18">
      <c r="C1597" s="220" t="s">
        <v>549</v>
      </c>
      <c r="D1597" s="220" t="s">
        <v>707</v>
      </c>
      <c r="E1597" s="201">
        <v>3</v>
      </c>
      <c r="F1597" s="201">
        <v>1</v>
      </c>
      <c r="G1597" s="203">
        <v>43999</v>
      </c>
      <c r="M1597" s="199"/>
      <c r="N1597" s="199"/>
      <c r="O1597" s="199"/>
      <c r="P1597" s="199"/>
      <c r="Q1597" s="199"/>
      <c r="R1597" s="199"/>
    </row>
    <row r="1598" spans="2:18">
      <c r="C1598" s="220" t="s">
        <v>549</v>
      </c>
      <c r="D1598" s="220" t="s">
        <v>714</v>
      </c>
      <c r="E1598" s="201">
        <v>12.3</v>
      </c>
      <c r="F1598" s="201">
        <v>3</v>
      </c>
      <c r="G1598" s="203">
        <v>44622</v>
      </c>
      <c r="M1598" s="199"/>
      <c r="N1598" s="199"/>
      <c r="O1598" s="199"/>
      <c r="P1598" s="199"/>
      <c r="Q1598" s="199"/>
      <c r="R1598" s="199"/>
    </row>
    <row r="1599" spans="2:18">
      <c r="C1599" s="222" t="s">
        <v>544</v>
      </c>
      <c r="D1599" s="222" t="s">
        <v>716</v>
      </c>
      <c r="E1599" s="201">
        <v>12</v>
      </c>
      <c r="F1599" s="201">
        <v>2</v>
      </c>
      <c r="G1599" s="203">
        <v>44860</v>
      </c>
      <c r="M1599" s="199"/>
      <c r="N1599" s="199"/>
      <c r="O1599" s="199"/>
      <c r="P1599" s="199"/>
      <c r="Q1599" s="199"/>
      <c r="R1599" s="199"/>
    </row>
    <row r="1600" spans="2:18">
      <c r="C1600" s="222" t="s">
        <v>549</v>
      </c>
      <c r="D1600" s="222" t="s">
        <v>716</v>
      </c>
      <c r="E1600" s="201">
        <v>2.8</v>
      </c>
      <c r="F1600" s="201">
        <v>1.4</v>
      </c>
      <c r="G1600" s="203">
        <v>44215</v>
      </c>
      <c r="M1600" s="199"/>
      <c r="N1600" s="199"/>
      <c r="O1600" s="199"/>
      <c r="P1600" s="199"/>
      <c r="Q1600" s="199"/>
      <c r="R1600" s="199"/>
    </row>
    <row r="1601" spans="2:18">
      <c r="C1601" s="225" t="s">
        <v>669</v>
      </c>
      <c r="D1601" s="225" t="s">
        <v>594</v>
      </c>
      <c r="E1601" s="201">
        <v>2</v>
      </c>
      <c r="F1601" s="201">
        <v>1</v>
      </c>
      <c r="G1601" s="203">
        <v>44223</v>
      </c>
      <c r="M1601" s="199"/>
      <c r="N1601" s="199"/>
      <c r="O1601" s="199"/>
      <c r="P1601" s="199"/>
      <c r="Q1601" s="199"/>
      <c r="R1601" s="199"/>
    </row>
    <row r="1602" spans="2:18">
      <c r="C1602" s="220"/>
      <c r="D1602" s="220"/>
      <c r="G1602" s="203"/>
      <c r="M1602" s="199"/>
      <c r="N1602" s="199"/>
      <c r="O1602" s="199"/>
      <c r="P1602" s="199"/>
      <c r="Q1602" s="199"/>
      <c r="R1602" s="199"/>
    </row>
    <row r="1603" spans="2:18">
      <c r="B1603" s="219" t="s">
        <v>1738</v>
      </c>
      <c r="C1603" s="220" t="s">
        <v>549</v>
      </c>
      <c r="D1603" s="220" t="s">
        <v>710</v>
      </c>
      <c r="E1603" s="201">
        <v>12.8</v>
      </c>
      <c r="F1603" s="201">
        <v>2</v>
      </c>
      <c r="G1603" s="203">
        <v>44601</v>
      </c>
      <c r="M1603" s="199"/>
      <c r="N1603" s="199"/>
      <c r="O1603" s="199"/>
      <c r="P1603" s="199"/>
      <c r="Q1603" s="199"/>
      <c r="R1603" s="199"/>
    </row>
    <row r="1604" spans="2:18">
      <c r="B1604" s="219"/>
      <c r="C1604" s="228" t="s">
        <v>755</v>
      </c>
      <c r="D1604" s="228" t="s">
        <v>2441</v>
      </c>
      <c r="E1604" s="201">
        <v>100</v>
      </c>
      <c r="F1604" s="201">
        <v>15</v>
      </c>
      <c r="G1604" s="203">
        <v>43397</v>
      </c>
      <c r="M1604" s="199"/>
      <c r="N1604" s="199"/>
      <c r="O1604" s="199"/>
      <c r="P1604" s="199"/>
      <c r="Q1604" s="199"/>
      <c r="R1604" s="199"/>
    </row>
    <row r="1605" spans="2:18">
      <c r="B1605" s="219"/>
      <c r="C1605" s="220"/>
      <c r="D1605" s="220"/>
      <c r="G1605" s="203"/>
      <c r="M1605" s="199"/>
      <c r="N1605" s="199"/>
      <c r="O1605" s="199"/>
      <c r="P1605" s="199"/>
      <c r="Q1605" s="199"/>
      <c r="R1605" s="199"/>
    </row>
    <row r="1606" spans="2:18">
      <c r="B1606" s="219"/>
      <c r="C1606" s="220"/>
      <c r="D1606" s="220"/>
      <c r="G1606" s="203"/>
      <c r="M1606" s="199"/>
      <c r="N1606" s="199"/>
      <c r="O1606" s="199"/>
      <c r="P1606" s="199"/>
      <c r="Q1606" s="199"/>
      <c r="R1606" s="199"/>
    </row>
    <row r="1607" spans="2:18">
      <c r="B1607" s="219" t="s">
        <v>1769</v>
      </c>
      <c r="C1607" s="220" t="s">
        <v>549</v>
      </c>
      <c r="D1607" s="220" t="s">
        <v>465</v>
      </c>
      <c r="E1607" s="201">
        <v>12</v>
      </c>
      <c r="F1607" s="201">
        <v>2</v>
      </c>
      <c r="G1607" s="203">
        <v>44971</v>
      </c>
      <c r="M1607" s="199"/>
      <c r="N1607" s="199"/>
      <c r="O1607" s="199"/>
      <c r="P1607" s="199"/>
      <c r="Q1607" s="199"/>
      <c r="R1607" s="199"/>
    </row>
    <row r="1608" spans="2:18">
      <c r="C1608" s="220" t="s">
        <v>549</v>
      </c>
      <c r="D1608" s="220" t="s">
        <v>465</v>
      </c>
      <c r="E1608" s="201">
        <v>5</v>
      </c>
      <c r="F1608" s="201">
        <v>2</v>
      </c>
      <c r="G1608" s="203">
        <v>44769</v>
      </c>
      <c r="M1608" s="199"/>
      <c r="N1608" s="199"/>
      <c r="O1608" s="199"/>
      <c r="P1608" s="199"/>
      <c r="Q1608" s="199"/>
      <c r="R1608" s="199"/>
    </row>
    <row r="1609" spans="2:18">
      <c r="C1609" s="220" t="s">
        <v>549</v>
      </c>
      <c r="D1609" s="220" t="s">
        <v>714</v>
      </c>
      <c r="E1609" s="201">
        <v>12.3</v>
      </c>
      <c r="F1609" s="201">
        <v>6.3</v>
      </c>
      <c r="G1609" s="203">
        <v>44622</v>
      </c>
      <c r="M1609" s="199"/>
      <c r="N1609" s="199"/>
      <c r="O1609" s="199"/>
      <c r="P1609" s="199"/>
      <c r="Q1609" s="199"/>
      <c r="R1609" s="199"/>
    </row>
    <row r="1610" spans="2:18">
      <c r="C1610" s="253" t="s">
        <v>402</v>
      </c>
      <c r="D1610" s="253" t="s">
        <v>1696</v>
      </c>
      <c r="E1610" s="201">
        <v>35</v>
      </c>
      <c r="F1610" s="201">
        <v>10</v>
      </c>
      <c r="G1610" s="203">
        <v>44309</v>
      </c>
      <c r="M1610" s="199"/>
      <c r="N1610" s="199"/>
      <c r="O1610" s="199"/>
      <c r="P1610" s="199"/>
      <c r="Q1610" s="199"/>
      <c r="R1610" s="199"/>
    </row>
    <row r="1611" spans="2:18">
      <c r="C1611" s="220"/>
      <c r="D1611" s="220"/>
      <c r="G1611" s="203"/>
      <c r="M1611" s="199"/>
      <c r="N1611" s="199"/>
      <c r="O1611" s="199"/>
      <c r="P1611" s="199"/>
      <c r="Q1611" s="199"/>
      <c r="R1611" s="199"/>
    </row>
    <row r="1612" spans="2:18">
      <c r="B1612" s="219" t="s">
        <v>1775</v>
      </c>
      <c r="C1612" s="220" t="s">
        <v>549</v>
      </c>
      <c r="D1612" s="220" t="s">
        <v>715</v>
      </c>
      <c r="E1612" s="201">
        <v>8</v>
      </c>
      <c r="F1612" s="201">
        <v>3</v>
      </c>
      <c r="G1612" s="203">
        <v>44677</v>
      </c>
      <c r="M1612" s="199"/>
      <c r="N1612" s="199"/>
      <c r="O1612" s="199"/>
      <c r="P1612" s="199"/>
      <c r="Q1612" s="199"/>
      <c r="R1612" s="199"/>
    </row>
    <row r="1613" spans="2:18">
      <c r="B1613" s="219"/>
      <c r="C1613" s="228" t="s">
        <v>544</v>
      </c>
      <c r="D1613" s="228" t="s">
        <v>2472</v>
      </c>
      <c r="E1613" s="201">
        <v>13</v>
      </c>
      <c r="F1613" s="201">
        <v>1.4</v>
      </c>
      <c r="G1613" s="203">
        <v>44516</v>
      </c>
      <c r="M1613" s="199"/>
      <c r="N1613" s="199"/>
      <c r="O1613" s="199"/>
      <c r="P1613" s="199"/>
      <c r="Q1613" s="199"/>
      <c r="R1613" s="199"/>
    </row>
    <row r="1614" spans="2:18">
      <c r="B1614" s="219"/>
      <c r="C1614" s="249" t="s">
        <v>549</v>
      </c>
      <c r="D1614" s="249" t="s">
        <v>1416</v>
      </c>
      <c r="E1614" s="201">
        <v>3.5</v>
      </c>
      <c r="F1614" s="201">
        <f>E1614/10</f>
        <v>0.35</v>
      </c>
      <c r="G1614" s="203">
        <v>43046</v>
      </c>
      <c r="L1614" s="248">
        <v>0</v>
      </c>
      <c r="M1614" s="199"/>
      <c r="N1614" s="199"/>
      <c r="O1614" s="199"/>
      <c r="P1614" s="199"/>
      <c r="Q1614" s="199"/>
      <c r="R1614" s="199"/>
    </row>
    <row r="1615" spans="2:18">
      <c r="B1615" s="219"/>
      <c r="C1615" s="220"/>
      <c r="D1615" s="220"/>
      <c r="G1615" s="203"/>
      <c r="M1615" s="199"/>
      <c r="N1615" s="199"/>
      <c r="O1615" s="199"/>
      <c r="P1615" s="199"/>
      <c r="Q1615" s="199"/>
      <c r="R1615" s="199"/>
    </row>
    <row r="1616" spans="2:18">
      <c r="B1616" s="219"/>
      <c r="C1616" s="220"/>
      <c r="D1616" s="220"/>
      <c r="G1616" s="203"/>
      <c r="M1616" s="199"/>
      <c r="N1616" s="199"/>
      <c r="O1616" s="199"/>
      <c r="P1616" s="199"/>
      <c r="Q1616" s="199"/>
      <c r="R1616" s="199"/>
    </row>
    <row r="1617" spans="2:18">
      <c r="B1617" s="219" t="s">
        <v>1782</v>
      </c>
      <c r="C1617" s="220" t="s">
        <v>544</v>
      </c>
      <c r="D1617" s="220" t="s">
        <v>712</v>
      </c>
      <c r="E1617" s="201">
        <v>13</v>
      </c>
      <c r="F1617" s="201">
        <v>5</v>
      </c>
      <c r="G1617" s="203">
        <v>44642</v>
      </c>
      <c r="M1617" s="199"/>
      <c r="N1617" s="199"/>
      <c r="O1617" s="199"/>
      <c r="P1617" s="199"/>
      <c r="Q1617" s="199"/>
      <c r="R1617" s="199"/>
    </row>
    <row r="1618" spans="2:18">
      <c r="B1618" s="219"/>
      <c r="C1618" s="220" t="s">
        <v>549</v>
      </c>
      <c r="D1618" s="220" t="s">
        <v>712</v>
      </c>
      <c r="E1618" s="201">
        <v>3.5</v>
      </c>
      <c r="F1618" s="201">
        <v>1</v>
      </c>
      <c r="G1618" s="203">
        <v>44124</v>
      </c>
      <c r="M1618" s="199"/>
      <c r="N1618" s="199"/>
      <c r="O1618" s="199"/>
      <c r="P1618" s="199"/>
      <c r="Q1618" s="199"/>
      <c r="R1618" s="199"/>
    </row>
    <row r="1619" spans="2:18">
      <c r="B1619" s="219"/>
      <c r="C1619" s="220"/>
      <c r="D1619" s="220"/>
      <c r="G1619" s="203"/>
      <c r="M1619" s="199"/>
      <c r="N1619" s="199"/>
      <c r="O1619" s="199"/>
      <c r="P1619" s="199"/>
      <c r="Q1619" s="199"/>
      <c r="R1619" s="199"/>
    </row>
    <row r="1620" spans="2:18">
      <c r="B1620" s="219" t="s">
        <v>1784</v>
      </c>
      <c r="C1620" s="220" t="s">
        <v>544</v>
      </c>
      <c r="D1620" s="220" t="s">
        <v>712</v>
      </c>
      <c r="E1620" s="201">
        <v>13</v>
      </c>
      <c r="F1620" s="201">
        <f>8/4</f>
        <v>2</v>
      </c>
      <c r="G1620" s="203">
        <v>44642</v>
      </c>
      <c r="M1620" s="199"/>
      <c r="N1620" s="199"/>
      <c r="O1620" s="199"/>
      <c r="P1620" s="199"/>
      <c r="Q1620" s="199"/>
      <c r="R1620" s="199"/>
    </row>
    <row r="1621" spans="2:18">
      <c r="B1621" s="219"/>
      <c r="C1621" s="220" t="s">
        <v>549</v>
      </c>
      <c r="D1621" s="220" t="s">
        <v>712</v>
      </c>
      <c r="E1621" s="201">
        <v>3.5</v>
      </c>
      <c r="F1621" s="201">
        <v>1.5</v>
      </c>
      <c r="G1621" s="203">
        <v>44124</v>
      </c>
      <c r="M1621" s="199"/>
      <c r="N1621" s="199"/>
      <c r="O1621" s="199"/>
      <c r="P1621" s="199"/>
      <c r="Q1621" s="199"/>
      <c r="R1621" s="199"/>
    </row>
    <row r="1622" spans="2:18">
      <c r="B1622" s="219"/>
      <c r="C1622" s="220"/>
      <c r="D1622" s="220"/>
      <c r="G1622" s="203"/>
      <c r="M1622" s="199"/>
      <c r="N1622" s="199"/>
      <c r="O1622" s="199"/>
      <c r="P1622" s="199"/>
      <c r="Q1622" s="199"/>
      <c r="R1622" s="199"/>
    </row>
    <row r="1623" spans="2:18">
      <c r="B1623" s="219"/>
      <c r="C1623" s="220"/>
      <c r="D1623" s="220"/>
      <c r="G1623" s="203"/>
      <c r="M1623" s="199"/>
      <c r="N1623" s="199"/>
      <c r="O1623" s="199"/>
      <c r="P1623" s="199"/>
      <c r="Q1623" s="199"/>
      <c r="R1623" s="199"/>
    </row>
    <row r="1624" spans="2:18">
      <c r="B1624" s="219" t="s">
        <v>1792</v>
      </c>
      <c r="C1624" s="220" t="s">
        <v>544</v>
      </c>
      <c r="D1624" s="220" t="s">
        <v>713</v>
      </c>
      <c r="E1624" s="201">
        <v>12.5</v>
      </c>
      <c r="F1624" s="201">
        <f>E1624/3</f>
        <v>4.166666666666667</v>
      </c>
      <c r="G1624" s="203">
        <v>44825</v>
      </c>
      <c r="M1624" s="199"/>
      <c r="N1624" s="199"/>
      <c r="O1624" s="199"/>
      <c r="P1624" s="199"/>
      <c r="Q1624" s="199"/>
      <c r="R1624" s="199"/>
    </row>
    <row r="1625" spans="2:18">
      <c r="B1625" s="219"/>
      <c r="C1625" s="225" t="s">
        <v>544</v>
      </c>
      <c r="D1625" s="225" t="s">
        <v>445</v>
      </c>
      <c r="E1625" s="201">
        <v>7</v>
      </c>
      <c r="F1625" s="201">
        <v>1</v>
      </c>
      <c r="G1625" s="203">
        <v>42885</v>
      </c>
      <c r="M1625" s="199"/>
      <c r="N1625" s="199"/>
      <c r="O1625" s="199"/>
      <c r="P1625" s="199"/>
      <c r="Q1625" s="199"/>
      <c r="R1625" s="199"/>
    </row>
    <row r="1626" spans="2:18">
      <c r="B1626" s="219"/>
      <c r="C1626" s="220"/>
      <c r="D1626" s="220"/>
      <c r="G1626" s="203"/>
      <c r="M1626" s="199"/>
      <c r="N1626" s="199"/>
      <c r="O1626" s="199"/>
      <c r="P1626" s="199"/>
      <c r="Q1626" s="199"/>
      <c r="R1626" s="199"/>
    </row>
    <row r="1627" spans="2:18">
      <c r="B1627" s="219"/>
      <c r="C1627" s="220"/>
      <c r="D1627" s="220"/>
      <c r="G1627" s="203"/>
      <c r="M1627" s="199"/>
      <c r="N1627" s="199"/>
      <c r="O1627" s="199"/>
      <c r="P1627" s="199"/>
      <c r="Q1627" s="199"/>
      <c r="R1627" s="199"/>
    </row>
    <row r="1628" spans="2:18">
      <c r="B1628" s="221" t="s">
        <v>1834</v>
      </c>
      <c r="C1628" s="222" t="s">
        <v>544</v>
      </c>
      <c r="D1628" s="220" t="s">
        <v>716</v>
      </c>
      <c r="E1628" s="201">
        <v>12</v>
      </c>
      <c r="F1628" s="201">
        <f>6/3</f>
        <v>2</v>
      </c>
      <c r="G1628" s="203">
        <v>44860</v>
      </c>
      <c r="M1628" s="199"/>
      <c r="N1628" s="199"/>
      <c r="O1628" s="199"/>
      <c r="P1628" s="199"/>
      <c r="Q1628" s="199"/>
      <c r="R1628" s="199"/>
    </row>
    <row r="1629" spans="2:18">
      <c r="C1629" s="222" t="s">
        <v>549</v>
      </c>
      <c r="D1629" s="220" t="s">
        <v>716</v>
      </c>
      <c r="E1629" s="201">
        <v>2.8</v>
      </c>
      <c r="F1629" s="201">
        <v>1.4</v>
      </c>
      <c r="G1629" s="203">
        <v>44215</v>
      </c>
      <c r="M1629" s="199"/>
      <c r="N1629" s="199"/>
      <c r="O1629" s="199"/>
      <c r="P1629" s="199"/>
      <c r="Q1629" s="199"/>
      <c r="R1629" s="199"/>
    </row>
    <row r="1630" spans="2:18">
      <c r="B1630" s="221" t="s">
        <v>1841</v>
      </c>
      <c r="C1630" s="222" t="s">
        <v>544</v>
      </c>
      <c r="D1630" s="222" t="s">
        <v>1840</v>
      </c>
      <c r="E1630" s="201">
        <v>11</v>
      </c>
      <c r="F1630" s="201">
        <v>4</v>
      </c>
      <c r="G1630" s="203">
        <v>44959</v>
      </c>
      <c r="M1630" s="199"/>
      <c r="N1630" s="199"/>
      <c r="O1630" s="199"/>
      <c r="P1630" s="199"/>
      <c r="Q1630" s="199"/>
      <c r="R1630" s="199"/>
    </row>
    <row r="1631" spans="2:18">
      <c r="C1631" s="222" t="s">
        <v>549</v>
      </c>
      <c r="D1631" s="222" t="s">
        <v>1840</v>
      </c>
      <c r="E1631" s="201">
        <v>2.2000000000000002</v>
      </c>
      <c r="F1631" s="201">
        <v>1</v>
      </c>
      <c r="G1631" s="203">
        <v>44959</v>
      </c>
      <c r="M1631" s="199"/>
      <c r="N1631" s="199"/>
      <c r="O1631" s="199"/>
      <c r="P1631" s="199"/>
      <c r="Q1631" s="199"/>
      <c r="R1631" s="199"/>
    </row>
    <row r="1632" spans="2:18">
      <c r="B1632" s="221" t="s">
        <v>1860</v>
      </c>
      <c r="C1632" s="222" t="s">
        <v>669</v>
      </c>
      <c r="D1632" s="222" t="s">
        <v>1857</v>
      </c>
      <c r="E1632" s="201">
        <v>0.1</v>
      </c>
      <c r="F1632" s="201">
        <v>0.1</v>
      </c>
      <c r="G1632" s="203">
        <v>43499</v>
      </c>
      <c r="M1632" s="199"/>
      <c r="N1632" s="199"/>
      <c r="O1632" s="199"/>
      <c r="P1632" s="199"/>
      <c r="Q1632" s="199"/>
      <c r="R1632" s="199"/>
    </row>
    <row r="1633" spans="2:18">
      <c r="B1633" s="221"/>
      <c r="C1633" s="222" t="s">
        <v>669</v>
      </c>
      <c r="D1633" s="228" t="s">
        <v>1228</v>
      </c>
      <c r="E1633" s="201">
        <v>0.12</v>
      </c>
      <c r="F1633" s="201">
        <v>0.12</v>
      </c>
      <c r="G1633" s="203">
        <v>44082</v>
      </c>
      <c r="M1633" s="199"/>
      <c r="N1633" s="199"/>
      <c r="O1633" s="199"/>
      <c r="P1633" s="199"/>
      <c r="Q1633" s="199"/>
      <c r="R1633" s="199"/>
    </row>
    <row r="1634" spans="2:18">
      <c r="B1634" s="221"/>
      <c r="C1634" s="222" t="s">
        <v>669</v>
      </c>
      <c r="D1634" s="249" t="s">
        <v>1546</v>
      </c>
      <c r="G1634" s="203"/>
      <c r="M1634" s="199"/>
      <c r="N1634" s="199"/>
      <c r="O1634" s="199"/>
      <c r="P1634" s="199"/>
      <c r="Q1634" s="199"/>
      <c r="R1634" s="199"/>
    </row>
    <row r="1635" spans="2:18">
      <c r="B1635" s="221"/>
      <c r="C1635" s="222"/>
      <c r="D1635" s="222"/>
      <c r="G1635" s="203"/>
      <c r="M1635" s="199"/>
      <c r="N1635" s="199"/>
      <c r="O1635" s="199"/>
      <c r="P1635" s="199"/>
      <c r="Q1635" s="199"/>
      <c r="R1635" s="199"/>
    </row>
    <row r="1636" spans="2:18">
      <c r="B1636" s="221" t="s">
        <v>1865</v>
      </c>
      <c r="C1636" s="222" t="s">
        <v>549</v>
      </c>
      <c r="D1636" s="222" t="s">
        <v>584</v>
      </c>
      <c r="E1636" s="201">
        <v>10.6</v>
      </c>
      <c r="F1636" s="201">
        <v>5.6</v>
      </c>
      <c r="G1636" s="203">
        <v>45007</v>
      </c>
      <c r="M1636" s="199"/>
      <c r="N1636" s="199"/>
      <c r="O1636" s="199"/>
      <c r="P1636" s="199"/>
      <c r="Q1636" s="199"/>
      <c r="R1636" s="199"/>
    </row>
    <row r="1637" spans="2:18">
      <c r="B1637" s="221" t="s">
        <v>1868</v>
      </c>
      <c r="C1637" s="222" t="s">
        <v>544</v>
      </c>
      <c r="D1637" s="222" t="s">
        <v>724</v>
      </c>
      <c r="E1637" s="201">
        <v>10.5</v>
      </c>
      <c r="F1637" s="201">
        <v>4</v>
      </c>
      <c r="G1637" s="203">
        <v>44984</v>
      </c>
      <c r="M1637" s="199"/>
      <c r="N1637" s="199"/>
      <c r="O1637" s="199"/>
      <c r="P1637" s="199"/>
      <c r="Q1637" s="199"/>
      <c r="R1637" s="199"/>
    </row>
    <row r="1638" spans="2:18">
      <c r="B1638" s="221"/>
      <c r="C1638" s="222" t="s">
        <v>549</v>
      </c>
      <c r="D1638" s="222" t="s">
        <v>724</v>
      </c>
      <c r="E1638" s="201">
        <v>3</v>
      </c>
      <c r="F1638" s="201">
        <v>1</v>
      </c>
      <c r="G1638" s="203">
        <v>44539</v>
      </c>
      <c r="M1638" s="199"/>
      <c r="N1638" s="199"/>
      <c r="O1638" s="199"/>
      <c r="P1638" s="199"/>
      <c r="Q1638" s="199"/>
      <c r="R1638" s="199"/>
    </row>
    <row r="1639" spans="2:18">
      <c r="B1639" s="221"/>
      <c r="C1639" s="222" t="s">
        <v>549</v>
      </c>
      <c r="D1639" s="222" t="s">
        <v>724</v>
      </c>
      <c r="E1639" s="201">
        <v>2</v>
      </c>
      <c r="F1639" s="201">
        <v>1</v>
      </c>
      <c r="G1639" s="203">
        <v>44389</v>
      </c>
      <c r="M1639" s="199"/>
      <c r="N1639" s="199"/>
      <c r="O1639" s="199"/>
      <c r="P1639" s="199"/>
      <c r="Q1639" s="199"/>
      <c r="R1639" s="199"/>
    </row>
    <row r="1640" spans="2:18">
      <c r="B1640" s="221"/>
      <c r="C1640" s="228" t="s">
        <v>544</v>
      </c>
      <c r="D1640" s="228" t="s">
        <v>1227</v>
      </c>
      <c r="E1640" s="201">
        <v>5</v>
      </c>
      <c r="F1640" s="201">
        <v>1</v>
      </c>
      <c r="G1640" s="203">
        <v>44514</v>
      </c>
      <c r="M1640" s="199"/>
      <c r="N1640" s="199"/>
      <c r="O1640" s="199"/>
      <c r="P1640" s="199"/>
      <c r="Q1640" s="199"/>
      <c r="R1640" s="199"/>
    </row>
    <row r="1641" spans="2:18">
      <c r="B1641" s="221"/>
      <c r="C1641" s="222"/>
      <c r="D1641" s="222"/>
      <c r="G1641" s="203"/>
      <c r="M1641" s="199"/>
      <c r="N1641" s="199"/>
      <c r="O1641" s="199"/>
      <c r="P1641" s="199"/>
      <c r="Q1641" s="199"/>
      <c r="R1641" s="199"/>
    </row>
    <row r="1642" spans="2:18">
      <c r="B1642" s="221" t="s">
        <v>1870</v>
      </c>
      <c r="C1642" s="222" t="s">
        <v>549</v>
      </c>
      <c r="D1642" s="222" t="s">
        <v>724</v>
      </c>
      <c r="E1642" s="201">
        <v>3</v>
      </c>
      <c r="F1642" s="201">
        <v>1</v>
      </c>
      <c r="G1642" s="203">
        <v>44539</v>
      </c>
      <c r="M1642" s="199"/>
      <c r="N1642" s="199"/>
      <c r="O1642" s="199"/>
      <c r="P1642" s="199"/>
      <c r="Q1642" s="199"/>
      <c r="R1642" s="199"/>
    </row>
    <row r="1643" spans="2:18">
      <c r="B1643" s="221" t="s">
        <v>1874</v>
      </c>
      <c r="C1643" s="222" t="s">
        <v>544</v>
      </c>
      <c r="D1643" s="222" t="s">
        <v>726</v>
      </c>
      <c r="E1643" s="201">
        <v>10</v>
      </c>
      <c r="F1643" s="201">
        <v>10</v>
      </c>
      <c r="G1643" s="203">
        <v>44013</v>
      </c>
      <c r="M1643" s="199"/>
      <c r="N1643" s="199"/>
      <c r="O1643" s="199"/>
      <c r="P1643" s="199"/>
      <c r="Q1643" s="199"/>
      <c r="R1643" s="199"/>
    </row>
    <row r="1644" spans="2:18">
      <c r="B1644" s="221" t="s">
        <v>1886</v>
      </c>
      <c r="C1644" s="222" t="s">
        <v>544</v>
      </c>
      <c r="D1644" s="222" t="s">
        <v>1885</v>
      </c>
      <c r="E1644" s="201">
        <v>10</v>
      </c>
      <c r="F1644" s="201">
        <v>6</v>
      </c>
      <c r="G1644" s="203">
        <v>44825</v>
      </c>
      <c r="M1644" s="199"/>
      <c r="N1644" s="199"/>
      <c r="O1644" s="199"/>
      <c r="P1644" s="199"/>
      <c r="Q1644" s="199"/>
      <c r="R1644" s="199"/>
    </row>
    <row r="1645" spans="2:18">
      <c r="B1645" s="221"/>
      <c r="C1645" s="222"/>
      <c r="D1645" s="222"/>
      <c r="G1645" s="203"/>
      <c r="M1645" s="199"/>
      <c r="N1645" s="199"/>
      <c r="O1645" s="199"/>
      <c r="P1645" s="199"/>
      <c r="Q1645" s="199"/>
      <c r="R1645" s="199"/>
    </row>
    <row r="1646" spans="2:18">
      <c r="B1646" s="221" t="s">
        <v>1884</v>
      </c>
      <c r="C1646" s="222" t="s">
        <v>544</v>
      </c>
      <c r="D1646" s="222" t="s">
        <v>1885</v>
      </c>
      <c r="E1646" s="201">
        <v>10</v>
      </c>
      <c r="F1646" s="201">
        <v>4</v>
      </c>
      <c r="G1646" s="203">
        <v>44825</v>
      </c>
      <c r="M1646" s="199"/>
      <c r="N1646" s="199"/>
      <c r="O1646" s="199"/>
      <c r="P1646" s="199"/>
      <c r="Q1646" s="199"/>
      <c r="R1646" s="199"/>
    </row>
    <row r="1647" spans="2:18">
      <c r="C1647" s="222" t="s">
        <v>549</v>
      </c>
      <c r="D1647" s="222" t="s">
        <v>1885</v>
      </c>
      <c r="E1647" s="201">
        <v>1.5</v>
      </c>
      <c r="F1647" s="201">
        <v>1.5</v>
      </c>
      <c r="G1647" s="203">
        <v>44406</v>
      </c>
      <c r="M1647" s="199"/>
      <c r="N1647" s="199"/>
      <c r="O1647" s="199"/>
      <c r="P1647" s="199"/>
      <c r="Q1647" s="199"/>
      <c r="R1647" s="199"/>
    </row>
    <row r="1648" spans="2:18">
      <c r="C1648" s="222"/>
      <c r="D1648" s="222"/>
      <c r="G1648" s="203"/>
      <c r="M1648" s="199"/>
      <c r="N1648" s="199"/>
      <c r="O1648" s="199"/>
      <c r="P1648" s="199"/>
      <c r="Q1648" s="199"/>
      <c r="R1648" s="199"/>
    </row>
    <row r="1649" spans="2:18">
      <c r="B1649" s="221" t="s">
        <v>1891</v>
      </c>
      <c r="C1649" s="222" t="s">
        <v>544</v>
      </c>
      <c r="D1649" s="222" t="s">
        <v>734</v>
      </c>
      <c r="E1649" s="201">
        <v>10</v>
      </c>
      <c r="F1649" s="201">
        <v>4</v>
      </c>
      <c r="G1649" s="203">
        <v>44930</v>
      </c>
      <c r="M1649" s="199"/>
      <c r="N1649" s="199"/>
      <c r="O1649" s="199"/>
      <c r="P1649" s="199"/>
      <c r="Q1649" s="199"/>
      <c r="R1649" s="199"/>
    </row>
    <row r="1650" spans="2:18">
      <c r="B1650" s="221" t="s">
        <v>1892</v>
      </c>
      <c r="C1650" s="222" t="s">
        <v>544</v>
      </c>
      <c r="D1650" s="222" t="s">
        <v>734</v>
      </c>
      <c r="E1650" s="201">
        <v>10</v>
      </c>
      <c r="F1650" s="201">
        <v>2</v>
      </c>
      <c r="G1650" s="203">
        <v>44930</v>
      </c>
      <c r="M1650" s="199"/>
      <c r="N1650" s="199"/>
      <c r="O1650" s="199"/>
      <c r="P1650" s="199"/>
      <c r="Q1650" s="199"/>
      <c r="R1650" s="199"/>
    </row>
    <row r="1651" spans="2:18">
      <c r="B1651" s="221" t="s">
        <v>1893</v>
      </c>
      <c r="C1651" s="222" t="s">
        <v>544</v>
      </c>
      <c r="D1651" s="222" t="s">
        <v>734</v>
      </c>
      <c r="E1651" s="201">
        <v>10</v>
      </c>
      <c r="F1651" s="201">
        <v>2</v>
      </c>
      <c r="G1651" s="203">
        <v>44930</v>
      </c>
      <c r="M1651" s="199"/>
      <c r="N1651" s="199"/>
      <c r="O1651" s="199"/>
      <c r="P1651" s="199"/>
      <c r="Q1651" s="199"/>
      <c r="R1651" s="199"/>
    </row>
    <row r="1652" spans="2:18">
      <c r="B1652" s="221" t="s">
        <v>1894</v>
      </c>
      <c r="C1652" s="222" t="s">
        <v>544</v>
      </c>
      <c r="D1652" s="222" t="s">
        <v>734</v>
      </c>
      <c r="E1652" s="201">
        <v>10</v>
      </c>
      <c r="F1652" s="201">
        <v>2</v>
      </c>
      <c r="G1652" s="203">
        <v>44930</v>
      </c>
      <c r="M1652" s="199"/>
      <c r="N1652" s="199"/>
      <c r="O1652" s="199"/>
      <c r="P1652" s="199"/>
      <c r="Q1652" s="199"/>
      <c r="R1652" s="199"/>
    </row>
    <row r="1653" spans="2:18">
      <c r="B1653" s="221"/>
      <c r="C1653" s="222"/>
      <c r="D1653" s="222"/>
      <c r="G1653" s="203"/>
      <c r="M1653" s="199"/>
      <c r="N1653" s="199"/>
      <c r="O1653" s="199"/>
      <c r="P1653" s="199"/>
      <c r="Q1653" s="199"/>
      <c r="R1653" s="199"/>
    </row>
    <row r="1654" spans="2:18">
      <c r="B1654" s="221" t="s">
        <v>1903</v>
      </c>
      <c r="C1654" s="222" t="s">
        <v>565</v>
      </c>
      <c r="D1654" s="222" t="s">
        <v>434</v>
      </c>
      <c r="E1654" s="201">
        <v>169</v>
      </c>
      <c r="F1654" s="201">
        <v>169</v>
      </c>
      <c r="G1654" s="203">
        <v>44727</v>
      </c>
      <c r="M1654" s="199"/>
      <c r="N1654" s="199"/>
      <c r="O1654" s="199"/>
      <c r="P1654" s="199"/>
      <c r="Q1654" s="199"/>
      <c r="R1654" s="199"/>
    </row>
    <row r="1655" spans="2:18">
      <c r="B1655" s="221"/>
      <c r="C1655" s="222" t="s">
        <v>565</v>
      </c>
      <c r="D1655" s="238" t="s">
        <v>1333</v>
      </c>
      <c r="E1655" s="201">
        <v>65</v>
      </c>
      <c r="F1655" s="201">
        <v>32.5</v>
      </c>
      <c r="G1655" s="203">
        <v>43789</v>
      </c>
      <c r="M1655" s="199"/>
      <c r="N1655" s="199"/>
      <c r="O1655" s="199"/>
      <c r="P1655" s="199"/>
      <c r="Q1655" s="199"/>
      <c r="R1655" s="199"/>
    </row>
    <row r="1656" spans="2:18">
      <c r="B1656" s="221"/>
      <c r="C1656" s="222"/>
      <c r="D1656" s="222"/>
      <c r="G1656" s="203"/>
      <c r="M1656" s="199"/>
      <c r="N1656" s="199"/>
      <c r="O1656" s="199"/>
      <c r="P1656" s="199"/>
      <c r="Q1656" s="199"/>
      <c r="R1656" s="199"/>
    </row>
    <row r="1657" spans="2:18">
      <c r="B1657" s="221" t="s">
        <v>1912</v>
      </c>
      <c r="C1657" s="222" t="s">
        <v>669</v>
      </c>
      <c r="D1657" s="222" t="s">
        <v>1913</v>
      </c>
      <c r="E1657" s="201">
        <v>0.5</v>
      </c>
      <c r="F1657" s="201">
        <v>0.5</v>
      </c>
      <c r="G1657" s="203">
        <v>45021</v>
      </c>
      <c r="M1657" s="199"/>
      <c r="N1657" s="199"/>
      <c r="O1657" s="199"/>
      <c r="P1657" s="199"/>
      <c r="Q1657" s="199"/>
      <c r="R1657" s="199"/>
    </row>
    <row r="1658" spans="2:18">
      <c r="B1658" s="221"/>
      <c r="C1658" s="222" t="s">
        <v>669</v>
      </c>
      <c r="D1658" s="249" t="s">
        <v>1546</v>
      </c>
      <c r="E1658" s="201">
        <v>0.75</v>
      </c>
      <c r="F1658" s="201">
        <f>E1658/3</f>
        <v>0.25</v>
      </c>
      <c r="G1658" s="203">
        <v>44043</v>
      </c>
      <c r="M1658" s="199"/>
      <c r="N1658" s="199"/>
      <c r="O1658" s="199"/>
      <c r="P1658" s="199"/>
      <c r="Q1658" s="199"/>
      <c r="R1658" s="199"/>
    </row>
    <row r="1659" spans="2:18">
      <c r="B1659" s="221"/>
      <c r="C1659" s="222"/>
      <c r="D1659" s="222"/>
      <c r="G1659" s="203"/>
      <c r="M1659" s="199"/>
      <c r="N1659" s="199"/>
      <c r="O1659" s="199"/>
      <c r="P1659" s="199"/>
      <c r="Q1659" s="199"/>
      <c r="R1659" s="199"/>
    </row>
    <row r="1660" spans="2:18">
      <c r="B1660" s="224" t="s">
        <v>2137</v>
      </c>
      <c r="C1660" s="225" t="s">
        <v>738</v>
      </c>
      <c r="D1660" s="225" t="s">
        <v>441</v>
      </c>
      <c r="E1660" s="201">
        <v>132</v>
      </c>
      <c r="F1660" s="201">
        <v>20</v>
      </c>
      <c r="G1660" s="203">
        <v>44215</v>
      </c>
      <c r="M1660" s="199"/>
      <c r="N1660" s="199"/>
      <c r="O1660" s="199"/>
      <c r="P1660" s="199"/>
      <c r="Q1660" s="199"/>
      <c r="R1660" s="199"/>
    </row>
    <row r="1661" spans="2:18">
      <c r="B1661" s="224"/>
      <c r="C1661" s="225" t="s">
        <v>755</v>
      </c>
      <c r="D1661" s="225" t="s">
        <v>441</v>
      </c>
      <c r="E1661" s="201">
        <v>42</v>
      </c>
      <c r="F1661" s="201">
        <v>12</v>
      </c>
      <c r="G1661" s="203">
        <v>44153</v>
      </c>
      <c r="M1661" s="199"/>
      <c r="N1661" s="199"/>
      <c r="O1661" s="199"/>
      <c r="P1661" s="199"/>
      <c r="Q1661" s="199"/>
      <c r="R1661" s="199"/>
    </row>
    <row r="1662" spans="2:18">
      <c r="B1662" s="224"/>
      <c r="C1662" s="249" t="s">
        <v>402</v>
      </c>
      <c r="D1662" s="249" t="s">
        <v>1603</v>
      </c>
      <c r="E1662" s="201">
        <v>55</v>
      </c>
      <c r="F1662" s="201">
        <f>30/6</f>
        <v>5</v>
      </c>
      <c r="G1662" s="203">
        <v>44200</v>
      </c>
      <c r="M1662" s="199"/>
      <c r="N1662" s="199"/>
      <c r="O1662" s="199"/>
      <c r="P1662" s="199"/>
      <c r="Q1662" s="199"/>
      <c r="R1662" s="199"/>
    </row>
    <row r="1663" spans="2:18">
      <c r="B1663" s="224"/>
      <c r="C1663" s="249" t="s">
        <v>565</v>
      </c>
      <c r="D1663" s="249" t="s">
        <v>1603</v>
      </c>
      <c r="E1663" s="201">
        <v>91</v>
      </c>
      <c r="F1663" s="201">
        <v>8.75</v>
      </c>
      <c r="G1663" s="203">
        <v>44867</v>
      </c>
      <c r="M1663" s="199"/>
      <c r="N1663" s="199"/>
      <c r="O1663" s="199"/>
      <c r="P1663" s="199"/>
      <c r="Q1663" s="199"/>
      <c r="R1663" s="199"/>
    </row>
    <row r="1664" spans="2:18">
      <c r="B1664" s="224"/>
      <c r="C1664" s="273" t="s">
        <v>813</v>
      </c>
      <c r="D1664" s="273" t="s">
        <v>1827</v>
      </c>
      <c r="E1664" s="201">
        <v>475</v>
      </c>
      <c r="F1664" s="201">
        <f>E1664/12</f>
        <v>39.583333333333336</v>
      </c>
      <c r="G1664" s="203">
        <v>44278</v>
      </c>
      <c r="M1664" s="199"/>
      <c r="N1664" s="199"/>
      <c r="O1664" s="199"/>
      <c r="P1664" s="199"/>
      <c r="Q1664" s="199"/>
      <c r="R1664" s="199"/>
    </row>
    <row r="1665" spans="2:18">
      <c r="B1665" s="224"/>
      <c r="C1665" s="225"/>
      <c r="D1665" s="225"/>
      <c r="G1665" s="203"/>
      <c r="M1665" s="199"/>
      <c r="N1665" s="199"/>
      <c r="O1665" s="199"/>
      <c r="P1665" s="199"/>
      <c r="Q1665" s="199"/>
      <c r="R1665" s="199"/>
    </row>
    <row r="1666" spans="2:18">
      <c r="B1666" s="224" t="s">
        <v>2138</v>
      </c>
      <c r="C1666" s="225" t="s">
        <v>738</v>
      </c>
      <c r="D1666" s="225" t="s">
        <v>441</v>
      </c>
      <c r="E1666" s="201">
        <v>132</v>
      </c>
      <c r="F1666" s="201">
        <v>20</v>
      </c>
      <c r="G1666" s="203">
        <v>44215</v>
      </c>
      <c r="M1666" s="199"/>
      <c r="N1666" s="199"/>
      <c r="O1666" s="199"/>
      <c r="P1666" s="199"/>
      <c r="Q1666" s="199"/>
      <c r="R1666" s="199"/>
    </row>
    <row r="1667" spans="2:18">
      <c r="B1667" s="224"/>
      <c r="C1667" s="225" t="s">
        <v>755</v>
      </c>
      <c r="D1667" s="225" t="s">
        <v>441</v>
      </c>
      <c r="E1667" s="201">
        <v>42</v>
      </c>
      <c r="F1667" s="201">
        <f>30/5</f>
        <v>6</v>
      </c>
      <c r="G1667" s="203">
        <v>44153</v>
      </c>
      <c r="M1667" s="199"/>
      <c r="N1667" s="199"/>
      <c r="O1667" s="199"/>
      <c r="P1667" s="199"/>
      <c r="Q1667" s="199"/>
      <c r="R1667" s="199"/>
    </row>
    <row r="1668" spans="2:18">
      <c r="B1668" s="224" t="s">
        <v>2139</v>
      </c>
      <c r="C1668" s="225" t="s">
        <v>738</v>
      </c>
      <c r="D1668" s="225" t="s">
        <v>441</v>
      </c>
      <c r="E1668" s="201">
        <v>132</v>
      </c>
      <c r="F1668" s="201">
        <f>72/10</f>
        <v>7.2</v>
      </c>
      <c r="G1668" s="203">
        <v>44215</v>
      </c>
      <c r="M1668" s="199"/>
      <c r="N1668" s="199"/>
      <c r="O1668" s="199"/>
      <c r="P1668" s="199"/>
      <c r="Q1668" s="199"/>
      <c r="R1668" s="199"/>
    </row>
    <row r="1669" spans="2:18">
      <c r="B1669" s="224"/>
      <c r="C1669" s="225" t="s">
        <v>565</v>
      </c>
      <c r="D1669" s="225" t="s">
        <v>441</v>
      </c>
      <c r="E1669" s="201">
        <v>48</v>
      </c>
      <c r="F1669" s="201">
        <f>28/7</f>
        <v>4</v>
      </c>
      <c r="G1669" s="203">
        <v>43888</v>
      </c>
      <c r="M1669" s="199"/>
      <c r="N1669" s="199"/>
      <c r="O1669" s="199"/>
      <c r="P1669" s="199"/>
      <c r="Q1669" s="199"/>
      <c r="R1669" s="199"/>
    </row>
    <row r="1670" spans="2:18">
      <c r="B1670" s="224"/>
      <c r="C1670" s="225" t="s">
        <v>402</v>
      </c>
      <c r="D1670" s="225" t="s">
        <v>441</v>
      </c>
      <c r="E1670" s="201">
        <v>25</v>
      </c>
      <c r="F1670" s="201">
        <f>10/5</f>
        <v>2</v>
      </c>
      <c r="G1670" s="203">
        <v>43440</v>
      </c>
      <c r="M1670" s="199"/>
      <c r="N1670" s="199"/>
      <c r="O1670" s="199"/>
      <c r="P1670" s="199"/>
      <c r="Q1670" s="199"/>
      <c r="R1670" s="199"/>
    </row>
    <row r="1671" spans="2:18">
      <c r="C1671" s="225" t="s">
        <v>544</v>
      </c>
      <c r="D1671" s="225" t="s">
        <v>441</v>
      </c>
      <c r="E1671" s="201">
        <v>5.8</v>
      </c>
      <c r="F1671" s="201">
        <f>E1671/4</f>
        <v>1.45</v>
      </c>
      <c r="G1671" s="203">
        <v>43117</v>
      </c>
      <c r="M1671" s="199"/>
      <c r="N1671" s="199"/>
      <c r="O1671" s="199"/>
      <c r="P1671" s="199"/>
      <c r="Q1671" s="199"/>
      <c r="R1671" s="199"/>
    </row>
    <row r="1672" spans="2:18">
      <c r="C1672" s="225" t="s">
        <v>549</v>
      </c>
      <c r="D1672" s="225" t="s">
        <v>441</v>
      </c>
      <c r="E1672" s="201">
        <v>3.3</v>
      </c>
      <c r="F1672" s="201">
        <v>0.5</v>
      </c>
      <c r="G1672" s="203">
        <v>42678</v>
      </c>
      <c r="M1672" s="199"/>
      <c r="N1672" s="199"/>
      <c r="O1672" s="199"/>
      <c r="P1672" s="199"/>
      <c r="Q1672" s="199"/>
      <c r="R1672" s="199"/>
    </row>
    <row r="1673" spans="2:18">
      <c r="B1673" s="224" t="s">
        <v>2140</v>
      </c>
      <c r="C1673" s="225" t="s">
        <v>738</v>
      </c>
      <c r="D1673" s="225" t="s">
        <v>441</v>
      </c>
      <c r="E1673" s="201">
        <v>132</v>
      </c>
      <c r="F1673" s="201">
        <f>72/10</f>
        <v>7.2</v>
      </c>
      <c r="G1673" s="203">
        <v>44215</v>
      </c>
      <c r="M1673" s="199"/>
      <c r="N1673" s="199"/>
      <c r="O1673" s="199"/>
      <c r="P1673" s="199"/>
      <c r="Q1673" s="199"/>
      <c r="R1673" s="199"/>
    </row>
    <row r="1674" spans="2:18">
      <c r="B1674" s="224"/>
      <c r="C1674" s="225" t="s">
        <v>755</v>
      </c>
      <c r="D1674" s="225" t="s">
        <v>441</v>
      </c>
      <c r="E1674" s="201">
        <v>42</v>
      </c>
      <c r="F1674" s="201">
        <f>30/5</f>
        <v>6</v>
      </c>
      <c r="G1674" s="203">
        <v>44153</v>
      </c>
      <c r="M1674" s="199"/>
      <c r="N1674" s="199"/>
      <c r="O1674" s="199"/>
      <c r="P1674" s="199"/>
      <c r="Q1674" s="199"/>
      <c r="R1674" s="199"/>
    </row>
    <row r="1675" spans="2:18">
      <c r="B1675" s="224"/>
      <c r="C1675" s="225" t="s">
        <v>565</v>
      </c>
      <c r="D1675" s="225" t="s">
        <v>441</v>
      </c>
      <c r="E1675" s="201">
        <v>48</v>
      </c>
      <c r="F1675" s="201">
        <f>28/7</f>
        <v>4</v>
      </c>
      <c r="G1675" s="203">
        <v>43888</v>
      </c>
      <c r="M1675" s="199"/>
      <c r="N1675" s="199"/>
      <c r="O1675" s="199"/>
      <c r="P1675" s="199"/>
      <c r="Q1675" s="199"/>
      <c r="R1675" s="199"/>
    </row>
    <row r="1676" spans="2:18">
      <c r="B1676" s="224"/>
      <c r="C1676" s="225" t="s">
        <v>402</v>
      </c>
      <c r="D1676" s="225" t="s">
        <v>441</v>
      </c>
      <c r="E1676" s="201">
        <v>25</v>
      </c>
      <c r="F1676" s="201">
        <f>10/5</f>
        <v>2</v>
      </c>
      <c r="G1676" s="203">
        <v>43440</v>
      </c>
      <c r="M1676" s="199"/>
      <c r="N1676" s="199"/>
      <c r="O1676" s="199"/>
      <c r="P1676" s="199"/>
      <c r="Q1676" s="199"/>
      <c r="R1676" s="199"/>
    </row>
    <row r="1677" spans="2:18">
      <c r="B1677" s="224" t="s">
        <v>2141</v>
      </c>
      <c r="C1677" s="225" t="s">
        <v>738</v>
      </c>
      <c r="D1677" s="225" t="s">
        <v>441</v>
      </c>
      <c r="E1677" s="201">
        <v>132</v>
      </c>
      <c r="F1677" s="201">
        <f>72/10</f>
        <v>7.2</v>
      </c>
      <c r="G1677" s="203">
        <v>44215</v>
      </c>
      <c r="M1677" s="199"/>
      <c r="N1677" s="199"/>
      <c r="O1677" s="199"/>
      <c r="P1677" s="199"/>
      <c r="Q1677" s="199"/>
      <c r="R1677" s="199"/>
    </row>
    <row r="1678" spans="2:18">
      <c r="B1678" s="224"/>
      <c r="C1678" s="225" t="s">
        <v>755</v>
      </c>
      <c r="D1678" s="225" t="s">
        <v>441</v>
      </c>
      <c r="E1678" s="201">
        <v>42</v>
      </c>
      <c r="F1678" s="201">
        <f>30/5</f>
        <v>6</v>
      </c>
      <c r="G1678" s="203">
        <v>44153</v>
      </c>
      <c r="M1678" s="199"/>
      <c r="N1678" s="199"/>
      <c r="O1678" s="199"/>
      <c r="P1678" s="199"/>
      <c r="Q1678" s="199"/>
      <c r="R1678" s="199"/>
    </row>
    <row r="1679" spans="2:18">
      <c r="B1679" s="224" t="s">
        <v>2142</v>
      </c>
      <c r="C1679" s="225" t="s">
        <v>738</v>
      </c>
      <c r="D1679" s="225" t="s">
        <v>441</v>
      </c>
      <c r="E1679" s="201">
        <v>132</v>
      </c>
      <c r="F1679" s="201">
        <f>72/10</f>
        <v>7.2</v>
      </c>
      <c r="G1679" s="203">
        <v>44215</v>
      </c>
      <c r="M1679" s="199"/>
      <c r="N1679" s="199"/>
      <c r="O1679" s="199"/>
      <c r="P1679" s="199"/>
      <c r="Q1679" s="199"/>
      <c r="R1679" s="199"/>
    </row>
    <row r="1680" spans="2:18">
      <c r="B1680" s="224" t="s">
        <v>2143</v>
      </c>
      <c r="C1680" s="225" t="s">
        <v>738</v>
      </c>
      <c r="D1680" s="225" t="s">
        <v>441</v>
      </c>
      <c r="E1680" s="201">
        <v>132</v>
      </c>
      <c r="F1680" s="201">
        <f>72/10</f>
        <v>7.2</v>
      </c>
      <c r="G1680" s="203">
        <v>44215</v>
      </c>
      <c r="M1680" s="199"/>
      <c r="N1680" s="199"/>
      <c r="O1680" s="199"/>
      <c r="P1680" s="199"/>
      <c r="Q1680" s="199"/>
      <c r="R1680" s="199"/>
    </row>
    <row r="1681" spans="2:18">
      <c r="B1681" s="224" t="s">
        <v>2144</v>
      </c>
      <c r="C1681" s="225" t="s">
        <v>738</v>
      </c>
      <c r="D1681" s="225" t="s">
        <v>441</v>
      </c>
      <c r="E1681" s="201">
        <v>132</v>
      </c>
      <c r="F1681" s="201">
        <f>72/10</f>
        <v>7.2</v>
      </c>
      <c r="G1681" s="203">
        <v>44215</v>
      </c>
      <c r="M1681" s="199"/>
      <c r="N1681" s="199"/>
      <c r="O1681" s="199"/>
      <c r="P1681" s="199"/>
      <c r="Q1681" s="199"/>
      <c r="R1681" s="199"/>
    </row>
    <row r="1682" spans="2:18">
      <c r="B1682" s="224"/>
      <c r="C1682" s="225"/>
      <c r="D1682" s="225"/>
      <c r="G1682" s="203"/>
      <c r="M1682" s="199"/>
      <c r="N1682" s="199"/>
      <c r="O1682" s="199"/>
      <c r="P1682" s="199"/>
      <c r="Q1682" s="199"/>
      <c r="R1682" s="199"/>
    </row>
    <row r="1683" spans="2:18">
      <c r="B1683" s="224" t="s">
        <v>2145</v>
      </c>
      <c r="C1683" s="225" t="s">
        <v>738</v>
      </c>
      <c r="D1683" s="225" t="s">
        <v>441</v>
      </c>
      <c r="E1683" s="201">
        <v>132</v>
      </c>
      <c r="F1683" s="201">
        <f>72/10</f>
        <v>7.2</v>
      </c>
      <c r="G1683" s="203">
        <v>44215</v>
      </c>
      <c r="M1683" s="199"/>
      <c r="N1683" s="199"/>
      <c r="O1683" s="199"/>
      <c r="P1683" s="199"/>
      <c r="Q1683" s="199"/>
      <c r="R1683" s="199"/>
    </row>
    <row r="1684" spans="2:18">
      <c r="B1684" s="224"/>
      <c r="C1684" s="225" t="s">
        <v>565</v>
      </c>
      <c r="D1684" s="225" t="s">
        <v>441</v>
      </c>
      <c r="E1684" s="201">
        <v>48</v>
      </c>
      <c r="F1684" s="201">
        <v>4</v>
      </c>
      <c r="G1684" s="203">
        <v>43888</v>
      </c>
      <c r="M1684" s="199"/>
      <c r="N1684" s="199"/>
      <c r="O1684" s="199"/>
      <c r="P1684" s="199"/>
      <c r="Q1684" s="199"/>
      <c r="R1684" s="199"/>
    </row>
    <row r="1685" spans="2:18">
      <c r="B1685" s="224"/>
      <c r="C1685" s="225" t="s">
        <v>402</v>
      </c>
      <c r="D1685" s="225" t="s">
        <v>441</v>
      </c>
      <c r="E1685" s="201">
        <v>25</v>
      </c>
      <c r="F1685" s="201">
        <v>5</v>
      </c>
      <c r="G1685" s="203">
        <v>43440</v>
      </c>
      <c r="M1685" s="199"/>
      <c r="N1685" s="199"/>
      <c r="O1685" s="199"/>
      <c r="P1685" s="199"/>
      <c r="Q1685" s="199"/>
      <c r="R1685" s="199"/>
    </row>
    <row r="1686" spans="2:18">
      <c r="B1686" s="224"/>
      <c r="C1686" s="273" t="s">
        <v>544</v>
      </c>
      <c r="D1686" s="273" t="s">
        <v>1803</v>
      </c>
      <c r="E1686" s="201">
        <v>3.5</v>
      </c>
      <c r="F1686" s="201">
        <f>+E1686/9</f>
        <v>0.3888888888888889</v>
      </c>
      <c r="G1686" s="203">
        <v>42979</v>
      </c>
      <c r="M1686" s="199"/>
      <c r="N1686" s="199"/>
      <c r="O1686" s="199"/>
      <c r="P1686" s="199"/>
      <c r="Q1686" s="199"/>
      <c r="R1686" s="199"/>
    </row>
    <row r="1687" spans="2:18">
      <c r="B1687" s="224"/>
      <c r="C1687" s="273" t="s">
        <v>755</v>
      </c>
      <c r="D1687" s="273" t="s">
        <v>1827</v>
      </c>
      <c r="E1687" s="201">
        <v>130</v>
      </c>
      <c r="F1687" s="201">
        <v>12</v>
      </c>
      <c r="G1687" s="203">
        <v>42080</v>
      </c>
      <c r="M1687" s="199"/>
      <c r="N1687" s="199"/>
      <c r="O1687" s="199"/>
      <c r="P1687" s="199"/>
      <c r="Q1687" s="199"/>
      <c r="R1687" s="199"/>
    </row>
    <row r="1688" spans="2:18">
      <c r="B1688" s="224"/>
      <c r="C1688" s="273" t="s">
        <v>544</v>
      </c>
      <c r="D1688" s="273" t="s">
        <v>1827</v>
      </c>
      <c r="E1688" s="201">
        <v>1.1000000000000001</v>
      </c>
      <c r="F1688" s="201">
        <v>1.1000000000000001</v>
      </c>
      <c r="G1688" s="203">
        <v>40750</v>
      </c>
      <c r="M1688" s="199"/>
      <c r="N1688" s="199"/>
      <c r="O1688" s="199"/>
      <c r="P1688" s="199"/>
      <c r="Q1688" s="199"/>
      <c r="R1688" s="199"/>
    </row>
    <row r="1689" spans="2:18">
      <c r="B1689" s="224"/>
      <c r="C1689" s="225"/>
      <c r="D1689" s="225"/>
      <c r="G1689" s="203"/>
      <c r="M1689" s="199"/>
      <c r="N1689" s="199"/>
      <c r="O1689" s="199"/>
      <c r="P1689" s="199"/>
      <c r="Q1689" s="199"/>
      <c r="R1689" s="199"/>
    </row>
    <row r="1690" spans="2:18">
      <c r="B1690" s="224" t="s">
        <v>2146</v>
      </c>
      <c r="C1690" s="225" t="s">
        <v>738</v>
      </c>
      <c r="D1690" s="225" t="s">
        <v>441</v>
      </c>
      <c r="E1690" s="201">
        <v>132</v>
      </c>
      <c r="F1690" s="201">
        <f>72/10</f>
        <v>7.2</v>
      </c>
      <c r="G1690" s="203">
        <v>44215</v>
      </c>
      <c r="M1690" s="199"/>
      <c r="N1690" s="199"/>
      <c r="O1690" s="199"/>
      <c r="P1690" s="199"/>
      <c r="Q1690" s="199"/>
      <c r="R1690" s="199"/>
    </row>
    <row r="1691" spans="2:18">
      <c r="B1691" s="224" t="s">
        <v>2147</v>
      </c>
      <c r="C1691" s="225" t="s">
        <v>738</v>
      </c>
      <c r="D1691" s="225" t="s">
        <v>441</v>
      </c>
      <c r="E1691" s="201">
        <v>132</v>
      </c>
      <c r="F1691" s="201">
        <f>72/10</f>
        <v>7.2</v>
      </c>
      <c r="G1691" s="203">
        <v>44215</v>
      </c>
      <c r="M1691" s="199"/>
      <c r="N1691" s="199"/>
      <c r="O1691" s="199"/>
      <c r="P1691" s="199"/>
      <c r="Q1691" s="199"/>
      <c r="R1691" s="199"/>
    </row>
    <row r="1692" spans="2:18">
      <c r="B1692" s="224"/>
      <c r="C1692" s="225" t="s">
        <v>755</v>
      </c>
      <c r="D1692" s="225" t="s">
        <v>441</v>
      </c>
      <c r="E1692" s="201">
        <v>42</v>
      </c>
      <c r="F1692" s="201">
        <f>30/5</f>
        <v>6</v>
      </c>
      <c r="G1692" s="203">
        <v>44153</v>
      </c>
      <c r="M1692" s="199"/>
      <c r="N1692" s="199"/>
      <c r="O1692" s="199"/>
      <c r="P1692" s="199"/>
      <c r="Q1692" s="199"/>
      <c r="R1692" s="199"/>
    </row>
    <row r="1693" spans="2:18">
      <c r="B1693" s="224" t="s">
        <v>2148</v>
      </c>
      <c r="C1693" s="225" t="s">
        <v>738</v>
      </c>
      <c r="D1693" s="225" t="s">
        <v>441</v>
      </c>
      <c r="E1693" s="201">
        <v>132</v>
      </c>
      <c r="F1693" s="201">
        <f>72/10</f>
        <v>7.2</v>
      </c>
      <c r="G1693" s="203">
        <v>44215</v>
      </c>
      <c r="M1693" s="199"/>
      <c r="N1693" s="199"/>
      <c r="O1693" s="199"/>
      <c r="P1693" s="199"/>
      <c r="Q1693" s="199"/>
      <c r="R1693" s="199"/>
    </row>
    <row r="1694" spans="2:18">
      <c r="C1694" s="225" t="s">
        <v>755</v>
      </c>
      <c r="D1694" s="225" t="s">
        <v>441</v>
      </c>
      <c r="E1694" s="201">
        <v>42</v>
      </c>
      <c r="F1694" s="201">
        <f>30/5</f>
        <v>6</v>
      </c>
      <c r="G1694" s="203">
        <v>44153</v>
      </c>
      <c r="M1694" s="199"/>
      <c r="N1694" s="199"/>
      <c r="O1694" s="199"/>
      <c r="P1694" s="199"/>
      <c r="Q1694" s="199"/>
      <c r="R1694" s="199"/>
    </row>
    <row r="1695" spans="2:18">
      <c r="C1695" s="225" t="s">
        <v>565</v>
      </c>
      <c r="D1695" s="225" t="s">
        <v>441</v>
      </c>
      <c r="E1695" s="201">
        <v>48</v>
      </c>
      <c r="F1695" s="201">
        <v>10</v>
      </c>
      <c r="G1695" s="203">
        <v>43888</v>
      </c>
      <c r="M1695" s="199"/>
      <c r="N1695" s="199"/>
      <c r="O1695" s="199"/>
      <c r="P1695" s="199"/>
      <c r="Q1695" s="199"/>
      <c r="R1695" s="199"/>
    </row>
    <row r="1696" spans="2:18">
      <c r="C1696" s="225" t="s">
        <v>402</v>
      </c>
      <c r="D1696" s="225" t="s">
        <v>441</v>
      </c>
      <c r="E1696" s="201">
        <v>25</v>
      </c>
      <c r="F1696" s="201">
        <v>5</v>
      </c>
      <c r="G1696" s="203">
        <v>43440</v>
      </c>
      <c r="M1696" s="199"/>
      <c r="N1696" s="199"/>
      <c r="O1696" s="199"/>
      <c r="P1696" s="199"/>
      <c r="Q1696" s="199"/>
      <c r="R1696" s="199"/>
    </row>
    <row r="1697" spans="2:18">
      <c r="C1697" s="225"/>
      <c r="D1697" s="225"/>
      <c r="G1697" s="203"/>
      <c r="M1697" s="199"/>
      <c r="N1697" s="199"/>
      <c r="O1697" s="199"/>
      <c r="P1697" s="199"/>
      <c r="Q1697" s="199"/>
      <c r="R1697" s="199"/>
    </row>
    <row r="1698" spans="2:18">
      <c r="B1698" s="224" t="s">
        <v>2150</v>
      </c>
      <c r="C1698" s="225" t="s">
        <v>565</v>
      </c>
      <c r="D1698" s="225" t="s">
        <v>441</v>
      </c>
      <c r="E1698" s="201">
        <v>48</v>
      </c>
      <c r="F1698" s="201">
        <v>4</v>
      </c>
      <c r="G1698" s="203">
        <v>43888</v>
      </c>
      <c r="M1698" s="199"/>
      <c r="N1698" s="199"/>
      <c r="O1698" s="199"/>
      <c r="P1698" s="199"/>
      <c r="Q1698" s="199"/>
      <c r="R1698" s="199"/>
    </row>
    <row r="1699" spans="2:18">
      <c r="B1699" s="224"/>
      <c r="C1699" s="225" t="s">
        <v>565</v>
      </c>
      <c r="D1699" s="225" t="s">
        <v>441</v>
      </c>
      <c r="E1699" s="201">
        <v>12</v>
      </c>
      <c r="F1699" s="201">
        <v>12</v>
      </c>
      <c r="G1699" s="203">
        <v>43648</v>
      </c>
      <c r="M1699" s="199"/>
      <c r="N1699" s="199"/>
      <c r="O1699" s="199"/>
      <c r="P1699" s="199"/>
      <c r="Q1699" s="199"/>
      <c r="R1699" s="199"/>
    </row>
    <row r="1700" spans="2:18">
      <c r="B1700" s="224" t="s">
        <v>2151</v>
      </c>
      <c r="C1700" s="225" t="s">
        <v>565</v>
      </c>
      <c r="D1700" s="225" t="s">
        <v>441</v>
      </c>
      <c r="E1700" s="201">
        <v>48</v>
      </c>
      <c r="F1700" s="201">
        <v>4</v>
      </c>
      <c r="G1700" s="203">
        <v>43888</v>
      </c>
      <c r="M1700" s="199"/>
      <c r="N1700" s="199"/>
      <c r="O1700" s="199"/>
      <c r="P1700" s="199"/>
      <c r="Q1700" s="199"/>
      <c r="R1700" s="199"/>
    </row>
    <row r="1701" spans="2:18">
      <c r="B1701" s="224"/>
      <c r="C1701" s="225"/>
      <c r="D1701" s="225"/>
      <c r="G1701" s="203"/>
      <c r="M1701" s="199"/>
      <c r="N1701" s="199"/>
      <c r="O1701" s="199"/>
      <c r="P1701" s="199"/>
      <c r="Q1701" s="199"/>
      <c r="R1701" s="199"/>
    </row>
    <row r="1702" spans="2:18">
      <c r="B1702" s="224" t="s">
        <v>2163</v>
      </c>
      <c r="C1702" s="225" t="s">
        <v>565</v>
      </c>
      <c r="D1702" s="225" t="s">
        <v>442</v>
      </c>
      <c r="E1702" s="201">
        <v>125</v>
      </c>
      <c r="F1702" s="201">
        <f>75/8</f>
        <v>9.375</v>
      </c>
      <c r="G1702" s="203">
        <v>44663</v>
      </c>
      <c r="M1702" s="199"/>
      <c r="N1702" s="199"/>
      <c r="O1702" s="199"/>
      <c r="P1702" s="199"/>
      <c r="Q1702" s="199"/>
      <c r="R1702" s="199"/>
    </row>
    <row r="1703" spans="2:18">
      <c r="B1703" s="224"/>
      <c r="C1703" s="225" t="s">
        <v>544</v>
      </c>
      <c r="D1703" s="225" t="s">
        <v>442</v>
      </c>
      <c r="E1703" s="201">
        <v>26</v>
      </c>
      <c r="F1703" s="201">
        <f>16/4</f>
        <v>4</v>
      </c>
      <c r="G1703" s="203">
        <v>43809</v>
      </c>
      <c r="M1703" s="199"/>
      <c r="N1703" s="199"/>
      <c r="O1703" s="199"/>
      <c r="P1703" s="199"/>
      <c r="Q1703" s="199"/>
      <c r="R1703" s="199"/>
    </row>
    <row r="1704" spans="2:18">
      <c r="B1704" s="224"/>
      <c r="C1704" s="225"/>
      <c r="D1704" s="225"/>
      <c r="G1704" s="203"/>
      <c r="M1704" s="199"/>
      <c r="N1704" s="199"/>
      <c r="O1704" s="199"/>
      <c r="P1704" s="199"/>
      <c r="Q1704" s="199"/>
      <c r="R1704" s="199"/>
    </row>
    <row r="1705" spans="2:18">
      <c r="B1705" s="224" t="s">
        <v>2164</v>
      </c>
      <c r="C1705" s="225" t="s">
        <v>565</v>
      </c>
      <c r="D1705" s="225" t="s">
        <v>442</v>
      </c>
      <c r="E1705" s="201">
        <v>125</v>
      </c>
      <c r="F1705" s="201">
        <f>75/8</f>
        <v>9.375</v>
      </c>
      <c r="G1705" s="203">
        <v>44663</v>
      </c>
      <c r="M1705" s="199"/>
      <c r="N1705" s="199"/>
      <c r="O1705" s="199"/>
      <c r="P1705" s="199"/>
      <c r="Q1705" s="199"/>
      <c r="R1705" s="199"/>
    </row>
    <row r="1706" spans="2:18">
      <c r="B1706" s="224"/>
      <c r="C1706" s="225" t="s">
        <v>402</v>
      </c>
      <c r="D1706" s="225" t="s">
        <v>442</v>
      </c>
      <c r="E1706" s="201">
        <v>54</v>
      </c>
      <c r="F1706" s="201">
        <f>40/5</f>
        <v>8</v>
      </c>
      <c r="G1706" s="203">
        <v>44089</v>
      </c>
      <c r="M1706" s="199"/>
      <c r="N1706" s="199"/>
      <c r="O1706" s="199"/>
      <c r="P1706" s="199"/>
      <c r="Q1706" s="199"/>
      <c r="R1706" s="199"/>
    </row>
    <row r="1707" spans="2:18">
      <c r="B1707" s="224" t="s">
        <v>2165</v>
      </c>
      <c r="C1707" s="225" t="s">
        <v>565</v>
      </c>
      <c r="D1707" s="225" t="s">
        <v>442</v>
      </c>
      <c r="E1707" s="201">
        <v>125</v>
      </c>
      <c r="F1707" s="201">
        <f>75/8</f>
        <v>9.375</v>
      </c>
      <c r="G1707" s="203">
        <v>44663</v>
      </c>
      <c r="M1707" s="199"/>
      <c r="N1707" s="199"/>
      <c r="O1707" s="199"/>
      <c r="P1707" s="199"/>
      <c r="Q1707" s="199"/>
      <c r="R1707" s="199"/>
    </row>
    <row r="1708" spans="2:18">
      <c r="C1708" s="225" t="s">
        <v>402</v>
      </c>
      <c r="D1708" s="225" t="s">
        <v>442</v>
      </c>
      <c r="E1708" s="201">
        <v>54</v>
      </c>
      <c r="F1708" s="201">
        <f>40/5</f>
        <v>8</v>
      </c>
      <c r="G1708" s="203">
        <v>44089</v>
      </c>
      <c r="M1708" s="199"/>
      <c r="N1708" s="199"/>
      <c r="O1708" s="199"/>
      <c r="P1708" s="199"/>
      <c r="Q1708" s="199"/>
      <c r="R1708" s="199"/>
    </row>
    <row r="1709" spans="2:18">
      <c r="C1709" s="225"/>
      <c r="D1709" s="225"/>
      <c r="G1709" s="203"/>
      <c r="M1709" s="199"/>
      <c r="N1709" s="199"/>
      <c r="O1709" s="199"/>
      <c r="P1709" s="199"/>
      <c r="Q1709" s="199"/>
      <c r="R1709" s="199"/>
    </row>
    <row r="1710" spans="2:18">
      <c r="B1710" s="224" t="s">
        <v>2169</v>
      </c>
      <c r="C1710" s="225" t="s">
        <v>544</v>
      </c>
      <c r="D1710" s="225" t="s">
        <v>442</v>
      </c>
      <c r="E1710" s="201">
        <v>26</v>
      </c>
      <c r="F1710" s="201">
        <v>4</v>
      </c>
      <c r="G1710" s="203">
        <v>43809</v>
      </c>
      <c r="M1710" s="199"/>
      <c r="N1710" s="199"/>
      <c r="O1710" s="199"/>
      <c r="P1710" s="199"/>
      <c r="Q1710" s="199"/>
      <c r="R1710" s="199"/>
    </row>
    <row r="1711" spans="2:18">
      <c r="B1711" s="224" t="s">
        <v>2171</v>
      </c>
      <c r="C1711" s="225" t="s">
        <v>544</v>
      </c>
      <c r="D1711" s="225" t="s">
        <v>442</v>
      </c>
      <c r="E1711" s="201">
        <v>8</v>
      </c>
      <c r="F1711" s="201">
        <v>1</v>
      </c>
      <c r="G1711" s="203">
        <v>43249</v>
      </c>
      <c r="M1711" s="199"/>
      <c r="N1711" s="199"/>
      <c r="O1711" s="199"/>
      <c r="P1711" s="199"/>
      <c r="Q1711" s="199"/>
      <c r="R1711" s="199"/>
    </row>
    <row r="1712" spans="2:18">
      <c r="B1712" s="224" t="s">
        <v>2172</v>
      </c>
      <c r="C1712" s="225" t="s">
        <v>544</v>
      </c>
      <c r="D1712" s="225" t="s">
        <v>442</v>
      </c>
      <c r="E1712" s="201">
        <v>8</v>
      </c>
      <c r="F1712" s="201">
        <v>1</v>
      </c>
      <c r="G1712" s="203">
        <v>43249</v>
      </c>
      <c r="M1712" s="199"/>
      <c r="N1712" s="199"/>
      <c r="O1712" s="199"/>
      <c r="P1712" s="199"/>
      <c r="Q1712" s="199"/>
      <c r="R1712" s="199"/>
    </row>
    <row r="1713" spans="2:18">
      <c r="B1713" s="224" t="s">
        <v>2184</v>
      </c>
      <c r="C1713" s="225" t="s">
        <v>549</v>
      </c>
      <c r="D1713" s="225" t="s">
        <v>586</v>
      </c>
      <c r="E1713" s="201">
        <v>6</v>
      </c>
      <c r="F1713" s="201">
        <v>1</v>
      </c>
      <c r="G1713" s="203">
        <v>44781</v>
      </c>
      <c r="M1713" s="199"/>
      <c r="N1713" s="199"/>
      <c r="O1713" s="199"/>
      <c r="P1713" s="199"/>
      <c r="Q1713" s="199"/>
      <c r="R1713" s="199"/>
    </row>
    <row r="1714" spans="2:18">
      <c r="B1714" s="224" t="s">
        <v>2186</v>
      </c>
      <c r="C1714" s="225" t="s">
        <v>669</v>
      </c>
      <c r="D1714" s="225" t="s">
        <v>586</v>
      </c>
      <c r="E1714" s="201">
        <v>1</v>
      </c>
      <c r="F1714" s="201">
        <v>0.5</v>
      </c>
      <c r="G1714" s="203">
        <v>44415</v>
      </c>
      <c r="M1714" s="199"/>
      <c r="N1714" s="199"/>
      <c r="O1714" s="199"/>
      <c r="P1714" s="199"/>
      <c r="Q1714" s="199"/>
      <c r="R1714" s="199"/>
    </row>
    <row r="1715" spans="2:18">
      <c r="B1715" s="224" t="s">
        <v>2198</v>
      </c>
      <c r="C1715" s="225" t="s">
        <v>549</v>
      </c>
      <c r="D1715" s="225" t="s">
        <v>591</v>
      </c>
      <c r="E1715" s="201">
        <v>6.8</v>
      </c>
      <c r="F1715" s="201">
        <v>3.8</v>
      </c>
      <c r="G1715" s="203">
        <v>44964</v>
      </c>
      <c r="M1715" s="199"/>
      <c r="N1715" s="199"/>
      <c r="O1715" s="199"/>
      <c r="P1715" s="199"/>
      <c r="Q1715" s="199"/>
      <c r="R1715" s="199"/>
    </row>
    <row r="1716" spans="2:18">
      <c r="B1716" s="224"/>
      <c r="C1716" s="225" t="s">
        <v>549</v>
      </c>
      <c r="D1716" s="225" t="s">
        <v>591</v>
      </c>
      <c r="E1716" s="201">
        <v>1.6</v>
      </c>
      <c r="F1716" s="201">
        <v>0.6</v>
      </c>
      <c r="G1716" s="203">
        <v>44197</v>
      </c>
      <c r="M1716" s="199"/>
      <c r="N1716" s="199"/>
      <c r="O1716" s="199"/>
      <c r="P1716" s="199"/>
      <c r="Q1716" s="199"/>
      <c r="R1716" s="199"/>
    </row>
    <row r="1717" spans="2:18">
      <c r="B1717" s="224" t="s">
        <v>2199</v>
      </c>
      <c r="C1717" s="225" t="s">
        <v>549</v>
      </c>
      <c r="D1717" s="225" t="s">
        <v>591</v>
      </c>
      <c r="E1717" s="201">
        <v>6.8</v>
      </c>
      <c r="F1717" s="201">
        <v>1.5</v>
      </c>
      <c r="G1717" s="203">
        <v>44964</v>
      </c>
      <c r="M1717" s="199"/>
      <c r="N1717" s="199"/>
      <c r="O1717" s="199"/>
      <c r="P1717" s="199"/>
      <c r="Q1717" s="199"/>
      <c r="R1717" s="199"/>
    </row>
    <row r="1718" spans="2:18">
      <c r="B1718" s="224" t="s">
        <v>2204</v>
      </c>
      <c r="C1718" s="225" t="s">
        <v>549</v>
      </c>
      <c r="D1718" s="225" t="s">
        <v>592</v>
      </c>
      <c r="E1718" s="201">
        <v>6</v>
      </c>
      <c r="F1718" s="201">
        <v>6</v>
      </c>
      <c r="G1718" s="203">
        <v>44852</v>
      </c>
      <c r="M1718" s="199"/>
      <c r="N1718" s="199"/>
      <c r="O1718" s="199"/>
      <c r="P1718" s="199"/>
      <c r="Q1718" s="199"/>
      <c r="R1718" s="199"/>
    </row>
    <row r="1719" spans="2:18">
      <c r="B1719" s="224" t="s">
        <v>2228</v>
      </c>
      <c r="C1719" s="225" t="s">
        <v>544</v>
      </c>
      <c r="D1719" s="225" t="s">
        <v>593</v>
      </c>
      <c r="E1719" s="201">
        <v>20</v>
      </c>
      <c r="F1719" s="201">
        <v>5</v>
      </c>
      <c r="G1719" s="203">
        <v>44801</v>
      </c>
      <c r="M1719" s="199"/>
      <c r="N1719" s="199"/>
      <c r="O1719" s="199"/>
      <c r="P1719" s="199"/>
      <c r="Q1719" s="199"/>
      <c r="R1719" s="199"/>
    </row>
    <row r="1720" spans="2:18">
      <c r="B1720" s="224" t="s">
        <v>2229</v>
      </c>
      <c r="C1720" s="225" t="s">
        <v>544</v>
      </c>
      <c r="D1720" s="225" t="s">
        <v>593</v>
      </c>
      <c r="E1720" s="201">
        <v>20</v>
      </c>
      <c r="F1720" s="201">
        <f>15/6</f>
        <v>2.5</v>
      </c>
      <c r="G1720" s="203">
        <v>44801</v>
      </c>
      <c r="M1720" s="199"/>
      <c r="N1720" s="199"/>
      <c r="O1720" s="199"/>
      <c r="P1720" s="199"/>
      <c r="Q1720" s="199"/>
      <c r="R1720" s="199"/>
    </row>
    <row r="1721" spans="2:18">
      <c r="B1721" s="224" t="s">
        <v>2230</v>
      </c>
      <c r="C1721" s="225" t="s">
        <v>544</v>
      </c>
      <c r="D1721" s="225" t="s">
        <v>593</v>
      </c>
      <c r="E1721" s="201">
        <v>20</v>
      </c>
      <c r="F1721" s="201">
        <f>15/6</f>
        <v>2.5</v>
      </c>
      <c r="G1721" s="203">
        <v>44801</v>
      </c>
      <c r="M1721" s="199"/>
      <c r="N1721" s="199"/>
      <c r="O1721" s="199"/>
      <c r="P1721" s="199"/>
      <c r="Q1721" s="199"/>
      <c r="R1721" s="199"/>
    </row>
    <row r="1722" spans="2:18">
      <c r="B1722" s="224" t="s">
        <v>124</v>
      </c>
      <c r="C1722" s="225" t="s">
        <v>544</v>
      </c>
      <c r="D1722" s="225" t="s">
        <v>593</v>
      </c>
      <c r="E1722" s="201">
        <v>20</v>
      </c>
      <c r="F1722" s="201">
        <f>15/6</f>
        <v>2.5</v>
      </c>
      <c r="G1722" s="203">
        <v>44801</v>
      </c>
      <c r="M1722" s="199"/>
      <c r="N1722" s="199"/>
      <c r="O1722" s="199"/>
      <c r="P1722" s="199"/>
      <c r="Q1722" s="199"/>
      <c r="R1722" s="199"/>
    </row>
    <row r="1723" spans="2:18">
      <c r="B1723" s="224" t="s">
        <v>2231</v>
      </c>
      <c r="C1723" s="225" t="s">
        <v>544</v>
      </c>
      <c r="D1723" s="225" t="s">
        <v>593</v>
      </c>
      <c r="E1723" s="201">
        <v>20</v>
      </c>
      <c r="F1723" s="201">
        <f>15/6</f>
        <v>2.5</v>
      </c>
      <c r="G1723" s="203">
        <v>44801</v>
      </c>
      <c r="M1723" s="199"/>
      <c r="N1723" s="199"/>
      <c r="O1723" s="199"/>
      <c r="P1723" s="199"/>
      <c r="Q1723" s="199"/>
      <c r="R1723" s="199"/>
    </row>
    <row r="1724" spans="2:18">
      <c r="B1724" s="224" t="s">
        <v>2232</v>
      </c>
      <c r="C1724" s="225" t="s">
        <v>544</v>
      </c>
      <c r="D1724" s="225" t="s">
        <v>593</v>
      </c>
      <c r="E1724" s="201">
        <v>20</v>
      </c>
      <c r="F1724" s="201">
        <f>15/6</f>
        <v>2.5</v>
      </c>
      <c r="G1724" s="203">
        <v>44801</v>
      </c>
      <c r="M1724" s="199"/>
      <c r="N1724" s="199"/>
      <c r="O1724" s="199"/>
      <c r="P1724" s="199"/>
      <c r="Q1724" s="199"/>
      <c r="R1724" s="199"/>
    </row>
    <row r="1725" spans="2:18">
      <c r="B1725" s="224" t="s">
        <v>2241</v>
      </c>
      <c r="C1725" s="225" t="s">
        <v>669</v>
      </c>
      <c r="D1725" s="225" t="s">
        <v>594</v>
      </c>
      <c r="E1725" s="201">
        <v>2</v>
      </c>
      <c r="F1725" s="201">
        <v>1</v>
      </c>
      <c r="G1725" s="203">
        <v>44223</v>
      </c>
      <c r="M1725" s="199"/>
      <c r="N1725" s="199"/>
      <c r="O1725" s="199"/>
      <c r="P1725" s="199"/>
      <c r="Q1725" s="199"/>
      <c r="R1725" s="199"/>
    </row>
    <row r="1726" spans="2:18">
      <c r="B1726" s="224" t="s">
        <v>2245</v>
      </c>
      <c r="C1726" s="225" t="s">
        <v>549</v>
      </c>
      <c r="D1726" s="225" t="s">
        <v>595</v>
      </c>
      <c r="E1726" s="201">
        <v>8</v>
      </c>
      <c r="F1726" s="201">
        <v>8</v>
      </c>
      <c r="G1726" s="203">
        <v>44711</v>
      </c>
      <c r="M1726" s="199"/>
      <c r="N1726" s="199"/>
      <c r="O1726" s="199"/>
      <c r="P1726" s="199"/>
      <c r="Q1726" s="199"/>
      <c r="R1726" s="199"/>
    </row>
    <row r="1727" spans="2:18">
      <c r="B1727" s="224" t="s">
        <v>2250</v>
      </c>
      <c r="C1727" s="225" t="s">
        <v>549</v>
      </c>
      <c r="D1727" s="225" t="s">
        <v>596</v>
      </c>
      <c r="E1727" s="201">
        <v>10</v>
      </c>
      <c r="F1727" s="201">
        <v>1</v>
      </c>
      <c r="G1727" s="203">
        <v>44887</v>
      </c>
      <c r="M1727" s="199"/>
      <c r="N1727" s="199"/>
      <c r="O1727" s="199"/>
      <c r="P1727" s="199"/>
      <c r="Q1727" s="199"/>
      <c r="R1727" s="199"/>
    </row>
    <row r="1728" spans="2:18">
      <c r="B1728" s="224" t="s">
        <v>2251</v>
      </c>
      <c r="C1728" s="225" t="s">
        <v>549</v>
      </c>
      <c r="D1728" s="225" t="s">
        <v>596</v>
      </c>
      <c r="E1728" s="201">
        <v>10</v>
      </c>
      <c r="F1728" s="201">
        <v>1</v>
      </c>
      <c r="G1728" s="203">
        <v>44887</v>
      </c>
      <c r="M1728" s="199"/>
      <c r="N1728" s="199"/>
      <c r="O1728" s="199"/>
      <c r="P1728" s="199"/>
      <c r="Q1728" s="199"/>
      <c r="R1728" s="199"/>
    </row>
    <row r="1729" spans="2:18">
      <c r="B1729" s="224"/>
      <c r="C1729" s="225"/>
      <c r="D1729" s="225"/>
      <c r="G1729" s="203"/>
      <c r="M1729" s="199"/>
      <c r="N1729" s="199"/>
      <c r="O1729" s="199"/>
      <c r="P1729" s="199"/>
      <c r="Q1729" s="199"/>
      <c r="R1729" s="199"/>
    </row>
    <row r="1730" spans="2:18">
      <c r="B1730" s="224" t="s">
        <v>2252</v>
      </c>
      <c r="C1730" s="225" t="s">
        <v>549</v>
      </c>
      <c r="D1730" s="225" t="s">
        <v>596</v>
      </c>
      <c r="E1730" s="201">
        <v>10</v>
      </c>
      <c r="F1730" s="201">
        <v>1</v>
      </c>
      <c r="G1730" s="203">
        <v>44887</v>
      </c>
      <c r="M1730" s="199"/>
      <c r="N1730" s="199"/>
      <c r="O1730" s="199"/>
      <c r="P1730" s="199"/>
      <c r="Q1730" s="199"/>
      <c r="R1730" s="199"/>
    </row>
    <row r="1731" spans="2:18">
      <c r="B1731" s="224"/>
      <c r="C1731" s="225" t="s">
        <v>549</v>
      </c>
      <c r="D1731" s="225" t="s">
        <v>576</v>
      </c>
      <c r="E1731" s="201">
        <v>3</v>
      </c>
      <c r="F1731" s="201">
        <v>0.5</v>
      </c>
      <c r="G1731" s="203">
        <v>45037</v>
      </c>
      <c r="M1731" s="199"/>
      <c r="N1731" s="199"/>
      <c r="O1731" s="199"/>
      <c r="P1731" s="199"/>
      <c r="Q1731" s="199"/>
      <c r="R1731" s="199"/>
    </row>
    <row r="1732" spans="2:18">
      <c r="B1732" s="224"/>
      <c r="C1732" s="225"/>
      <c r="D1732" s="225"/>
      <c r="G1732" s="203"/>
      <c r="M1732" s="199"/>
      <c r="N1732" s="199"/>
      <c r="O1732" s="199"/>
      <c r="P1732" s="199"/>
      <c r="Q1732" s="199"/>
      <c r="R1732" s="199"/>
    </row>
    <row r="1733" spans="2:18">
      <c r="B1733" s="224" t="s">
        <v>2253</v>
      </c>
      <c r="C1733" s="225" t="s">
        <v>549</v>
      </c>
      <c r="D1733" s="225" t="s">
        <v>596</v>
      </c>
      <c r="E1733" s="201">
        <v>10</v>
      </c>
      <c r="F1733" s="201">
        <v>1</v>
      </c>
      <c r="G1733" s="203">
        <v>44887</v>
      </c>
      <c r="M1733" s="199"/>
      <c r="N1733" s="199"/>
      <c r="O1733" s="199"/>
      <c r="P1733" s="199"/>
      <c r="Q1733" s="199"/>
      <c r="R1733" s="199"/>
    </row>
    <row r="1734" spans="2:18">
      <c r="B1734" s="224" t="s">
        <v>2254</v>
      </c>
      <c r="C1734" s="225" t="s">
        <v>549</v>
      </c>
      <c r="D1734" s="225" t="s">
        <v>596</v>
      </c>
      <c r="E1734" s="201">
        <v>10</v>
      </c>
      <c r="F1734" s="201">
        <v>1</v>
      </c>
      <c r="G1734" s="203">
        <v>44887</v>
      </c>
      <c r="M1734" s="199"/>
      <c r="N1734" s="199"/>
      <c r="O1734" s="199"/>
      <c r="P1734" s="199"/>
      <c r="Q1734" s="199"/>
      <c r="R1734" s="199"/>
    </row>
    <row r="1735" spans="2:18">
      <c r="B1735" s="224" t="s">
        <v>2255</v>
      </c>
      <c r="C1735" s="225" t="s">
        <v>549</v>
      </c>
      <c r="D1735" s="225" t="s">
        <v>596</v>
      </c>
      <c r="E1735" s="201">
        <v>10</v>
      </c>
      <c r="F1735" s="201">
        <v>1</v>
      </c>
      <c r="G1735" s="203">
        <v>44887</v>
      </c>
      <c r="M1735" s="199"/>
      <c r="N1735" s="199"/>
      <c r="O1735" s="199"/>
      <c r="P1735" s="199"/>
      <c r="Q1735" s="199"/>
      <c r="R1735" s="199"/>
    </row>
    <row r="1736" spans="2:18">
      <c r="B1736" s="224" t="s">
        <v>2260</v>
      </c>
      <c r="C1736" s="225" t="s">
        <v>549</v>
      </c>
      <c r="D1736" s="225" t="s">
        <v>597</v>
      </c>
      <c r="E1736" s="201">
        <v>9</v>
      </c>
      <c r="F1736" s="201">
        <v>2</v>
      </c>
      <c r="G1736" s="203">
        <v>44859</v>
      </c>
      <c r="M1736" s="199"/>
      <c r="N1736" s="199"/>
      <c r="O1736" s="199"/>
      <c r="P1736" s="199"/>
      <c r="Q1736" s="199"/>
      <c r="R1736" s="199"/>
    </row>
    <row r="1737" spans="2:18">
      <c r="B1737" s="224" t="s">
        <v>2261</v>
      </c>
      <c r="C1737" s="225" t="s">
        <v>549</v>
      </c>
      <c r="D1737" s="225" t="s">
        <v>597</v>
      </c>
      <c r="E1737" s="201">
        <v>9</v>
      </c>
      <c r="F1737" s="201">
        <f>5/6</f>
        <v>0.83333333333333337</v>
      </c>
      <c r="G1737" s="203">
        <v>44859</v>
      </c>
      <c r="M1737" s="199"/>
      <c r="N1737" s="199"/>
      <c r="O1737" s="199"/>
      <c r="P1737" s="199"/>
      <c r="Q1737" s="199"/>
      <c r="R1737" s="199"/>
    </row>
    <row r="1738" spans="2:18">
      <c r="B1738" s="224" t="s">
        <v>2262</v>
      </c>
      <c r="C1738" s="225" t="s">
        <v>549</v>
      </c>
      <c r="D1738" s="225" t="s">
        <v>597</v>
      </c>
      <c r="E1738" s="201">
        <v>9</v>
      </c>
      <c r="F1738" s="201">
        <f t="shared" ref="F1738:F1742" si="12">5/6</f>
        <v>0.83333333333333337</v>
      </c>
      <c r="G1738" s="203">
        <v>44859</v>
      </c>
      <c r="M1738" s="199"/>
      <c r="N1738" s="199"/>
      <c r="O1738" s="199"/>
      <c r="P1738" s="199"/>
      <c r="Q1738" s="199"/>
      <c r="R1738" s="199"/>
    </row>
    <row r="1739" spans="2:18">
      <c r="B1739" s="224" t="s">
        <v>2263</v>
      </c>
      <c r="C1739" s="225" t="s">
        <v>549</v>
      </c>
      <c r="D1739" s="225" t="s">
        <v>597</v>
      </c>
      <c r="E1739" s="201">
        <v>9</v>
      </c>
      <c r="F1739" s="201">
        <f t="shared" si="12"/>
        <v>0.83333333333333337</v>
      </c>
      <c r="G1739" s="203">
        <v>44859</v>
      </c>
      <c r="M1739" s="199"/>
      <c r="N1739" s="199"/>
      <c r="O1739" s="199"/>
      <c r="P1739" s="199"/>
      <c r="Q1739" s="199"/>
      <c r="R1739" s="199"/>
    </row>
    <row r="1740" spans="2:18">
      <c r="B1740" s="224" t="s">
        <v>2264</v>
      </c>
      <c r="C1740" s="225" t="s">
        <v>549</v>
      </c>
      <c r="D1740" s="225" t="s">
        <v>597</v>
      </c>
      <c r="E1740" s="201">
        <v>9</v>
      </c>
      <c r="F1740" s="201">
        <f t="shared" si="12"/>
        <v>0.83333333333333337</v>
      </c>
      <c r="G1740" s="203">
        <v>44859</v>
      </c>
      <c r="M1740" s="199"/>
      <c r="N1740" s="199"/>
      <c r="O1740" s="199"/>
      <c r="P1740" s="199"/>
      <c r="Q1740" s="199"/>
      <c r="R1740" s="199"/>
    </row>
    <row r="1741" spans="2:18">
      <c r="B1741" s="224" t="s">
        <v>2265</v>
      </c>
      <c r="C1741" s="225" t="s">
        <v>549</v>
      </c>
      <c r="D1741" s="225" t="s">
        <v>597</v>
      </c>
      <c r="E1741" s="201">
        <v>9</v>
      </c>
      <c r="F1741" s="201">
        <f t="shared" si="12"/>
        <v>0.83333333333333337</v>
      </c>
      <c r="G1741" s="203">
        <v>44859</v>
      </c>
      <c r="M1741" s="199"/>
      <c r="N1741" s="199"/>
      <c r="O1741" s="199"/>
      <c r="P1741" s="199"/>
      <c r="Q1741" s="199"/>
      <c r="R1741" s="199"/>
    </row>
    <row r="1742" spans="2:18">
      <c r="B1742" s="224" t="s">
        <v>2266</v>
      </c>
      <c r="C1742" s="225" t="s">
        <v>549</v>
      </c>
      <c r="D1742" s="225" t="s">
        <v>597</v>
      </c>
      <c r="E1742" s="201">
        <v>9</v>
      </c>
      <c r="F1742" s="201">
        <f t="shared" si="12"/>
        <v>0.83333333333333337</v>
      </c>
      <c r="G1742" s="203">
        <v>44859</v>
      </c>
      <c r="M1742" s="199"/>
      <c r="N1742" s="199"/>
      <c r="O1742" s="199"/>
      <c r="P1742" s="199"/>
      <c r="Q1742" s="199"/>
      <c r="R1742" s="199"/>
    </row>
    <row r="1743" spans="2:18">
      <c r="B1743" s="224" t="s">
        <v>2273</v>
      </c>
      <c r="C1743" s="225" t="s">
        <v>549</v>
      </c>
      <c r="D1743" s="225" t="s">
        <v>2268</v>
      </c>
      <c r="E1743" s="201">
        <v>5.6</v>
      </c>
      <c r="F1743" s="201">
        <f>E1743/3</f>
        <v>1.8666666666666665</v>
      </c>
      <c r="G1743" s="203">
        <v>45048</v>
      </c>
      <c r="M1743" s="199"/>
      <c r="N1743" s="199"/>
      <c r="O1743" s="199"/>
      <c r="P1743" s="199"/>
      <c r="Q1743" s="199"/>
      <c r="R1743" s="199"/>
    </row>
    <row r="1744" spans="2:18">
      <c r="B1744" s="224"/>
      <c r="C1744" s="225"/>
      <c r="D1744" s="225"/>
      <c r="G1744" s="203"/>
      <c r="M1744" s="199"/>
      <c r="N1744" s="199"/>
      <c r="O1744" s="199"/>
      <c r="P1744" s="199"/>
      <c r="Q1744" s="199"/>
      <c r="R1744" s="199"/>
    </row>
    <row r="1745" spans="2:18">
      <c r="B1745" s="224" t="s">
        <v>2275</v>
      </c>
      <c r="C1745" s="225" t="s">
        <v>549</v>
      </c>
      <c r="D1745" s="225" t="s">
        <v>2268</v>
      </c>
      <c r="E1745" s="201">
        <v>5.6</v>
      </c>
      <c r="F1745" s="201">
        <f>E1745/3</f>
        <v>1.8666666666666665</v>
      </c>
      <c r="G1745" s="203">
        <v>45048</v>
      </c>
      <c r="M1745" s="199"/>
      <c r="N1745" s="199"/>
      <c r="O1745" s="199"/>
      <c r="P1745" s="199"/>
      <c r="Q1745" s="199"/>
      <c r="R1745" s="199"/>
    </row>
    <row r="1746" spans="2:18">
      <c r="B1746" s="224" t="s">
        <v>2281</v>
      </c>
      <c r="C1746" s="225" t="s">
        <v>544</v>
      </c>
      <c r="D1746" s="225" t="s">
        <v>587</v>
      </c>
      <c r="E1746" s="201">
        <v>20</v>
      </c>
      <c r="F1746" s="201">
        <v>10</v>
      </c>
      <c r="G1746" s="203">
        <v>44671</v>
      </c>
      <c r="M1746" s="199"/>
      <c r="N1746" s="199"/>
      <c r="O1746" s="199"/>
      <c r="P1746" s="199"/>
      <c r="Q1746" s="199"/>
      <c r="R1746" s="199"/>
    </row>
    <row r="1747" spans="2:18">
      <c r="B1747" s="224" t="s">
        <v>2282</v>
      </c>
      <c r="C1747" s="225" t="s">
        <v>544</v>
      </c>
      <c r="D1747" s="225" t="s">
        <v>587</v>
      </c>
      <c r="E1747" s="201">
        <v>20</v>
      </c>
      <c r="F1747" s="201">
        <v>5</v>
      </c>
      <c r="G1747" s="203">
        <v>44671</v>
      </c>
      <c r="M1747" s="199"/>
      <c r="N1747" s="199"/>
      <c r="O1747" s="199"/>
      <c r="P1747" s="199"/>
      <c r="Q1747" s="199"/>
      <c r="R1747" s="199"/>
    </row>
    <row r="1748" spans="2:18">
      <c r="B1748" s="224" t="s">
        <v>2288</v>
      </c>
      <c r="C1748" s="225" t="s">
        <v>402</v>
      </c>
      <c r="D1748" s="225" t="s">
        <v>1519</v>
      </c>
      <c r="E1748" s="201">
        <v>20</v>
      </c>
      <c r="F1748" s="201">
        <v>8</v>
      </c>
      <c r="G1748" s="203">
        <v>45077</v>
      </c>
      <c r="M1748" s="199"/>
      <c r="N1748" s="199"/>
      <c r="O1748" s="199"/>
      <c r="P1748" s="199"/>
      <c r="Q1748" s="199"/>
      <c r="R1748" s="199"/>
    </row>
    <row r="1749" spans="2:18">
      <c r="B1749" s="224"/>
      <c r="C1749" s="273" t="s">
        <v>755</v>
      </c>
      <c r="D1749" s="273" t="s">
        <v>1821</v>
      </c>
      <c r="E1749" s="201">
        <v>750</v>
      </c>
      <c r="F1749" s="201">
        <f>450/4</f>
        <v>112.5</v>
      </c>
      <c r="G1749" s="203">
        <v>43593</v>
      </c>
      <c r="M1749" s="199"/>
      <c r="N1749" s="199"/>
      <c r="O1749" s="199"/>
      <c r="P1749" s="199"/>
      <c r="Q1749" s="199"/>
      <c r="R1749" s="199"/>
    </row>
    <row r="1750" spans="2:18">
      <c r="B1750" s="224"/>
      <c r="C1750" s="225"/>
      <c r="D1750" s="225"/>
      <c r="G1750" s="203"/>
      <c r="M1750" s="199"/>
      <c r="N1750" s="199"/>
      <c r="O1750" s="199"/>
      <c r="P1750" s="199"/>
      <c r="Q1750" s="199"/>
      <c r="R1750" s="199"/>
    </row>
    <row r="1751" spans="2:18">
      <c r="B1751" s="224"/>
      <c r="C1751" s="225"/>
      <c r="D1751" s="225"/>
      <c r="G1751" s="203"/>
      <c r="M1751" s="199"/>
      <c r="N1751" s="199"/>
      <c r="O1751" s="199"/>
      <c r="P1751" s="199"/>
      <c r="Q1751" s="199"/>
      <c r="R1751" s="199"/>
    </row>
    <row r="1752" spans="2:18">
      <c r="B1752" s="224" t="s">
        <v>2289</v>
      </c>
      <c r="C1752" s="225" t="s">
        <v>402</v>
      </c>
      <c r="D1752" s="225" t="s">
        <v>1519</v>
      </c>
      <c r="E1752" s="201">
        <v>20</v>
      </c>
      <c r="F1752" s="201">
        <f>12/6</f>
        <v>2</v>
      </c>
      <c r="G1752" s="203">
        <v>45077</v>
      </c>
      <c r="M1752" s="199"/>
      <c r="N1752" s="199"/>
      <c r="O1752" s="199"/>
      <c r="P1752" s="199"/>
      <c r="Q1752" s="199"/>
      <c r="R1752" s="199"/>
    </row>
    <row r="1753" spans="2:18">
      <c r="B1753" s="224"/>
      <c r="C1753" s="225" t="s">
        <v>544</v>
      </c>
      <c r="D1753" s="225" t="s">
        <v>1519</v>
      </c>
      <c r="E1753" s="201">
        <v>10.5</v>
      </c>
      <c r="F1753" s="201">
        <v>5.5</v>
      </c>
      <c r="G1753" s="203">
        <v>44341</v>
      </c>
      <c r="M1753" s="199"/>
      <c r="N1753" s="199"/>
      <c r="O1753" s="199"/>
      <c r="P1753" s="199"/>
      <c r="Q1753" s="199"/>
      <c r="R1753" s="199"/>
    </row>
    <row r="1754" spans="2:18">
      <c r="B1754" s="224" t="s">
        <v>2290</v>
      </c>
      <c r="C1754" s="225" t="s">
        <v>402</v>
      </c>
      <c r="D1754" s="225" t="s">
        <v>1519</v>
      </c>
      <c r="E1754" s="201">
        <v>20</v>
      </c>
      <c r="F1754" s="201">
        <f>12/6</f>
        <v>2</v>
      </c>
      <c r="G1754" s="203">
        <v>45077</v>
      </c>
      <c r="M1754" s="199"/>
      <c r="N1754" s="199"/>
      <c r="O1754" s="199"/>
      <c r="P1754" s="199"/>
      <c r="Q1754" s="199"/>
      <c r="R1754" s="199"/>
    </row>
    <row r="1755" spans="2:18">
      <c r="B1755" s="224"/>
      <c r="C1755" s="225" t="s">
        <v>544</v>
      </c>
      <c r="D1755" s="225" t="s">
        <v>1519</v>
      </c>
      <c r="E1755" s="201">
        <v>10.5</v>
      </c>
      <c r="F1755" s="201">
        <f>5/5</f>
        <v>1</v>
      </c>
      <c r="G1755" s="203">
        <v>44341</v>
      </c>
      <c r="M1755" s="199"/>
      <c r="N1755" s="199"/>
      <c r="O1755" s="199"/>
      <c r="P1755" s="199"/>
      <c r="Q1755" s="199"/>
      <c r="R1755" s="199"/>
    </row>
    <row r="1756" spans="2:18">
      <c r="B1756" s="224" t="s">
        <v>2291</v>
      </c>
      <c r="C1756" s="225" t="s">
        <v>402</v>
      </c>
      <c r="D1756" s="225" t="s">
        <v>1519</v>
      </c>
      <c r="E1756" s="201">
        <v>20</v>
      </c>
      <c r="F1756" s="201">
        <f>12/6</f>
        <v>2</v>
      </c>
      <c r="G1756" s="203">
        <v>45077</v>
      </c>
      <c r="M1756" s="199"/>
      <c r="N1756" s="199"/>
      <c r="O1756" s="199"/>
      <c r="P1756" s="199"/>
      <c r="Q1756" s="199"/>
      <c r="R1756" s="199"/>
    </row>
    <row r="1757" spans="2:18">
      <c r="B1757" s="224"/>
      <c r="C1757" s="225"/>
      <c r="D1757" s="225"/>
      <c r="G1757" s="203"/>
      <c r="M1757" s="199"/>
      <c r="N1757" s="199"/>
      <c r="O1757" s="199"/>
      <c r="P1757" s="199"/>
      <c r="Q1757" s="199"/>
      <c r="R1757" s="199"/>
    </row>
    <row r="1758" spans="2:18">
      <c r="B1758" s="224" t="s">
        <v>2292</v>
      </c>
      <c r="C1758" s="225" t="s">
        <v>402</v>
      </c>
      <c r="D1758" s="225" t="s">
        <v>1519</v>
      </c>
      <c r="E1758" s="201">
        <v>20</v>
      </c>
      <c r="F1758" s="201">
        <f>12/6</f>
        <v>2</v>
      </c>
      <c r="G1758" s="203">
        <v>45077</v>
      </c>
      <c r="M1758" s="199"/>
      <c r="N1758" s="199"/>
      <c r="O1758" s="199"/>
      <c r="P1758" s="199"/>
      <c r="Q1758" s="199"/>
      <c r="R1758" s="199"/>
    </row>
    <row r="1759" spans="2:18">
      <c r="B1759" s="224"/>
      <c r="C1759" s="238" t="s">
        <v>544</v>
      </c>
      <c r="D1759" s="238" t="s">
        <v>1932</v>
      </c>
      <c r="E1759" s="201">
        <v>10</v>
      </c>
      <c r="F1759" s="201">
        <f>7/4</f>
        <v>1.75</v>
      </c>
      <c r="G1759" s="203">
        <v>44740</v>
      </c>
      <c r="M1759" s="199"/>
      <c r="N1759" s="199"/>
      <c r="O1759" s="199"/>
      <c r="P1759" s="199"/>
      <c r="Q1759" s="199"/>
      <c r="R1759" s="199"/>
    </row>
    <row r="1760" spans="2:18">
      <c r="B1760" s="224"/>
      <c r="C1760" s="225"/>
      <c r="D1760" s="225"/>
      <c r="G1760" s="203"/>
      <c r="M1760" s="199"/>
      <c r="N1760" s="199"/>
      <c r="O1760" s="199"/>
      <c r="P1760" s="199"/>
      <c r="Q1760" s="199"/>
      <c r="R1760" s="199"/>
    </row>
    <row r="1761" spans="2:18">
      <c r="B1761" s="224" t="s">
        <v>2293</v>
      </c>
      <c r="C1761" s="225" t="s">
        <v>402</v>
      </c>
      <c r="D1761" s="225" t="s">
        <v>1519</v>
      </c>
      <c r="E1761" s="201">
        <v>20</v>
      </c>
      <c r="F1761" s="201">
        <f>12/6</f>
        <v>2</v>
      </c>
      <c r="G1761" s="203">
        <v>45077</v>
      </c>
      <c r="M1761" s="199"/>
      <c r="N1761" s="199"/>
      <c r="O1761" s="199"/>
      <c r="P1761" s="199"/>
      <c r="Q1761" s="199"/>
      <c r="R1761" s="199"/>
    </row>
    <row r="1762" spans="2:18">
      <c r="B1762" s="224"/>
      <c r="C1762" s="225" t="s">
        <v>544</v>
      </c>
      <c r="D1762" s="225" t="s">
        <v>1519</v>
      </c>
      <c r="E1762" s="201">
        <v>10.5</v>
      </c>
      <c r="F1762" s="201">
        <f>5/5</f>
        <v>1</v>
      </c>
      <c r="G1762" s="203">
        <v>44341</v>
      </c>
      <c r="M1762" s="199"/>
      <c r="N1762" s="199"/>
      <c r="O1762" s="199"/>
      <c r="P1762" s="199"/>
      <c r="Q1762" s="199"/>
      <c r="R1762" s="199"/>
    </row>
    <row r="1763" spans="2:18">
      <c r="B1763" s="224"/>
      <c r="C1763" s="225" t="s">
        <v>549</v>
      </c>
      <c r="D1763" s="225" t="s">
        <v>1519</v>
      </c>
      <c r="E1763" s="201">
        <v>4</v>
      </c>
      <c r="F1763" s="201">
        <v>2</v>
      </c>
      <c r="G1763" s="203">
        <v>43671</v>
      </c>
      <c r="M1763" s="199"/>
      <c r="N1763" s="199"/>
      <c r="O1763" s="199"/>
      <c r="P1763" s="199"/>
      <c r="Q1763" s="199"/>
      <c r="R1763" s="199"/>
    </row>
    <row r="1764" spans="2:18">
      <c r="B1764" s="224" t="s">
        <v>2294</v>
      </c>
      <c r="C1764" s="225" t="s">
        <v>402</v>
      </c>
      <c r="D1764" s="225" t="s">
        <v>1519</v>
      </c>
      <c r="E1764" s="201">
        <v>20</v>
      </c>
      <c r="F1764" s="201">
        <f>12/6</f>
        <v>2</v>
      </c>
      <c r="G1764" s="203">
        <v>45077</v>
      </c>
      <c r="M1764" s="199"/>
      <c r="N1764" s="199"/>
      <c r="O1764" s="199"/>
      <c r="P1764" s="199"/>
      <c r="Q1764" s="199"/>
      <c r="R1764" s="199"/>
    </row>
    <row r="1765" spans="2:18">
      <c r="B1765" s="224" t="s">
        <v>195</v>
      </c>
      <c r="C1765" s="225" t="s">
        <v>544</v>
      </c>
      <c r="D1765" s="225" t="s">
        <v>1519</v>
      </c>
      <c r="E1765" s="201">
        <v>10.5</v>
      </c>
      <c r="F1765" s="201">
        <f>5/5</f>
        <v>1</v>
      </c>
      <c r="G1765" s="203">
        <v>44341</v>
      </c>
      <c r="M1765" s="199"/>
      <c r="N1765" s="199"/>
      <c r="O1765" s="199"/>
      <c r="P1765" s="199"/>
      <c r="Q1765" s="199"/>
      <c r="R1765" s="199"/>
    </row>
    <row r="1766" spans="2:18">
      <c r="B1766" s="224"/>
      <c r="C1766" s="225" t="s">
        <v>402</v>
      </c>
      <c r="D1766" s="225" t="s">
        <v>1525</v>
      </c>
      <c r="E1766" s="201">
        <v>40</v>
      </c>
      <c r="F1766" s="201">
        <f>25/4</f>
        <v>6.25</v>
      </c>
      <c r="G1766" s="203">
        <v>44811</v>
      </c>
      <c r="M1766" s="199"/>
      <c r="N1766" s="199"/>
      <c r="O1766" s="199"/>
      <c r="P1766" s="199"/>
      <c r="Q1766" s="199"/>
      <c r="R1766" s="199"/>
    </row>
    <row r="1767" spans="2:18">
      <c r="B1767" s="224"/>
      <c r="C1767" s="225"/>
      <c r="D1767" s="225"/>
      <c r="G1767" s="203"/>
      <c r="M1767" s="199"/>
      <c r="N1767" s="199"/>
      <c r="O1767" s="199"/>
      <c r="P1767" s="199"/>
      <c r="Q1767" s="199"/>
      <c r="R1767" s="199"/>
    </row>
    <row r="1768" spans="2:18">
      <c r="B1768" s="224" t="s">
        <v>2299</v>
      </c>
      <c r="C1768" s="225" t="s">
        <v>669</v>
      </c>
      <c r="D1768" s="225" t="s">
        <v>1519</v>
      </c>
      <c r="E1768" s="201">
        <v>0.5</v>
      </c>
      <c r="F1768" s="201">
        <v>0.1</v>
      </c>
      <c r="G1768" s="203">
        <v>43262</v>
      </c>
      <c r="M1768" s="199"/>
      <c r="N1768" s="199"/>
      <c r="O1768" s="199"/>
      <c r="P1768" s="199"/>
      <c r="Q1768" s="199"/>
      <c r="R1768" s="199"/>
    </row>
    <row r="1769" spans="2:18">
      <c r="B1769" s="224" t="s">
        <v>2300</v>
      </c>
      <c r="C1769" s="225" t="s">
        <v>669</v>
      </c>
      <c r="D1769" s="225" t="s">
        <v>1519</v>
      </c>
      <c r="E1769" s="201">
        <v>0.5</v>
      </c>
      <c r="F1769" s="201">
        <v>0.3</v>
      </c>
      <c r="G1769" s="203">
        <v>43262</v>
      </c>
      <c r="M1769" s="199"/>
      <c r="N1769" s="199"/>
      <c r="O1769" s="199"/>
      <c r="P1769" s="199"/>
      <c r="Q1769" s="199"/>
      <c r="R1769" s="199"/>
    </row>
    <row r="1770" spans="2:18">
      <c r="B1770" s="224" t="s">
        <v>2306</v>
      </c>
      <c r="C1770" s="225" t="s">
        <v>544</v>
      </c>
      <c r="D1770" s="225" t="s">
        <v>2305</v>
      </c>
      <c r="E1770" s="201">
        <v>58</v>
      </c>
      <c r="F1770" s="201">
        <v>25</v>
      </c>
      <c r="G1770" s="203">
        <v>45104</v>
      </c>
      <c r="M1770" s="199"/>
      <c r="N1770" s="199"/>
      <c r="O1770" s="199"/>
      <c r="P1770" s="199"/>
      <c r="Q1770" s="199"/>
      <c r="R1770" s="199"/>
    </row>
    <row r="1771" spans="2:18">
      <c r="B1771" s="224" t="s">
        <v>2309</v>
      </c>
      <c r="C1771" s="225" t="s">
        <v>402</v>
      </c>
      <c r="D1771" s="225" t="s">
        <v>1525</v>
      </c>
      <c r="E1771" s="201">
        <v>40</v>
      </c>
      <c r="F1771" s="201">
        <v>15</v>
      </c>
      <c r="G1771" s="203">
        <v>44811</v>
      </c>
      <c r="M1771" s="199"/>
      <c r="N1771" s="199"/>
      <c r="O1771" s="199"/>
      <c r="P1771" s="199"/>
      <c r="Q1771" s="199"/>
      <c r="R1771" s="199"/>
    </row>
    <row r="1772" spans="2:18">
      <c r="B1772" s="224" t="s">
        <v>2311</v>
      </c>
      <c r="C1772" s="225" t="s">
        <v>544</v>
      </c>
      <c r="D1772" s="225" t="s">
        <v>1525</v>
      </c>
      <c r="E1772" s="201">
        <v>14</v>
      </c>
      <c r="F1772" s="201">
        <f>8/5</f>
        <v>1.6</v>
      </c>
      <c r="G1772" s="203">
        <v>44447</v>
      </c>
      <c r="M1772" s="199"/>
      <c r="N1772" s="199"/>
      <c r="O1772" s="199"/>
      <c r="P1772" s="199"/>
      <c r="Q1772" s="199"/>
      <c r="R1772" s="199"/>
    </row>
    <row r="1773" spans="2:18">
      <c r="B1773" s="224"/>
      <c r="C1773" s="225" t="s">
        <v>544</v>
      </c>
      <c r="D1773" s="225" t="s">
        <v>1525</v>
      </c>
      <c r="E1773" s="201">
        <v>12</v>
      </c>
      <c r="F1773" s="201">
        <f t="shared" ref="F1773:F1776" si="13">8/5</f>
        <v>1.6</v>
      </c>
      <c r="G1773" s="203">
        <v>43532</v>
      </c>
      <c r="M1773" s="199"/>
      <c r="N1773" s="199"/>
      <c r="O1773" s="199"/>
      <c r="P1773" s="199"/>
      <c r="Q1773" s="199"/>
      <c r="R1773" s="199"/>
    </row>
    <row r="1774" spans="2:18">
      <c r="B1774" s="224"/>
      <c r="C1774" s="225"/>
      <c r="D1774" s="225"/>
      <c r="G1774" s="203"/>
      <c r="M1774" s="199"/>
      <c r="N1774" s="199"/>
      <c r="O1774" s="199"/>
      <c r="P1774" s="199"/>
      <c r="Q1774" s="199"/>
      <c r="R1774" s="199"/>
    </row>
    <row r="1775" spans="2:18">
      <c r="B1775" s="224" t="s">
        <v>2312</v>
      </c>
      <c r="C1775" s="225" t="s">
        <v>544</v>
      </c>
      <c r="D1775" s="225" t="s">
        <v>1525</v>
      </c>
      <c r="E1775" s="201">
        <v>14</v>
      </c>
      <c r="F1775" s="201">
        <f>8/5</f>
        <v>1.6</v>
      </c>
      <c r="G1775" s="203">
        <v>44447</v>
      </c>
      <c r="M1775" s="199"/>
      <c r="N1775" s="199"/>
      <c r="O1775" s="199"/>
      <c r="P1775" s="199"/>
      <c r="Q1775" s="199"/>
      <c r="R1775" s="199"/>
    </row>
    <row r="1776" spans="2:18">
      <c r="C1776" s="225" t="s">
        <v>544</v>
      </c>
      <c r="D1776" s="225" t="s">
        <v>1525</v>
      </c>
      <c r="E1776" s="201">
        <v>12</v>
      </c>
      <c r="F1776" s="201">
        <f t="shared" si="13"/>
        <v>1.6</v>
      </c>
      <c r="G1776" s="203">
        <v>43532</v>
      </c>
      <c r="M1776" s="199"/>
      <c r="N1776" s="199"/>
      <c r="O1776" s="199"/>
      <c r="P1776" s="199"/>
      <c r="Q1776" s="199"/>
      <c r="R1776" s="199"/>
    </row>
    <row r="1777" spans="2:18">
      <c r="C1777" s="228" t="s">
        <v>544</v>
      </c>
      <c r="D1777" s="228" t="s">
        <v>1227</v>
      </c>
      <c r="E1777" s="201">
        <v>5</v>
      </c>
      <c r="F1777" s="201">
        <v>1</v>
      </c>
      <c r="G1777" s="203">
        <v>44514</v>
      </c>
      <c r="M1777" s="199"/>
      <c r="N1777" s="199"/>
      <c r="O1777" s="199"/>
      <c r="P1777" s="199"/>
      <c r="Q1777" s="199"/>
      <c r="R1777" s="199"/>
    </row>
    <row r="1778" spans="2:18">
      <c r="C1778" s="225"/>
      <c r="D1778" s="225"/>
      <c r="G1778" s="203"/>
      <c r="M1778" s="199"/>
      <c r="N1778" s="199"/>
      <c r="O1778" s="199"/>
      <c r="P1778" s="199"/>
      <c r="Q1778" s="199"/>
      <c r="R1778" s="199"/>
    </row>
    <row r="1779" spans="2:18">
      <c r="B1779" s="224" t="s">
        <v>2317</v>
      </c>
      <c r="C1779" s="225" t="s">
        <v>565</v>
      </c>
      <c r="D1779" s="225" t="s">
        <v>588</v>
      </c>
      <c r="E1779" s="201">
        <v>45</v>
      </c>
      <c r="F1779" s="201">
        <v>15</v>
      </c>
      <c r="G1779" s="203">
        <v>44159</v>
      </c>
      <c r="M1779" s="199"/>
      <c r="N1779" s="199"/>
      <c r="O1779" s="199"/>
      <c r="P1779" s="199"/>
      <c r="Q1779" s="199"/>
      <c r="R1779" s="199"/>
    </row>
    <row r="1780" spans="2:18">
      <c r="B1780" s="224" t="s">
        <v>2318</v>
      </c>
      <c r="C1780" s="225" t="s">
        <v>565</v>
      </c>
      <c r="D1780" s="225" t="s">
        <v>588</v>
      </c>
      <c r="E1780" s="201">
        <v>45</v>
      </c>
      <c r="F1780" s="201">
        <v>5</v>
      </c>
      <c r="G1780" s="203">
        <v>44159</v>
      </c>
      <c r="M1780" s="199"/>
      <c r="N1780" s="199"/>
      <c r="O1780" s="199"/>
      <c r="P1780" s="199"/>
      <c r="Q1780" s="199"/>
      <c r="R1780" s="199"/>
    </row>
    <row r="1781" spans="2:18">
      <c r="B1781" s="224" t="s">
        <v>2319</v>
      </c>
      <c r="C1781" s="225" t="s">
        <v>565</v>
      </c>
      <c r="D1781" s="225" t="s">
        <v>588</v>
      </c>
      <c r="E1781" s="201">
        <v>45</v>
      </c>
      <c r="F1781" s="201">
        <v>5</v>
      </c>
      <c r="G1781" s="203">
        <v>44159</v>
      </c>
      <c r="M1781" s="199"/>
      <c r="N1781" s="199"/>
      <c r="O1781" s="199"/>
      <c r="P1781" s="199"/>
      <c r="Q1781" s="199"/>
      <c r="R1781" s="199"/>
    </row>
    <row r="1782" spans="2:18">
      <c r="B1782" s="224" t="s">
        <v>2320</v>
      </c>
      <c r="C1782" s="225" t="s">
        <v>565</v>
      </c>
      <c r="D1782" s="225" t="s">
        <v>588</v>
      </c>
      <c r="E1782" s="201">
        <v>45</v>
      </c>
      <c r="F1782" s="201">
        <v>5</v>
      </c>
      <c r="G1782" s="203">
        <v>44159</v>
      </c>
      <c r="M1782" s="199"/>
      <c r="N1782" s="199"/>
      <c r="O1782" s="199"/>
      <c r="P1782" s="199"/>
      <c r="Q1782" s="199"/>
      <c r="R1782" s="199"/>
    </row>
    <row r="1783" spans="2:18">
      <c r="B1783" s="224" t="s">
        <v>2321</v>
      </c>
      <c r="C1783" s="225" t="s">
        <v>565</v>
      </c>
      <c r="D1783" s="225" t="s">
        <v>588</v>
      </c>
      <c r="E1783" s="201">
        <v>45</v>
      </c>
      <c r="F1783" s="201">
        <v>5</v>
      </c>
      <c r="G1783" s="203">
        <v>44159</v>
      </c>
      <c r="M1783" s="199"/>
      <c r="N1783" s="199"/>
      <c r="O1783" s="199"/>
      <c r="P1783" s="199"/>
      <c r="Q1783" s="199"/>
      <c r="R1783" s="199"/>
    </row>
    <row r="1784" spans="2:18">
      <c r="B1784" s="224" t="s">
        <v>2323</v>
      </c>
      <c r="C1784" s="225" t="s">
        <v>565</v>
      </c>
      <c r="D1784" s="225" t="s">
        <v>588</v>
      </c>
      <c r="E1784" s="201">
        <v>45</v>
      </c>
      <c r="F1784" s="201">
        <v>5</v>
      </c>
      <c r="G1784" s="203">
        <v>44159</v>
      </c>
      <c r="M1784" s="199"/>
      <c r="N1784" s="199"/>
      <c r="O1784" s="199"/>
      <c r="P1784" s="199"/>
      <c r="Q1784" s="199"/>
      <c r="R1784" s="199"/>
    </row>
    <row r="1785" spans="2:18">
      <c r="B1785" s="224" t="s">
        <v>2322</v>
      </c>
      <c r="C1785" s="225" t="s">
        <v>565</v>
      </c>
      <c r="D1785" s="225" t="s">
        <v>588</v>
      </c>
      <c r="E1785" s="201">
        <v>45</v>
      </c>
      <c r="F1785" s="201">
        <v>5</v>
      </c>
      <c r="G1785" s="203">
        <v>44159</v>
      </c>
      <c r="M1785" s="199"/>
      <c r="N1785" s="199"/>
      <c r="O1785" s="199"/>
      <c r="P1785" s="199"/>
      <c r="Q1785" s="199"/>
      <c r="R1785" s="199"/>
    </row>
    <row r="1786" spans="2:18">
      <c r="B1786" s="224" t="s">
        <v>2342</v>
      </c>
      <c r="C1786" s="225" t="s">
        <v>755</v>
      </c>
      <c r="D1786" s="225" t="s">
        <v>445</v>
      </c>
      <c r="E1786" s="201">
        <v>100</v>
      </c>
      <c r="F1786" s="201">
        <v>25</v>
      </c>
      <c r="G1786" s="203">
        <v>44419</v>
      </c>
      <c r="M1786" s="199"/>
      <c r="N1786" s="199"/>
      <c r="O1786" s="199"/>
      <c r="P1786" s="199"/>
      <c r="Q1786" s="199"/>
      <c r="R1786" s="199"/>
    </row>
    <row r="1787" spans="2:18">
      <c r="B1787" s="224" t="s">
        <v>2343</v>
      </c>
      <c r="C1787" s="225" t="s">
        <v>755</v>
      </c>
      <c r="D1787" s="225" t="s">
        <v>445</v>
      </c>
      <c r="E1787" s="201">
        <v>100</v>
      </c>
      <c r="F1787" s="201">
        <f>50/4</f>
        <v>12.5</v>
      </c>
      <c r="G1787" s="203">
        <v>44419</v>
      </c>
      <c r="M1787" s="199"/>
      <c r="N1787" s="199"/>
      <c r="O1787" s="199"/>
      <c r="P1787" s="199"/>
      <c r="Q1787" s="199"/>
      <c r="R1787" s="199"/>
    </row>
    <row r="1788" spans="2:18">
      <c r="B1788" s="224" t="s">
        <v>2344</v>
      </c>
      <c r="C1788" s="225" t="s">
        <v>565</v>
      </c>
      <c r="D1788" s="225" t="s">
        <v>445</v>
      </c>
      <c r="E1788" s="201">
        <v>60</v>
      </c>
      <c r="F1788" s="201">
        <v>5</v>
      </c>
      <c r="G1788" s="203">
        <v>43606</v>
      </c>
      <c r="M1788" s="199"/>
      <c r="N1788" s="199"/>
      <c r="O1788" s="199"/>
      <c r="P1788" s="199"/>
      <c r="Q1788" s="199"/>
      <c r="R1788" s="199"/>
    </row>
    <row r="1789" spans="2:18">
      <c r="B1789" s="224" t="s">
        <v>2345</v>
      </c>
      <c r="C1789" s="225" t="s">
        <v>565</v>
      </c>
      <c r="D1789" s="225" t="s">
        <v>445</v>
      </c>
      <c r="E1789" s="201">
        <v>60</v>
      </c>
      <c r="F1789" s="201">
        <v>5</v>
      </c>
      <c r="G1789" s="203">
        <v>43606</v>
      </c>
      <c r="M1789" s="199"/>
      <c r="N1789" s="199"/>
      <c r="O1789" s="199"/>
      <c r="P1789" s="199"/>
      <c r="Q1789" s="199"/>
      <c r="R1789" s="199"/>
    </row>
    <row r="1790" spans="2:18">
      <c r="B1790" s="224" t="s">
        <v>2348</v>
      </c>
      <c r="C1790" s="225" t="s">
        <v>544</v>
      </c>
      <c r="D1790" s="225" t="s">
        <v>445</v>
      </c>
      <c r="E1790" s="201">
        <v>7</v>
      </c>
      <c r="F1790" s="201">
        <v>0.5</v>
      </c>
      <c r="G1790" s="203">
        <v>42885</v>
      </c>
      <c r="M1790" s="199"/>
      <c r="N1790" s="199"/>
      <c r="O1790" s="199"/>
      <c r="P1790" s="199"/>
      <c r="Q1790" s="199"/>
      <c r="R1790" s="199"/>
    </row>
    <row r="1791" spans="2:18">
      <c r="B1791" s="224" t="s">
        <v>2350</v>
      </c>
      <c r="C1791" s="225" t="s">
        <v>549</v>
      </c>
      <c r="D1791" s="225" t="s">
        <v>445</v>
      </c>
      <c r="E1791" s="201">
        <v>3</v>
      </c>
      <c r="F1791" s="201">
        <v>0.5</v>
      </c>
      <c r="G1791" s="203">
        <v>42606</v>
      </c>
      <c r="M1791" s="199"/>
      <c r="N1791" s="199"/>
      <c r="O1791" s="199"/>
      <c r="P1791" s="199"/>
      <c r="Q1791" s="199"/>
      <c r="R1791" s="199"/>
    </row>
    <row r="1792" spans="2:18">
      <c r="B1792" s="224"/>
      <c r="C1792" s="225"/>
      <c r="D1792" s="225"/>
      <c r="G1792" s="203"/>
      <c r="M1792" s="199"/>
      <c r="N1792" s="199"/>
      <c r="O1792" s="199"/>
      <c r="P1792" s="199"/>
      <c r="Q1792" s="199"/>
      <c r="R1792" s="199"/>
    </row>
    <row r="1793" spans="2:18">
      <c r="B1793" s="224" t="s">
        <v>2351</v>
      </c>
      <c r="C1793" s="225" t="s">
        <v>549</v>
      </c>
      <c r="D1793" s="225" t="s">
        <v>445</v>
      </c>
      <c r="E1793" s="201">
        <v>3</v>
      </c>
      <c r="F1793" s="201">
        <v>0.5</v>
      </c>
      <c r="G1793" s="203">
        <v>42606</v>
      </c>
      <c r="M1793" s="199"/>
      <c r="N1793" s="199"/>
      <c r="O1793" s="199"/>
      <c r="P1793" s="199"/>
      <c r="Q1793" s="199"/>
      <c r="R1793" s="199"/>
    </row>
    <row r="1794" spans="2:18">
      <c r="B1794" s="224"/>
      <c r="C1794" s="238" t="s">
        <v>402</v>
      </c>
      <c r="D1794" s="238" t="s">
        <v>2754</v>
      </c>
      <c r="E1794" s="201">
        <v>32</v>
      </c>
      <c r="F1794" s="201">
        <v>3</v>
      </c>
      <c r="G1794" s="203">
        <v>44364</v>
      </c>
      <c r="M1794" s="199"/>
      <c r="N1794" s="199"/>
      <c r="O1794" s="199"/>
      <c r="P1794" s="199"/>
      <c r="Q1794" s="199"/>
      <c r="R1794" s="199"/>
    </row>
    <row r="1795" spans="2:18">
      <c r="B1795" s="224"/>
      <c r="C1795" s="238" t="s">
        <v>544</v>
      </c>
      <c r="D1795" s="238" t="s">
        <v>2754</v>
      </c>
      <c r="E1795" s="201">
        <v>10.199999999999999</v>
      </c>
      <c r="F1795" s="201">
        <v>2</v>
      </c>
      <c r="G1795" s="203">
        <v>43732</v>
      </c>
      <c r="M1795" s="199"/>
      <c r="N1795" s="199"/>
      <c r="O1795" s="199"/>
      <c r="P1795" s="199"/>
      <c r="Q1795" s="199"/>
      <c r="R1795" s="199"/>
    </row>
    <row r="1796" spans="2:18">
      <c r="B1796" s="224"/>
      <c r="C1796" s="238" t="s">
        <v>549</v>
      </c>
      <c r="D1796" s="238" t="s">
        <v>2754</v>
      </c>
      <c r="E1796" s="201">
        <v>3</v>
      </c>
      <c r="F1796" s="201">
        <v>1.5</v>
      </c>
      <c r="G1796" s="203">
        <v>43374</v>
      </c>
      <c r="M1796" s="199"/>
      <c r="N1796" s="199"/>
      <c r="O1796" s="199"/>
      <c r="P1796" s="199"/>
      <c r="Q1796" s="199"/>
      <c r="R1796" s="199"/>
    </row>
    <row r="1797" spans="2:18">
      <c r="B1797" s="224"/>
      <c r="C1797" s="225"/>
      <c r="D1797" s="225"/>
      <c r="G1797" s="203"/>
      <c r="M1797" s="199"/>
      <c r="N1797" s="199"/>
      <c r="O1797" s="199"/>
      <c r="P1797" s="199"/>
      <c r="Q1797" s="199"/>
      <c r="R1797" s="199"/>
    </row>
    <row r="1798" spans="2:18">
      <c r="B1798" s="224" t="s">
        <v>2352</v>
      </c>
      <c r="C1798" s="225" t="s">
        <v>549</v>
      </c>
      <c r="D1798" s="225" t="s">
        <v>445</v>
      </c>
      <c r="E1798" s="201">
        <v>3</v>
      </c>
      <c r="F1798" s="201">
        <v>0.5</v>
      </c>
      <c r="G1798" s="203">
        <v>42606</v>
      </c>
      <c r="M1798" s="199"/>
      <c r="N1798" s="199"/>
      <c r="O1798" s="199"/>
      <c r="P1798" s="199"/>
      <c r="Q1798" s="199"/>
      <c r="R1798" s="199"/>
    </row>
    <row r="1799" spans="2:18">
      <c r="B1799" s="224" t="s">
        <v>2353</v>
      </c>
      <c r="C1799" s="225" t="s">
        <v>549</v>
      </c>
      <c r="D1799" s="225" t="s">
        <v>445</v>
      </c>
      <c r="E1799" s="201">
        <v>3</v>
      </c>
      <c r="F1799" s="201">
        <v>0.5</v>
      </c>
      <c r="G1799" s="203">
        <v>42606</v>
      </c>
      <c r="M1799" s="199"/>
      <c r="N1799" s="199"/>
      <c r="O1799" s="199"/>
      <c r="P1799" s="199"/>
      <c r="Q1799" s="199"/>
      <c r="R1799" s="199"/>
    </row>
    <row r="1800" spans="2:18">
      <c r="B1800" s="224" t="s">
        <v>2354</v>
      </c>
      <c r="C1800" s="225" t="s">
        <v>549</v>
      </c>
      <c r="D1800" s="225" t="s">
        <v>445</v>
      </c>
      <c r="E1800" s="201">
        <v>3</v>
      </c>
      <c r="F1800" s="201">
        <v>0.5</v>
      </c>
      <c r="G1800" s="203">
        <v>42606</v>
      </c>
      <c r="M1800" s="199"/>
      <c r="N1800" s="199"/>
      <c r="O1800" s="199"/>
      <c r="P1800" s="199"/>
      <c r="Q1800" s="199"/>
      <c r="R1800" s="199"/>
    </row>
    <row r="1801" spans="2:18">
      <c r="B1801" s="224" t="s">
        <v>2355</v>
      </c>
      <c r="C1801" s="225" t="s">
        <v>549</v>
      </c>
      <c r="D1801" s="225" t="s">
        <v>445</v>
      </c>
      <c r="E1801" s="201">
        <v>3</v>
      </c>
      <c r="F1801" s="201">
        <v>0.5</v>
      </c>
      <c r="G1801" s="203">
        <v>42606</v>
      </c>
      <c r="M1801" s="199"/>
      <c r="N1801" s="199"/>
      <c r="O1801" s="199"/>
      <c r="P1801" s="199"/>
      <c r="Q1801" s="199"/>
      <c r="R1801" s="199"/>
    </row>
    <row r="1802" spans="2:18">
      <c r="B1802" s="224" t="s">
        <v>2374</v>
      </c>
      <c r="C1802" s="225" t="s">
        <v>544</v>
      </c>
      <c r="D1802" s="225" t="s">
        <v>502</v>
      </c>
      <c r="E1802" s="201">
        <v>14.5</v>
      </c>
      <c r="F1802" s="201">
        <v>3</v>
      </c>
      <c r="G1802" s="203">
        <v>43389</v>
      </c>
      <c r="M1802" s="199"/>
      <c r="N1802" s="199"/>
      <c r="O1802" s="199"/>
      <c r="P1802" s="199"/>
      <c r="Q1802" s="199"/>
      <c r="R1802" s="199"/>
    </row>
    <row r="1803" spans="2:18">
      <c r="B1803" s="224" t="s">
        <v>2375</v>
      </c>
      <c r="C1803" s="225" t="s">
        <v>544</v>
      </c>
      <c r="D1803" s="225" t="s">
        <v>502</v>
      </c>
      <c r="E1803" s="201">
        <v>14.5</v>
      </c>
      <c r="F1803" s="201">
        <v>1.5</v>
      </c>
      <c r="G1803" s="203">
        <v>43389</v>
      </c>
      <c r="M1803" s="199"/>
      <c r="N1803" s="199"/>
      <c r="O1803" s="199"/>
      <c r="P1803" s="199"/>
      <c r="Q1803" s="199"/>
      <c r="R1803" s="199"/>
    </row>
    <row r="1804" spans="2:18">
      <c r="B1804" s="224"/>
      <c r="C1804" s="225"/>
      <c r="D1804" s="225"/>
      <c r="G1804" s="203"/>
      <c r="M1804" s="199"/>
      <c r="N1804" s="199"/>
      <c r="O1804" s="199"/>
      <c r="P1804" s="199"/>
      <c r="Q1804" s="199"/>
      <c r="R1804" s="199"/>
    </row>
    <row r="1805" spans="2:18">
      <c r="B1805" s="224" t="s">
        <v>2377</v>
      </c>
      <c r="C1805" s="225" t="s">
        <v>549</v>
      </c>
      <c r="D1805" s="225" t="s">
        <v>502</v>
      </c>
      <c r="E1805" s="201">
        <v>4</v>
      </c>
      <c r="F1805" s="201">
        <f>4/3</f>
        <v>1.3333333333333333</v>
      </c>
      <c r="G1805" s="203">
        <v>42647</v>
      </c>
      <c r="M1805" s="199"/>
      <c r="N1805" s="199"/>
      <c r="O1805" s="199"/>
      <c r="P1805" s="199"/>
      <c r="Q1805" s="199"/>
      <c r="R1805" s="199"/>
    </row>
    <row r="1806" spans="2:18">
      <c r="B1806" s="224"/>
      <c r="C1806" s="225"/>
      <c r="D1806" s="225"/>
      <c r="G1806" s="203"/>
      <c r="M1806" s="199"/>
      <c r="N1806" s="199"/>
      <c r="O1806" s="199"/>
      <c r="P1806" s="199"/>
      <c r="Q1806" s="199"/>
      <c r="R1806" s="199"/>
    </row>
    <row r="1807" spans="2:18">
      <c r="B1807" s="224" t="s">
        <v>2395</v>
      </c>
      <c r="C1807" s="225" t="s">
        <v>549</v>
      </c>
      <c r="D1807" s="225" t="s">
        <v>576</v>
      </c>
      <c r="E1807" s="201">
        <v>3</v>
      </c>
      <c r="F1807" s="201">
        <v>1.5</v>
      </c>
      <c r="G1807" s="203">
        <v>45037</v>
      </c>
      <c r="M1807" s="199"/>
      <c r="N1807" s="199"/>
      <c r="O1807" s="199"/>
      <c r="P1807" s="199"/>
      <c r="Q1807" s="199"/>
      <c r="R1807" s="199"/>
    </row>
    <row r="1808" spans="2:18">
      <c r="B1808" s="224"/>
      <c r="C1808" s="253" t="s">
        <v>565</v>
      </c>
      <c r="D1808" s="253" t="s">
        <v>3715</v>
      </c>
      <c r="E1808" s="201">
        <v>38</v>
      </c>
      <c r="F1808" s="201">
        <v>3</v>
      </c>
      <c r="G1808" s="203">
        <v>43104</v>
      </c>
      <c r="M1808" s="199"/>
      <c r="N1808" s="199"/>
      <c r="O1808" s="199"/>
      <c r="P1808" s="199"/>
      <c r="Q1808" s="199"/>
      <c r="R1808" s="199"/>
    </row>
    <row r="1809" spans="2:18">
      <c r="B1809" s="224"/>
      <c r="C1809" s="253" t="s">
        <v>402</v>
      </c>
      <c r="D1809" s="253" t="s">
        <v>3715</v>
      </c>
      <c r="E1809" s="201">
        <v>6.9</v>
      </c>
      <c r="F1809" s="201">
        <f>E1809/5</f>
        <v>1.3800000000000001</v>
      </c>
      <c r="G1809" s="203">
        <v>42458</v>
      </c>
      <c r="M1809" s="199"/>
      <c r="N1809" s="199"/>
      <c r="O1809" s="199"/>
      <c r="P1809" s="199"/>
      <c r="Q1809" s="199"/>
      <c r="R1809" s="199"/>
    </row>
    <row r="1810" spans="2:18">
      <c r="B1810" s="224"/>
      <c r="C1810" s="253" t="s">
        <v>544</v>
      </c>
      <c r="D1810" s="253" t="s">
        <v>3715</v>
      </c>
      <c r="E1810" s="201">
        <v>2.7</v>
      </c>
      <c r="F1810" s="201">
        <f>1.7/4</f>
        <v>0.42499999999999999</v>
      </c>
      <c r="G1810" s="203">
        <v>42139</v>
      </c>
      <c r="M1810" s="199"/>
      <c r="N1810" s="199"/>
      <c r="O1810" s="199"/>
      <c r="P1810" s="199"/>
      <c r="Q1810" s="199"/>
      <c r="R1810" s="199"/>
    </row>
    <row r="1811" spans="2:18">
      <c r="B1811" s="224"/>
      <c r="C1811" s="225"/>
      <c r="D1811" s="225"/>
      <c r="G1811" s="203"/>
      <c r="M1811" s="199"/>
      <c r="N1811" s="199"/>
      <c r="O1811" s="199"/>
      <c r="P1811" s="199"/>
      <c r="Q1811" s="199"/>
      <c r="R1811" s="199"/>
    </row>
    <row r="1812" spans="2:18">
      <c r="B1812" s="224" t="s">
        <v>2396</v>
      </c>
      <c r="C1812" s="225" t="s">
        <v>549</v>
      </c>
      <c r="D1812" s="225" t="s">
        <v>576</v>
      </c>
      <c r="E1812" s="201">
        <v>3</v>
      </c>
      <c r="F1812" s="201">
        <v>0.5</v>
      </c>
      <c r="G1812" s="203">
        <v>45037</v>
      </c>
      <c r="M1812" s="199"/>
      <c r="N1812" s="199"/>
      <c r="O1812" s="199"/>
      <c r="P1812" s="199"/>
      <c r="Q1812" s="199"/>
      <c r="R1812" s="199"/>
    </row>
    <row r="1813" spans="2:18">
      <c r="B1813" s="224"/>
      <c r="C1813" s="225" t="s">
        <v>669</v>
      </c>
      <c r="D1813" s="225" t="s">
        <v>576</v>
      </c>
      <c r="E1813" s="201">
        <v>1.2</v>
      </c>
      <c r="F1813" s="201">
        <v>0.3</v>
      </c>
      <c r="G1813" s="203">
        <v>44545</v>
      </c>
      <c r="M1813" s="199"/>
      <c r="N1813" s="199"/>
      <c r="O1813" s="199"/>
      <c r="P1813" s="199"/>
      <c r="Q1813" s="199"/>
      <c r="R1813" s="199"/>
    </row>
    <row r="1814" spans="2:18">
      <c r="B1814" s="224"/>
      <c r="C1814" s="225"/>
      <c r="D1814" s="225"/>
      <c r="G1814" s="203"/>
      <c r="M1814" s="199"/>
      <c r="N1814" s="199"/>
      <c r="O1814" s="199"/>
      <c r="P1814" s="199"/>
      <c r="Q1814" s="199"/>
      <c r="R1814" s="199"/>
    </row>
    <row r="1815" spans="2:18">
      <c r="B1815" s="224" t="s">
        <v>2397</v>
      </c>
      <c r="C1815" s="225" t="s">
        <v>549</v>
      </c>
      <c r="D1815" s="225" t="s">
        <v>576</v>
      </c>
      <c r="E1815" s="201">
        <v>3</v>
      </c>
      <c r="F1815" s="201">
        <v>0.5</v>
      </c>
      <c r="G1815" s="203">
        <v>45037</v>
      </c>
      <c r="M1815" s="199"/>
      <c r="N1815" s="199"/>
      <c r="O1815" s="199"/>
      <c r="P1815" s="199"/>
      <c r="Q1815" s="199"/>
      <c r="R1815" s="199"/>
    </row>
    <row r="1816" spans="2:18">
      <c r="B1816" s="224"/>
      <c r="C1816" s="228" t="s">
        <v>402</v>
      </c>
      <c r="D1816" s="228" t="s">
        <v>1521</v>
      </c>
      <c r="E1816" s="201">
        <v>90</v>
      </c>
      <c r="F1816" s="201">
        <v>6</v>
      </c>
      <c r="G1816" s="203">
        <v>44398</v>
      </c>
      <c r="M1816" s="199"/>
      <c r="N1816" s="199"/>
      <c r="O1816" s="199"/>
      <c r="P1816" s="199"/>
      <c r="Q1816" s="199"/>
      <c r="R1816" s="199"/>
    </row>
    <row r="1817" spans="2:18">
      <c r="B1817" s="224"/>
      <c r="C1817" s="273" t="s">
        <v>738</v>
      </c>
      <c r="D1817" s="273" t="s">
        <v>1827</v>
      </c>
      <c r="E1817" s="201">
        <v>392</v>
      </c>
      <c r="F1817" s="201">
        <f>E1817/5</f>
        <v>78.400000000000006</v>
      </c>
      <c r="G1817" s="203">
        <v>43280</v>
      </c>
      <c r="M1817" s="199"/>
      <c r="N1817" s="199"/>
      <c r="O1817" s="199"/>
      <c r="P1817" s="199"/>
      <c r="Q1817" s="199"/>
      <c r="R1817" s="199"/>
    </row>
    <row r="1818" spans="2:18">
      <c r="B1818" s="224"/>
      <c r="C1818" s="225"/>
      <c r="D1818" s="225"/>
      <c r="G1818" s="203"/>
      <c r="M1818" s="199"/>
      <c r="N1818" s="199"/>
      <c r="O1818" s="199"/>
      <c r="P1818" s="199"/>
      <c r="Q1818" s="199"/>
      <c r="R1818" s="199"/>
    </row>
    <row r="1819" spans="2:18">
      <c r="B1819" s="224" t="s">
        <v>2398</v>
      </c>
      <c r="C1819" s="225" t="s">
        <v>669</v>
      </c>
      <c r="D1819" s="225" t="s">
        <v>576</v>
      </c>
      <c r="E1819" s="201">
        <v>1.2</v>
      </c>
      <c r="F1819" s="201">
        <v>0.3</v>
      </c>
      <c r="G1819" s="203">
        <v>44545</v>
      </c>
      <c r="M1819" s="199"/>
      <c r="N1819" s="199"/>
      <c r="O1819" s="199"/>
      <c r="P1819" s="199"/>
      <c r="Q1819" s="199"/>
      <c r="R1819" s="199"/>
    </row>
    <row r="1820" spans="2:18">
      <c r="B1820" s="224" t="s">
        <v>2399</v>
      </c>
      <c r="C1820" s="225" t="s">
        <v>669</v>
      </c>
      <c r="D1820" s="225" t="s">
        <v>576</v>
      </c>
      <c r="E1820" s="201">
        <v>1.2</v>
      </c>
      <c r="F1820" s="201">
        <v>0.3</v>
      </c>
      <c r="G1820" s="203">
        <v>44545</v>
      </c>
      <c r="M1820" s="199"/>
      <c r="N1820" s="199"/>
      <c r="O1820" s="199"/>
      <c r="P1820" s="199"/>
      <c r="Q1820" s="199"/>
      <c r="R1820" s="199"/>
    </row>
    <row r="1821" spans="2:18">
      <c r="B1821" s="224" t="s">
        <v>2400</v>
      </c>
      <c r="C1821" s="225" t="s">
        <v>669</v>
      </c>
      <c r="D1821" s="225" t="s">
        <v>576</v>
      </c>
      <c r="E1821" s="201">
        <v>1.2</v>
      </c>
      <c r="F1821" s="201">
        <v>0.3</v>
      </c>
      <c r="G1821" s="203">
        <v>44545</v>
      </c>
      <c r="M1821" s="199"/>
      <c r="N1821" s="199"/>
      <c r="O1821" s="199"/>
      <c r="P1821" s="199"/>
      <c r="Q1821" s="199"/>
      <c r="R1821" s="199"/>
    </row>
    <row r="1822" spans="2:18">
      <c r="B1822" s="224" t="s">
        <v>2401</v>
      </c>
      <c r="C1822" s="225" t="s">
        <v>669</v>
      </c>
      <c r="D1822" s="225" t="s">
        <v>576</v>
      </c>
      <c r="E1822" s="201">
        <v>1.2</v>
      </c>
      <c r="F1822" s="201">
        <v>0.3</v>
      </c>
      <c r="G1822" s="203">
        <v>44545</v>
      </c>
      <c r="M1822" s="199"/>
      <c r="N1822" s="199"/>
      <c r="O1822" s="199"/>
      <c r="P1822" s="199"/>
      <c r="Q1822" s="199"/>
      <c r="R1822" s="199"/>
    </row>
    <row r="1823" spans="2:18">
      <c r="B1823" s="224"/>
      <c r="C1823" s="225"/>
      <c r="D1823" s="225"/>
      <c r="G1823" s="203"/>
      <c r="M1823" s="199"/>
      <c r="N1823" s="199"/>
      <c r="O1823" s="199"/>
      <c r="P1823" s="199"/>
      <c r="Q1823" s="199"/>
      <c r="R1823" s="199"/>
    </row>
    <row r="1824" spans="2:18">
      <c r="B1824" s="227" t="s">
        <v>2442</v>
      </c>
      <c r="C1824" s="228" t="s">
        <v>2439</v>
      </c>
      <c r="D1824" s="228" t="s">
        <v>2441</v>
      </c>
      <c r="E1824" s="201">
        <v>250</v>
      </c>
      <c r="F1824" s="201">
        <v>50</v>
      </c>
      <c r="G1824" s="203">
        <v>44376</v>
      </c>
      <c r="M1824" s="199"/>
      <c r="N1824" s="199"/>
      <c r="O1824" s="199"/>
      <c r="P1824" s="199"/>
      <c r="Q1824" s="199"/>
      <c r="R1824" s="199"/>
    </row>
    <row r="1825" spans="2:18">
      <c r="B1825" s="227"/>
      <c r="C1825" s="228" t="s">
        <v>813</v>
      </c>
      <c r="D1825" s="228" t="s">
        <v>2441</v>
      </c>
      <c r="E1825" s="201">
        <v>270</v>
      </c>
      <c r="F1825" s="201">
        <v>50</v>
      </c>
      <c r="G1825" s="203">
        <v>44152</v>
      </c>
      <c r="M1825" s="199"/>
      <c r="N1825" s="199"/>
      <c r="O1825" s="199"/>
      <c r="P1825" s="199"/>
      <c r="Q1825" s="199"/>
      <c r="R1825" s="199"/>
    </row>
    <row r="1826" spans="2:18">
      <c r="B1826" s="227"/>
      <c r="C1826" s="228"/>
      <c r="D1826" s="228"/>
      <c r="G1826" s="203"/>
      <c r="M1826" s="199"/>
      <c r="N1826" s="199"/>
      <c r="O1826" s="199"/>
      <c r="P1826" s="199"/>
      <c r="Q1826" s="199"/>
      <c r="R1826" s="199"/>
    </row>
    <row r="1827" spans="2:18">
      <c r="B1827" s="227" t="s">
        <v>2443</v>
      </c>
      <c r="C1827" s="228" t="s">
        <v>2439</v>
      </c>
      <c r="D1827" s="228" t="s">
        <v>2441</v>
      </c>
      <c r="E1827" s="201">
        <v>250</v>
      </c>
      <c r="F1827" s="201">
        <f>150/5</f>
        <v>30</v>
      </c>
      <c r="G1827" s="203">
        <v>44376</v>
      </c>
      <c r="M1827" s="199"/>
      <c r="N1827" s="199"/>
      <c r="O1827" s="199"/>
      <c r="P1827" s="199"/>
      <c r="Q1827" s="199"/>
      <c r="R1827" s="199"/>
    </row>
    <row r="1828" spans="2:18">
      <c r="B1828" s="227" t="s">
        <v>2444</v>
      </c>
      <c r="C1828" s="228" t="s">
        <v>2439</v>
      </c>
      <c r="D1828" s="228" t="s">
        <v>2441</v>
      </c>
      <c r="E1828" s="201">
        <v>250</v>
      </c>
      <c r="F1828" s="201">
        <f>150/5</f>
        <v>30</v>
      </c>
      <c r="G1828" s="203">
        <v>44376</v>
      </c>
      <c r="M1828" s="199"/>
      <c r="N1828" s="199"/>
      <c r="O1828" s="199"/>
      <c r="P1828" s="199"/>
      <c r="Q1828" s="199"/>
      <c r="R1828" s="199"/>
    </row>
    <row r="1829" spans="2:18">
      <c r="B1829" s="227" t="s">
        <v>2445</v>
      </c>
      <c r="C1829" s="228" t="s">
        <v>2439</v>
      </c>
      <c r="D1829" s="228" t="s">
        <v>2441</v>
      </c>
      <c r="E1829" s="201">
        <v>250</v>
      </c>
      <c r="F1829" s="201">
        <f>150/5</f>
        <v>30</v>
      </c>
      <c r="G1829" s="203">
        <v>44376</v>
      </c>
      <c r="M1829" s="199"/>
      <c r="N1829" s="199"/>
      <c r="O1829" s="199"/>
      <c r="P1829" s="199"/>
      <c r="Q1829" s="199"/>
      <c r="R1829" s="199"/>
    </row>
    <row r="1830" spans="2:18">
      <c r="B1830" s="227" t="s">
        <v>2446</v>
      </c>
      <c r="C1830" s="228" t="s">
        <v>2439</v>
      </c>
      <c r="D1830" s="228" t="s">
        <v>2441</v>
      </c>
      <c r="E1830" s="201">
        <v>250</v>
      </c>
      <c r="F1830" s="201">
        <f>150/5</f>
        <v>30</v>
      </c>
      <c r="G1830" s="203">
        <v>44376</v>
      </c>
      <c r="M1830" s="199"/>
      <c r="N1830" s="199"/>
      <c r="O1830" s="199"/>
      <c r="P1830" s="199"/>
      <c r="Q1830" s="199"/>
      <c r="R1830" s="199"/>
    </row>
    <row r="1831" spans="2:18">
      <c r="B1831" s="227"/>
      <c r="C1831" s="228"/>
      <c r="D1831" s="228"/>
      <c r="G1831" s="203"/>
      <c r="M1831" s="199"/>
      <c r="N1831" s="199"/>
      <c r="O1831" s="199"/>
      <c r="P1831" s="199"/>
      <c r="Q1831" s="199"/>
      <c r="R1831" s="199"/>
    </row>
    <row r="1832" spans="2:18">
      <c r="B1832" s="227" t="s">
        <v>2447</v>
      </c>
      <c r="C1832" s="228" t="s">
        <v>813</v>
      </c>
      <c r="D1832" s="228" t="s">
        <v>2441</v>
      </c>
      <c r="E1832" s="201">
        <v>270</v>
      </c>
      <c r="F1832" s="201">
        <v>22</v>
      </c>
      <c r="G1832" s="203">
        <v>44152</v>
      </c>
      <c r="M1832" s="199"/>
      <c r="N1832" s="199"/>
      <c r="O1832" s="199"/>
      <c r="P1832" s="199"/>
      <c r="Q1832" s="199"/>
      <c r="R1832" s="199"/>
    </row>
    <row r="1833" spans="2:18">
      <c r="B1833" s="227"/>
      <c r="C1833" s="228" t="s">
        <v>738</v>
      </c>
      <c r="D1833" s="228" t="s">
        <v>2441</v>
      </c>
      <c r="E1833" s="201">
        <v>206</v>
      </c>
      <c r="F1833" s="201">
        <v>14</v>
      </c>
      <c r="G1833" s="203">
        <v>43725</v>
      </c>
      <c r="M1833" s="199"/>
      <c r="N1833" s="199"/>
      <c r="O1833" s="199"/>
      <c r="P1833" s="199"/>
      <c r="Q1833" s="199"/>
      <c r="R1833" s="199"/>
    </row>
    <row r="1834" spans="2:18">
      <c r="B1834" s="227"/>
      <c r="C1834" s="228"/>
      <c r="D1834" s="228"/>
      <c r="G1834" s="203"/>
      <c r="M1834" s="199"/>
      <c r="N1834" s="199"/>
      <c r="O1834" s="199"/>
      <c r="P1834" s="199"/>
      <c r="Q1834" s="199"/>
      <c r="R1834" s="199"/>
    </row>
    <row r="1835" spans="2:18">
      <c r="B1835" s="227" t="s">
        <v>2448</v>
      </c>
      <c r="C1835" s="228" t="s">
        <v>813</v>
      </c>
      <c r="D1835" s="228" t="s">
        <v>2441</v>
      </c>
      <c r="E1835" s="201">
        <v>270</v>
      </c>
      <c r="F1835" s="201">
        <v>22</v>
      </c>
      <c r="G1835" s="203">
        <v>44152</v>
      </c>
      <c r="M1835" s="199"/>
      <c r="N1835" s="199"/>
      <c r="O1835" s="199"/>
      <c r="P1835" s="199"/>
      <c r="Q1835" s="199"/>
      <c r="R1835" s="199"/>
    </row>
    <row r="1836" spans="2:18">
      <c r="B1836" s="227"/>
      <c r="C1836" s="273" t="s">
        <v>755</v>
      </c>
      <c r="D1836" s="273" t="s">
        <v>1827</v>
      </c>
      <c r="E1836" s="201">
        <v>130</v>
      </c>
      <c r="F1836" s="201">
        <v>12</v>
      </c>
      <c r="G1836" s="203">
        <v>42080</v>
      </c>
      <c r="M1836" s="199"/>
      <c r="N1836" s="199"/>
      <c r="O1836" s="199"/>
      <c r="P1836" s="199"/>
      <c r="Q1836" s="199"/>
      <c r="R1836" s="199"/>
    </row>
    <row r="1837" spans="2:18">
      <c r="B1837" s="227"/>
      <c r="C1837" s="228"/>
      <c r="D1837" s="228"/>
      <c r="G1837" s="203"/>
      <c r="M1837" s="199"/>
      <c r="N1837" s="199"/>
      <c r="O1837" s="199"/>
      <c r="P1837" s="199"/>
      <c r="Q1837" s="199"/>
      <c r="R1837" s="199"/>
    </row>
    <row r="1838" spans="2:18">
      <c r="B1838" s="227" t="s">
        <v>2449</v>
      </c>
      <c r="C1838" s="228" t="s">
        <v>813</v>
      </c>
      <c r="D1838" s="228" t="s">
        <v>2441</v>
      </c>
      <c r="E1838" s="201">
        <v>270</v>
      </c>
      <c r="F1838" s="201">
        <v>22</v>
      </c>
      <c r="G1838" s="203">
        <v>44152</v>
      </c>
      <c r="M1838" s="199"/>
      <c r="N1838" s="199"/>
      <c r="O1838" s="199"/>
      <c r="P1838" s="199"/>
      <c r="Q1838" s="199"/>
      <c r="R1838" s="199"/>
    </row>
    <row r="1839" spans="2:18">
      <c r="B1839" s="227" t="s">
        <v>2451</v>
      </c>
      <c r="C1839" s="228" t="s">
        <v>813</v>
      </c>
      <c r="D1839" s="228" t="s">
        <v>2441</v>
      </c>
      <c r="E1839" s="201">
        <v>50</v>
      </c>
      <c r="F1839" s="201">
        <v>10</v>
      </c>
      <c r="G1839" s="203">
        <v>44174</v>
      </c>
      <c r="M1839" s="199"/>
      <c r="N1839" s="199"/>
      <c r="O1839" s="199"/>
      <c r="P1839" s="199"/>
      <c r="Q1839" s="199"/>
      <c r="R1839" s="199"/>
    </row>
    <row r="1840" spans="2:18">
      <c r="B1840" s="227" t="s">
        <v>2452</v>
      </c>
      <c r="C1840" s="228" t="s">
        <v>813</v>
      </c>
      <c r="D1840" s="228" t="s">
        <v>2441</v>
      </c>
      <c r="E1840" s="201">
        <v>50</v>
      </c>
      <c r="F1840" s="201">
        <v>10</v>
      </c>
      <c r="G1840" s="203">
        <v>44174</v>
      </c>
      <c r="M1840" s="199"/>
      <c r="N1840" s="199"/>
      <c r="O1840" s="199"/>
      <c r="P1840" s="199"/>
      <c r="Q1840" s="199"/>
      <c r="R1840" s="199"/>
    </row>
    <row r="1841" spans="2:18">
      <c r="B1841" s="227"/>
      <c r="C1841" s="228"/>
      <c r="D1841" s="228"/>
      <c r="G1841" s="203"/>
      <c r="M1841" s="199"/>
      <c r="N1841" s="199"/>
      <c r="O1841" s="199"/>
      <c r="P1841" s="199"/>
      <c r="Q1841" s="199"/>
      <c r="R1841" s="199"/>
    </row>
    <row r="1842" spans="2:18">
      <c r="B1842" s="227" t="s">
        <v>2454</v>
      </c>
      <c r="C1842" s="228" t="s">
        <v>738</v>
      </c>
      <c r="D1842" s="228" t="s">
        <v>2441</v>
      </c>
      <c r="E1842" s="201">
        <v>206</v>
      </c>
      <c r="F1842" s="201">
        <v>14</v>
      </c>
      <c r="G1842" s="203">
        <v>43725</v>
      </c>
      <c r="M1842" s="199"/>
      <c r="N1842" s="199"/>
      <c r="O1842" s="199"/>
      <c r="P1842" s="199"/>
      <c r="Q1842" s="199"/>
      <c r="R1842" s="199"/>
    </row>
    <row r="1843" spans="2:18">
      <c r="B1843" s="227"/>
      <c r="C1843" s="228" t="s">
        <v>755</v>
      </c>
      <c r="D1843" s="228" t="s">
        <v>1257</v>
      </c>
      <c r="E1843" s="201">
        <v>90</v>
      </c>
      <c r="F1843" s="201">
        <f>50/11</f>
        <v>4.5454545454545459</v>
      </c>
      <c r="G1843" s="203">
        <v>44776</v>
      </c>
      <c r="M1843" s="199"/>
      <c r="N1843" s="199"/>
      <c r="O1843" s="199"/>
      <c r="P1843" s="199"/>
      <c r="Q1843" s="199"/>
      <c r="R1843" s="199"/>
    </row>
    <row r="1844" spans="2:18">
      <c r="B1844" s="227"/>
      <c r="C1844" s="228" t="s">
        <v>565</v>
      </c>
      <c r="D1844" s="228" t="s">
        <v>1257</v>
      </c>
      <c r="E1844" s="201">
        <v>40</v>
      </c>
      <c r="F1844" s="201">
        <v>3.75</v>
      </c>
      <c r="G1844" s="203">
        <v>44176</v>
      </c>
      <c r="M1844" s="199"/>
      <c r="N1844" s="199"/>
      <c r="O1844" s="199"/>
      <c r="P1844" s="199"/>
      <c r="Q1844" s="199"/>
      <c r="R1844" s="199"/>
    </row>
    <row r="1845" spans="2:18">
      <c r="B1845" s="227"/>
      <c r="C1845" s="228"/>
      <c r="D1845" s="228"/>
      <c r="G1845" s="203"/>
      <c r="M1845" s="199"/>
      <c r="N1845" s="199"/>
      <c r="O1845" s="199"/>
      <c r="P1845" s="199"/>
      <c r="Q1845" s="199"/>
      <c r="R1845" s="199"/>
    </row>
    <row r="1846" spans="2:18">
      <c r="B1846" s="227" t="s">
        <v>2455</v>
      </c>
      <c r="C1846" s="228" t="s">
        <v>738</v>
      </c>
      <c r="D1846" s="228" t="s">
        <v>2441</v>
      </c>
      <c r="E1846" s="201">
        <v>206</v>
      </c>
      <c r="F1846" s="201">
        <v>14</v>
      </c>
      <c r="G1846" s="203">
        <v>43725</v>
      </c>
      <c r="M1846" s="199"/>
      <c r="N1846" s="199"/>
      <c r="O1846" s="199"/>
      <c r="P1846" s="199"/>
      <c r="Q1846" s="199"/>
      <c r="R1846" s="199"/>
    </row>
    <row r="1847" spans="2:18">
      <c r="B1847" s="227"/>
      <c r="C1847" s="228" t="s">
        <v>755</v>
      </c>
      <c r="D1847" s="228" t="s">
        <v>2441</v>
      </c>
      <c r="E1847" s="201">
        <v>100</v>
      </c>
      <c r="F1847" s="201">
        <v>20</v>
      </c>
      <c r="G1847" s="203">
        <v>43397</v>
      </c>
      <c r="M1847" s="199"/>
      <c r="N1847" s="199"/>
      <c r="O1847" s="199"/>
      <c r="P1847" s="199"/>
      <c r="Q1847" s="199"/>
      <c r="R1847" s="199"/>
    </row>
    <row r="1848" spans="2:18">
      <c r="B1848" s="227"/>
      <c r="C1848" s="228"/>
      <c r="D1848" s="228"/>
      <c r="G1848" s="203"/>
      <c r="M1848" s="199"/>
      <c r="N1848" s="199"/>
      <c r="O1848" s="199"/>
      <c r="P1848" s="199"/>
      <c r="Q1848" s="199"/>
      <c r="R1848" s="199"/>
    </row>
    <row r="1849" spans="2:18">
      <c r="B1849" s="227" t="s">
        <v>2456</v>
      </c>
      <c r="C1849" s="228" t="s">
        <v>738</v>
      </c>
      <c r="D1849" s="228" t="s">
        <v>2441</v>
      </c>
      <c r="E1849" s="201">
        <v>206</v>
      </c>
      <c r="F1849" s="201">
        <v>14</v>
      </c>
      <c r="G1849" s="203">
        <v>43725</v>
      </c>
      <c r="M1849" s="199"/>
      <c r="N1849" s="199"/>
      <c r="O1849" s="199"/>
      <c r="P1849" s="199"/>
      <c r="Q1849" s="199"/>
      <c r="R1849" s="199"/>
    </row>
    <row r="1850" spans="2:18">
      <c r="B1850" s="227"/>
      <c r="C1850" s="240" t="s">
        <v>738</v>
      </c>
      <c r="D1850" s="240" t="s">
        <v>2810</v>
      </c>
      <c r="E1850" s="201">
        <v>400</v>
      </c>
      <c r="F1850" s="201">
        <v>100</v>
      </c>
      <c r="G1850" s="203">
        <v>44608</v>
      </c>
      <c r="M1850" s="199"/>
      <c r="N1850" s="199"/>
      <c r="O1850" s="199"/>
      <c r="P1850" s="199"/>
      <c r="Q1850" s="199"/>
      <c r="R1850" s="199"/>
    </row>
    <row r="1851" spans="2:18">
      <c r="B1851" s="227"/>
      <c r="C1851" s="228"/>
      <c r="D1851" s="228"/>
      <c r="G1851" s="203"/>
      <c r="M1851" s="199"/>
      <c r="N1851" s="199"/>
      <c r="O1851" s="199"/>
      <c r="P1851" s="199"/>
      <c r="Q1851" s="199"/>
      <c r="R1851" s="199"/>
    </row>
    <row r="1852" spans="2:18">
      <c r="B1852" s="227"/>
      <c r="C1852" s="228"/>
      <c r="D1852" s="228"/>
      <c r="G1852" s="203"/>
      <c r="M1852" s="199"/>
      <c r="N1852" s="199"/>
      <c r="O1852" s="199"/>
      <c r="P1852" s="199"/>
      <c r="Q1852" s="199"/>
      <c r="R1852" s="199"/>
    </row>
    <row r="1853" spans="2:18">
      <c r="B1853" s="227" t="s">
        <v>2457</v>
      </c>
      <c r="C1853" s="228" t="s">
        <v>738</v>
      </c>
      <c r="D1853" s="228" t="s">
        <v>2441</v>
      </c>
      <c r="E1853" s="201">
        <v>206</v>
      </c>
      <c r="F1853" s="201">
        <v>14</v>
      </c>
      <c r="G1853" s="203">
        <v>43725</v>
      </c>
      <c r="M1853" s="199"/>
      <c r="N1853" s="199"/>
      <c r="O1853" s="199"/>
      <c r="P1853" s="199"/>
      <c r="Q1853" s="199"/>
      <c r="R1853" s="199"/>
    </row>
    <row r="1854" spans="2:18">
      <c r="B1854" s="227" t="s">
        <v>2458</v>
      </c>
      <c r="C1854" s="228" t="s">
        <v>738</v>
      </c>
      <c r="D1854" s="228" t="s">
        <v>2441</v>
      </c>
      <c r="E1854" s="201">
        <v>206</v>
      </c>
      <c r="F1854" s="201">
        <v>14</v>
      </c>
      <c r="G1854" s="203">
        <v>43725</v>
      </c>
      <c r="M1854" s="199"/>
      <c r="N1854" s="199"/>
      <c r="O1854" s="199"/>
      <c r="P1854" s="199"/>
      <c r="Q1854" s="199"/>
      <c r="R1854" s="199"/>
    </row>
    <row r="1855" spans="2:18">
      <c r="B1855" s="227"/>
      <c r="C1855" s="228"/>
      <c r="D1855" s="228"/>
      <c r="G1855" s="203"/>
      <c r="M1855" s="199"/>
      <c r="N1855" s="199"/>
      <c r="O1855" s="199"/>
      <c r="P1855" s="199"/>
      <c r="Q1855" s="199"/>
      <c r="R1855" s="199"/>
    </row>
    <row r="1856" spans="2:18">
      <c r="B1856" s="227" t="s">
        <v>2459</v>
      </c>
      <c r="C1856" s="228" t="s">
        <v>738</v>
      </c>
      <c r="D1856" s="228" t="s">
        <v>2441</v>
      </c>
      <c r="E1856" s="201">
        <v>206</v>
      </c>
      <c r="F1856" s="201">
        <v>14</v>
      </c>
      <c r="G1856" s="203">
        <v>43725</v>
      </c>
      <c r="M1856" s="199"/>
      <c r="N1856" s="199"/>
      <c r="O1856" s="199"/>
      <c r="P1856" s="199"/>
      <c r="Q1856" s="199"/>
      <c r="R1856" s="199"/>
    </row>
    <row r="1857" spans="2:18">
      <c r="B1857" s="227"/>
      <c r="C1857" s="228" t="s">
        <v>755</v>
      </c>
      <c r="D1857" s="228" t="s">
        <v>2441</v>
      </c>
      <c r="E1857" s="201">
        <v>100</v>
      </c>
      <c r="F1857" s="201">
        <v>15</v>
      </c>
      <c r="G1857" s="203">
        <v>43397</v>
      </c>
      <c r="M1857" s="199"/>
      <c r="N1857" s="199"/>
      <c r="O1857" s="199"/>
      <c r="P1857" s="199"/>
      <c r="Q1857" s="199"/>
      <c r="R1857" s="199"/>
    </row>
    <row r="1858" spans="2:18">
      <c r="B1858" s="227"/>
      <c r="C1858" s="228"/>
      <c r="D1858" s="228"/>
      <c r="G1858" s="203"/>
      <c r="M1858" s="199"/>
      <c r="N1858" s="199"/>
      <c r="O1858" s="199"/>
      <c r="P1858" s="199"/>
      <c r="Q1858" s="199"/>
      <c r="R1858" s="199"/>
    </row>
    <row r="1859" spans="2:18">
      <c r="B1859" s="227" t="s">
        <v>2460</v>
      </c>
      <c r="C1859" s="228" t="s">
        <v>738</v>
      </c>
      <c r="D1859" s="228" t="s">
        <v>2441</v>
      </c>
      <c r="E1859" s="201">
        <v>206</v>
      </c>
      <c r="F1859" s="201">
        <v>14</v>
      </c>
      <c r="G1859" s="203">
        <v>43725</v>
      </c>
      <c r="M1859" s="199"/>
      <c r="N1859" s="199"/>
      <c r="O1859" s="199"/>
      <c r="P1859" s="199"/>
      <c r="Q1859" s="199"/>
      <c r="R1859" s="199"/>
    </row>
    <row r="1860" spans="2:18">
      <c r="B1860" s="227" t="s">
        <v>2463</v>
      </c>
      <c r="C1860" s="228" t="s">
        <v>565</v>
      </c>
      <c r="D1860" s="228" t="s">
        <v>2441</v>
      </c>
      <c r="E1860" s="201">
        <v>67.2</v>
      </c>
      <c r="F1860" s="201">
        <v>10</v>
      </c>
      <c r="G1860" s="203">
        <v>42943</v>
      </c>
      <c r="M1860" s="199"/>
      <c r="N1860" s="199"/>
      <c r="O1860" s="199"/>
      <c r="P1860" s="199"/>
      <c r="Q1860" s="199"/>
      <c r="R1860" s="199"/>
    </row>
    <row r="1861" spans="2:18">
      <c r="B1861" s="227" t="s">
        <v>2464</v>
      </c>
      <c r="C1861" s="228" t="s">
        <v>565</v>
      </c>
      <c r="D1861" s="228" t="s">
        <v>2441</v>
      </c>
      <c r="E1861" s="201">
        <v>67.2</v>
      </c>
      <c r="F1861" s="201">
        <v>10</v>
      </c>
      <c r="G1861" s="203">
        <v>42943</v>
      </c>
      <c r="M1861" s="199"/>
      <c r="N1861" s="199"/>
      <c r="O1861" s="199"/>
      <c r="P1861" s="199"/>
      <c r="Q1861" s="199"/>
      <c r="R1861" s="199"/>
    </row>
    <row r="1862" spans="2:18">
      <c r="B1862" s="227" t="s">
        <v>2471</v>
      </c>
      <c r="C1862" s="228" t="s">
        <v>544</v>
      </c>
      <c r="D1862" s="228" t="s">
        <v>2472</v>
      </c>
      <c r="E1862" s="201">
        <v>13</v>
      </c>
      <c r="F1862" s="201">
        <v>4</v>
      </c>
      <c r="G1862" s="203">
        <v>44516</v>
      </c>
      <c r="M1862" s="199"/>
      <c r="N1862" s="199"/>
      <c r="O1862" s="199"/>
      <c r="P1862" s="199"/>
      <c r="Q1862" s="199"/>
      <c r="R1862" s="199"/>
    </row>
    <row r="1863" spans="2:18">
      <c r="B1863" s="227"/>
      <c r="C1863" s="228"/>
      <c r="D1863" s="228"/>
      <c r="G1863" s="203"/>
      <c r="M1863" s="199"/>
      <c r="N1863" s="199"/>
      <c r="O1863" s="199"/>
      <c r="P1863" s="199"/>
      <c r="Q1863" s="199"/>
      <c r="R1863" s="199"/>
    </row>
    <row r="1864" spans="2:18">
      <c r="B1864" s="227" t="s">
        <v>2473</v>
      </c>
      <c r="C1864" s="228" t="s">
        <v>544</v>
      </c>
      <c r="D1864" s="228" t="s">
        <v>2472</v>
      </c>
      <c r="E1864" s="201">
        <v>13</v>
      </c>
      <c r="F1864" s="201">
        <v>1.4</v>
      </c>
      <c r="G1864" s="203">
        <v>44516</v>
      </c>
      <c r="M1864" s="199"/>
      <c r="N1864" s="199"/>
      <c r="O1864" s="199"/>
      <c r="P1864" s="199"/>
      <c r="Q1864" s="199"/>
      <c r="R1864" s="199"/>
    </row>
    <row r="1865" spans="2:18">
      <c r="B1865" s="227"/>
      <c r="C1865" s="228" t="s">
        <v>549</v>
      </c>
      <c r="D1865" s="228" t="s">
        <v>2472</v>
      </c>
      <c r="E1865" s="201">
        <v>2.5</v>
      </c>
      <c r="F1865" s="201">
        <v>1.5</v>
      </c>
      <c r="G1865" s="203">
        <v>44305</v>
      </c>
      <c r="M1865" s="199"/>
      <c r="N1865" s="199"/>
      <c r="O1865" s="199"/>
      <c r="P1865" s="199"/>
      <c r="Q1865" s="199"/>
      <c r="R1865" s="199"/>
    </row>
    <row r="1866" spans="2:18">
      <c r="B1866" s="227"/>
      <c r="C1866" s="228" t="s">
        <v>549</v>
      </c>
      <c r="D1866" s="228" t="s">
        <v>2483</v>
      </c>
      <c r="E1866" s="201">
        <v>2</v>
      </c>
      <c r="F1866" s="201">
        <v>2</v>
      </c>
      <c r="G1866" s="203">
        <v>44332</v>
      </c>
      <c r="M1866" s="199"/>
      <c r="N1866" s="199"/>
      <c r="O1866" s="199"/>
      <c r="P1866" s="199"/>
      <c r="Q1866" s="199"/>
      <c r="R1866" s="199"/>
    </row>
    <row r="1867" spans="2:18">
      <c r="B1867" s="227"/>
      <c r="C1867" s="228"/>
      <c r="D1867" s="228"/>
      <c r="G1867" s="203"/>
      <c r="M1867" s="199"/>
      <c r="N1867" s="199"/>
      <c r="O1867" s="199"/>
      <c r="P1867" s="199"/>
      <c r="Q1867" s="199"/>
      <c r="R1867" s="199"/>
    </row>
    <row r="1868" spans="2:18">
      <c r="B1868" s="227" t="s">
        <v>2474</v>
      </c>
      <c r="C1868" s="228" t="s">
        <v>544</v>
      </c>
      <c r="D1868" s="228" t="s">
        <v>2472</v>
      </c>
      <c r="E1868" s="201">
        <v>13</v>
      </c>
      <c r="F1868" s="201">
        <v>1.4</v>
      </c>
      <c r="G1868" s="203">
        <v>44516</v>
      </c>
      <c r="M1868" s="199"/>
      <c r="N1868" s="199"/>
      <c r="O1868" s="199"/>
      <c r="P1868" s="199"/>
      <c r="Q1868" s="199"/>
      <c r="R1868" s="199"/>
    </row>
    <row r="1869" spans="2:18">
      <c r="B1869" s="227" t="s">
        <v>2475</v>
      </c>
      <c r="C1869" s="228" t="s">
        <v>544</v>
      </c>
      <c r="D1869" s="228" t="s">
        <v>2472</v>
      </c>
      <c r="E1869" s="201">
        <v>13</v>
      </c>
      <c r="F1869" s="201">
        <v>1.4</v>
      </c>
      <c r="G1869" s="203">
        <v>44516</v>
      </c>
      <c r="M1869" s="199"/>
      <c r="N1869" s="199"/>
      <c r="O1869" s="199"/>
      <c r="P1869" s="199"/>
      <c r="Q1869" s="199"/>
      <c r="R1869" s="199"/>
    </row>
    <row r="1870" spans="2:18">
      <c r="B1870" s="227"/>
      <c r="C1870" s="249" t="s">
        <v>549</v>
      </c>
      <c r="D1870" s="249" t="s">
        <v>1416</v>
      </c>
      <c r="E1870" s="201">
        <v>3.5</v>
      </c>
      <c r="F1870" s="201">
        <f>E1870/10</f>
        <v>0.35</v>
      </c>
      <c r="G1870" s="203">
        <v>43046</v>
      </c>
      <c r="M1870" s="199"/>
      <c r="N1870" s="199"/>
      <c r="O1870" s="199"/>
      <c r="P1870" s="199"/>
      <c r="Q1870" s="199"/>
      <c r="R1870" s="199"/>
    </row>
    <row r="1871" spans="2:18">
      <c r="B1871" s="227"/>
      <c r="C1871" s="228"/>
      <c r="D1871" s="228"/>
      <c r="G1871" s="203"/>
      <c r="M1871" s="199"/>
      <c r="N1871" s="199"/>
      <c r="O1871" s="199"/>
      <c r="P1871" s="199"/>
      <c r="Q1871" s="199"/>
      <c r="R1871" s="199"/>
    </row>
    <row r="1872" spans="2:18">
      <c r="B1872" s="227" t="s">
        <v>2477</v>
      </c>
      <c r="C1872" s="228" t="s">
        <v>549</v>
      </c>
      <c r="D1872" s="228" t="s">
        <v>2472</v>
      </c>
      <c r="E1872" s="201">
        <v>2.5</v>
      </c>
      <c r="F1872" s="201">
        <v>1</v>
      </c>
      <c r="G1872" s="203">
        <v>44305</v>
      </c>
      <c r="M1872" s="199"/>
      <c r="N1872" s="199"/>
      <c r="O1872" s="199"/>
      <c r="P1872" s="199"/>
      <c r="Q1872" s="199"/>
      <c r="R1872" s="199"/>
    </row>
    <row r="1873" spans="2:18">
      <c r="B1873" s="227" t="s">
        <v>2485</v>
      </c>
      <c r="C1873" s="228" t="s">
        <v>549</v>
      </c>
      <c r="D1873" s="228" t="s">
        <v>2483</v>
      </c>
      <c r="E1873" s="201">
        <v>2</v>
      </c>
      <c r="F1873" s="201">
        <v>0.5</v>
      </c>
      <c r="G1873" s="203">
        <v>43876</v>
      </c>
      <c r="M1873" s="199"/>
      <c r="N1873" s="199"/>
      <c r="O1873" s="199"/>
      <c r="P1873" s="199"/>
      <c r="Q1873" s="199"/>
      <c r="R1873" s="199"/>
    </row>
    <row r="1874" spans="2:18">
      <c r="B1874" s="227" t="s">
        <v>2495</v>
      </c>
      <c r="C1874" s="228" t="s">
        <v>402</v>
      </c>
      <c r="D1874" s="228" t="s">
        <v>1521</v>
      </c>
      <c r="E1874" s="201">
        <v>90</v>
      </c>
      <c r="F1874" s="201">
        <v>15</v>
      </c>
      <c r="G1874" s="203">
        <v>44398</v>
      </c>
      <c r="M1874" s="199"/>
      <c r="N1874" s="199"/>
      <c r="O1874" s="199"/>
      <c r="P1874" s="199"/>
      <c r="Q1874" s="199"/>
      <c r="R1874" s="199"/>
    </row>
    <row r="1875" spans="2:18">
      <c r="B1875" s="227"/>
      <c r="C1875" s="228" t="s">
        <v>544</v>
      </c>
      <c r="D1875" s="228" t="s">
        <v>1521</v>
      </c>
      <c r="E1875" s="201">
        <v>22.8</v>
      </c>
      <c r="F1875" s="201">
        <v>3.3</v>
      </c>
      <c r="G1875" s="203">
        <v>43160</v>
      </c>
      <c r="M1875" s="199"/>
      <c r="N1875" s="199"/>
      <c r="O1875" s="199"/>
      <c r="P1875" s="199"/>
      <c r="Q1875" s="199"/>
      <c r="R1875" s="199"/>
    </row>
    <row r="1876" spans="2:18">
      <c r="B1876" s="227" t="s">
        <v>2496</v>
      </c>
      <c r="C1876" s="228" t="s">
        <v>402</v>
      </c>
      <c r="D1876" s="228" t="s">
        <v>1521</v>
      </c>
      <c r="E1876" s="201">
        <v>90</v>
      </c>
      <c r="F1876" s="201">
        <v>6</v>
      </c>
      <c r="G1876" s="203">
        <v>44398</v>
      </c>
      <c r="M1876" s="199"/>
      <c r="N1876" s="199"/>
      <c r="O1876" s="199"/>
      <c r="P1876" s="199"/>
      <c r="Q1876" s="199"/>
      <c r="R1876" s="199"/>
    </row>
    <row r="1877" spans="2:18">
      <c r="B1877" s="227" t="s">
        <v>2497</v>
      </c>
      <c r="C1877" s="228" t="s">
        <v>402</v>
      </c>
      <c r="D1877" s="228" t="s">
        <v>1521</v>
      </c>
      <c r="E1877" s="201">
        <v>90</v>
      </c>
      <c r="F1877" s="201">
        <v>6</v>
      </c>
      <c r="G1877" s="203">
        <v>44398</v>
      </c>
      <c r="M1877" s="199"/>
      <c r="N1877" s="199"/>
      <c r="O1877" s="199"/>
      <c r="P1877" s="199"/>
      <c r="Q1877" s="199"/>
      <c r="R1877" s="199"/>
    </row>
    <row r="1878" spans="2:18">
      <c r="B1878" s="227" t="s">
        <v>2498</v>
      </c>
      <c r="C1878" s="228" t="s">
        <v>402</v>
      </c>
      <c r="D1878" s="228" t="s">
        <v>1521</v>
      </c>
      <c r="E1878" s="201">
        <v>90</v>
      </c>
      <c r="F1878" s="201">
        <v>6</v>
      </c>
      <c r="G1878" s="203">
        <v>44398</v>
      </c>
      <c r="M1878" s="199"/>
      <c r="N1878" s="199"/>
      <c r="O1878" s="199"/>
      <c r="P1878" s="199"/>
      <c r="Q1878" s="199"/>
      <c r="R1878" s="199"/>
    </row>
    <row r="1879" spans="2:18">
      <c r="B1879" s="227" t="s">
        <v>2500</v>
      </c>
      <c r="C1879" s="228" t="s">
        <v>544</v>
      </c>
      <c r="D1879" s="228" t="s">
        <v>1521</v>
      </c>
      <c r="E1879" s="201">
        <v>22.8</v>
      </c>
      <c r="F1879" s="201">
        <v>3.3</v>
      </c>
      <c r="G1879" s="203">
        <v>43160</v>
      </c>
      <c r="H1879" s="230"/>
      <c r="M1879" s="199"/>
      <c r="N1879" s="199"/>
      <c r="O1879" s="199"/>
      <c r="P1879" s="199"/>
      <c r="Q1879" s="199"/>
      <c r="R1879" s="199"/>
    </row>
    <row r="1880" spans="2:18">
      <c r="B1880" s="227" t="s">
        <v>2505</v>
      </c>
      <c r="C1880" s="228" t="s">
        <v>549</v>
      </c>
      <c r="D1880" s="228" t="s">
        <v>1195</v>
      </c>
      <c r="E1880" s="201">
        <v>6</v>
      </c>
      <c r="F1880" s="201">
        <v>1</v>
      </c>
      <c r="G1880" s="203">
        <v>45104</v>
      </c>
      <c r="M1880" s="199"/>
      <c r="N1880" s="199"/>
      <c r="O1880" s="199"/>
      <c r="P1880" s="199"/>
      <c r="Q1880" s="199"/>
      <c r="R1880" s="199"/>
    </row>
    <row r="1881" spans="2:18">
      <c r="B1881" s="227" t="s">
        <v>2506</v>
      </c>
      <c r="C1881" s="228" t="s">
        <v>549</v>
      </c>
      <c r="D1881" s="228" t="s">
        <v>1195</v>
      </c>
      <c r="E1881" s="201">
        <v>6</v>
      </c>
      <c r="F1881" s="201">
        <v>1</v>
      </c>
      <c r="G1881" s="203">
        <v>45104</v>
      </c>
      <c r="M1881" s="199"/>
      <c r="N1881" s="199"/>
      <c r="O1881" s="199"/>
      <c r="P1881" s="199"/>
      <c r="Q1881" s="199"/>
      <c r="R1881" s="199"/>
    </row>
    <row r="1882" spans="2:18">
      <c r="B1882" s="227"/>
      <c r="C1882" s="228"/>
      <c r="D1882" s="228"/>
      <c r="G1882" s="203"/>
      <c r="M1882" s="199"/>
      <c r="N1882" s="199"/>
      <c r="O1882" s="199"/>
      <c r="P1882" s="199"/>
      <c r="Q1882" s="199"/>
      <c r="R1882" s="199"/>
    </row>
    <row r="1883" spans="2:18">
      <c r="B1883" s="227" t="s">
        <v>2507</v>
      </c>
      <c r="C1883" s="228" t="s">
        <v>549</v>
      </c>
      <c r="D1883" s="228" t="s">
        <v>1195</v>
      </c>
      <c r="E1883" s="201">
        <v>6</v>
      </c>
      <c r="F1883" s="201">
        <v>1</v>
      </c>
      <c r="G1883" s="203">
        <v>45104</v>
      </c>
      <c r="M1883" s="199"/>
      <c r="N1883" s="199"/>
      <c r="O1883" s="199"/>
      <c r="P1883" s="199"/>
      <c r="Q1883" s="199"/>
      <c r="R1883" s="199"/>
    </row>
    <row r="1884" spans="2:18">
      <c r="B1884" s="227"/>
      <c r="C1884" s="238" t="s">
        <v>402</v>
      </c>
      <c r="D1884" s="238" t="s">
        <v>1991</v>
      </c>
      <c r="E1884" s="201">
        <v>50</v>
      </c>
      <c r="F1884" s="201">
        <v>5</v>
      </c>
      <c r="G1884" s="203">
        <v>44538</v>
      </c>
      <c r="M1884" s="199"/>
      <c r="N1884" s="199"/>
      <c r="O1884" s="199"/>
      <c r="P1884" s="199"/>
      <c r="Q1884" s="199"/>
      <c r="R1884" s="199"/>
    </row>
    <row r="1885" spans="2:18">
      <c r="B1885" s="227"/>
      <c r="C1885" s="238" t="s">
        <v>549</v>
      </c>
      <c r="D1885" s="238" t="s">
        <v>1991</v>
      </c>
      <c r="E1885" s="201">
        <v>3.1</v>
      </c>
      <c r="F1885" s="201">
        <v>0.5</v>
      </c>
      <c r="G1885" s="203">
        <v>43580</v>
      </c>
      <c r="M1885" s="199"/>
      <c r="N1885" s="199"/>
      <c r="O1885" s="199"/>
      <c r="P1885" s="199"/>
      <c r="Q1885" s="199"/>
      <c r="R1885" s="199"/>
    </row>
    <row r="1886" spans="2:18">
      <c r="B1886" s="227"/>
      <c r="C1886" s="243" t="s">
        <v>544</v>
      </c>
      <c r="D1886" s="243" t="s">
        <v>1464</v>
      </c>
      <c r="E1886" s="201">
        <v>86</v>
      </c>
      <c r="F1886" s="201">
        <v>10</v>
      </c>
      <c r="G1886" s="203">
        <v>44488</v>
      </c>
      <c r="M1886" s="199"/>
      <c r="N1886" s="199"/>
      <c r="O1886" s="199"/>
      <c r="P1886" s="199"/>
      <c r="Q1886" s="199"/>
      <c r="R1886" s="199"/>
    </row>
    <row r="1887" spans="2:18">
      <c r="B1887" s="227"/>
      <c r="C1887" s="243" t="s">
        <v>549</v>
      </c>
      <c r="D1887" s="243" t="s">
        <v>1464</v>
      </c>
      <c r="E1887" s="201">
        <v>8.5</v>
      </c>
      <c r="F1887" s="201">
        <v>1</v>
      </c>
      <c r="G1887" s="203">
        <v>43796</v>
      </c>
      <c r="M1887" s="199"/>
      <c r="N1887" s="199"/>
      <c r="O1887" s="199"/>
      <c r="P1887" s="199"/>
      <c r="Q1887" s="199"/>
      <c r="R1887" s="199"/>
    </row>
    <row r="1888" spans="2:18">
      <c r="B1888" s="227"/>
      <c r="C1888" s="228"/>
      <c r="D1888" s="228"/>
      <c r="G1888" s="203"/>
      <c r="M1888" s="199"/>
      <c r="N1888" s="199"/>
      <c r="O1888" s="199"/>
      <c r="P1888" s="199"/>
      <c r="Q1888" s="199"/>
      <c r="R1888" s="199"/>
    </row>
    <row r="1889" spans="2:18">
      <c r="B1889" s="227" t="s">
        <v>2508</v>
      </c>
      <c r="C1889" s="228" t="s">
        <v>549</v>
      </c>
      <c r="D1889" s="228" t="s">
        <v>1195</v>
      </c>
      <c r="E1889" s="201">
        <v>6</v>
      </c>
      <c r="F1889" s="201">
        <v>1</v>
      </c>
      <c r="G1889" s="203">
        <v>45104</v>
      </c>
      <c r="M1889" s="199"/>
      <c r="N1889" s="199"/>
      <c r="O1889" s="199"/>
      <c r="P1889" s="199"/>
      <c r="Q1889" s="199"/>
      <c r="R1889" s="199"/>
    </row>
    <row r="1890" spans="2:18">
      <c r="B1890" s="227" t="s">
        <v>2509</v>
      </c>
      <c r="C1890" s="228" t="s">
        <v>549</v>
      </c>
      <c r="D1890" s="228" t="s">
        <v>1195</v>
      </c>
      <c r="E1890" s="201">
        <v>6</v>
      </c>
      <c r="F1890" s="201">
        <v>1</v>
      </c>
      <c r="G1890" s="203">
        <v>45104</v>
      </c>
      <c r="M1890" s="199"/>
      <c r="N1890" s="199"/>
      <c r="O1890" s="199"/>
      <c r="P1890" s="199"/>
      <c r="Q1890" s="199"/>
      <c r="R1890" s="199"/>
    </row>
    <row r="1891" spans="2:18">
      <c r="B1891" s="227"/>
      <c r="C1891" s="228"/>
      <c r="D1891" s="228"/>
      <c r="G1891" s="203"/>
      <c r="M1891" s="199"/>
      <c r="N1891" s="199"/>
      <c r="O1891" s="199"/>
      <c r="P1891" s="199"/>
      <c r="Q1891" s="199"/>
      <c r="R1891" s="199"/>
    </row>
    <row r="1892" spans="2:18">
      <c r="B1892" s="227" t="s">
        <v>2522</v>
      </c>
      <c r="C1892" s="228" t="s">
        <v>544</v>
      </c>
      <c r="D1892" s="228" t="s">
        <v>1202</v>
      </c>
      <c r="E1892" s="201">
        <v>15.5</v>
      </c>
      <c r="F1892" s="201">
        <v>1.625</v>
      </c>
      <c r="G1892" s="203">
        <v>44727</v>
      </c>
      <c r="M1892" s="199"/>
      <c r="N1892" s="199"/>
      <c r="O1892" s="199"/>
      <c r="P1892" s="199"/>
      <c r="Q1892" s="199"/>
      <c r="R1892" s="199"/>
    </row>
    <row r="1893" spans="2:18">
      <c r="B1893" s="227"/>
      <c r="C1893" s="228" t="s">
        <v>544</v>
      </c>
      <c r="D1893" s="228" t="s">
        <v>1202</v>
      </c>
      <c r="E1893" s="201">
        <v>12</v>
      </c>
      <c r="F1893" s="201">
        <v>3</v>
      </c>
      <c r="G1893" s="203">
        <v>43948</v>
      </c>
      <c r="M1893" s="199"/>
      <c r="N1893" s="199"/>
      <c r="O1893" s="199"/>
      <c r="P1893" s="199"/>
      <c r="Q1893" s="199"/>
      <c r="R1893" s="199"/>
    </row>
    <row r="1894" spans="2:18">
      <c r="B1894" s="227"/>
      <c r="C1894" s="228"/>
      <c r="D1894" s="228"/>
      <c r="G1894" s="203"/>
      <c r="M1894" s="199"/>
      <c r="N1894" s="199"/>
      <c r="O1894" s="199"/>
      <c r="P1894" s="199"/>
      <c r="Q1894" s="199"/>
      <c r="R1894" s="199"/>
    </row>
    <row r="1895" spans="2:18">
      <c r="B1895" s="227" t="s">
        <v>2523</v>
      </c>
      <c r="C1895" s="228" t="s">
        <v>544</v>
      </c>
      <c r="D1895" s="228" t="s">
        <v>1202</v>
      </c>
      <c r="E1895" s="201">
        <v>15.5</v>
      </c>
      <c r="F1895" s="201">
        <v>3</v>
      </c>
      <c r="G1895" s="203">
        <v>44727</v>
      </c>
      <c r="M1895" s="199"/>
      <c r="N1895" s="199"/>
      <c r="O1895" s="199"/>
      <c r="P1895" s="199"/>
      <c r="Q1895" s="199"/>
      <c r="R1895" s="199"/>
    </row>
    <row r="1896" spans="2:18">
      <c r="B1896" s="227" t="s">
        <v>2524</v>
      </c>
      <c r="C1896" s="228" t="s">
        <v>544</v>
      </c>
      <c r="D1896" s="228" t="s">
        <v>1202</v>
      </c>
      <c r="E1896" s="201">
        <v>15.5</v>
      </c>
      <c r="F1896" s="201">
        <v>3</v>
      </c>
      <c r="G1896" s="203">
        <v>44727</v>
      </c>
      <c r="M1896" s="199"/>
      <c r="N1896" s="199"/>
      <c r="O1896" s="199"/>
      <c r="P1896" s="199"/>
      <c r="Q1896" s="199"/>
      <c r="R1896" s="199"/>
    </row>
    <row r="1897" spans="2:18">
      <c r="B1897" s="227"/>
      <c r="C1897" s="228"/>
      <c r="D1897" s="228"/>
      <c r="G1897" s="203"/>
      <c r="M1897" s="199"/>
      <c r="N1897" s="199"/>
      <c r="O1897" s="199"/>
      <c r="P1897" s="199"/>
      <c r="Q1897" s="199"/>
      <c r="R1897" s="199"/>
    </row>
    <row r="1898" spans="2:18">
      <c r="B1898" s="227" t="s">
        <v>2525</v>
      </c>
      <c r="C1898" s="228" t="s">
        <v>544</v>
      </c>
      <c r="D1898" s="228" t="s">
        <v>1202</v>
      </c>
      <c r="E1898" s="201">
        <v>15.5</v>
      </c>
      <c r="F1898" s="201">
        <v>1.625</v>
      </c>
      <c r="G1898" s="203">
        <v>44727</v>
      </c>
      <c r="M1898" s="199"/>
      <c r="N1898" s="199"/>
      <c r="O1898" s="199"/>
      <c r="P1898" s="199"/>
      <c r="Q1898" s="199"/>
      <c r="R1898" s="199"/>
    </row>
    <row r="1899" spans="2:18">
      <c r="C1899" s="228" t="s">
        <v>544</v>
      </c>
      <c r="D1899" s="228" t="s">
        <v>1202</v>
      </c>
      <c r="E1899" s="201">
        <v>12</v>
      </c>
      <c r="F1899" s="201">
        <v>3</v>
      </c>
      <c r="G1899" s="203">
        <v>43948</v>
      </c>
      <c r="M1899" s="199"/>
      <c r="N1899" s="199"/>
      <c r="O1899" s="199"/>
      <c r="P1899" s="199"/>
      <c r="Q1899" s="199"/>
      <c r="R1899" s="199"/>
    </row>
    <row r="1901" spans="2:18">
      <c r="B1901" s="227" t="s">
        <v>2537</v>
      </c>
      <c r="C1901" s="228" t="s">
        <v>402</v>
      </c>
      <c r="D1901" s="228" t="s">
        <v>1218</v>
      </c>
      <c r="E1901" s="201">
        <v>25.7</v>
      </c>
      <c r="F1901" s="201">
        <v>5</v>
      </c>
      <c r="G1901" s="203">
        <v>43837</v>
      </c>
      <c r="M1901" s="199"/>
      <c r="N1901" s="199"/>
      <c r="O1901" s="199"/>
      <c r="P1901" s="199"/>
      <c r="Q1901" s="199"/>
      <c r="R1901" s="199"/>
    </row>
    <row r="1902" spans="2:18">
      <c r="B1902" s="227" t="s">
        <v>2538</v>
      </c>
      <c r="C1902" s="228" t="s">
        <v>402</v>
      </c>
      <c r="D1902" s="228" t="s">
        <v>1218</v>
      </c>
      <c r="E1902" s="201">
        <v>25.7</v>
      </c>
      <c r="F1902" s="201">
        <v>15.7</v>
      </c>
      <c r="G1902" s="203">
        <v>43837</v>
      </c>
      <c r="M1902" s="199"/>
      <c r="N1902" s="199"/>
      <c r="O1902" s="199"/>
      <c r="P1902" s="199"/>
      <c r="Q1902" s="199"/>
      <c r="R1902" s="199"/>
    </row>
    <row r="1903" spans="2:18">
      <c r="B1903" s="227" t="s">
        <v>2539</v>
      </c>
      <c r="C1903" s="228" t="s">
        <v>402</v>
      </c>
      <c r="D1903" s="228" t="s">
        <v>1218</v>
      </c>
      <c r="E1903" s="201">
        <v>25.7</v>
      </c>
      <c r="F1903" s="201">
        <v>5</v>
      </c>
      <c r="G1903" s="203">
        <v>43837</v>
      </c>
      <c r="M1903" s="199"/>
      <c r="N1903" s="199"/>
      <c r="O1903" s="199"/>
      <c r="P1903" s="199"/>
      <c r="Q1903" s="199"/>
      <c r="R1903" s="199"/>
    </row>
    <row r="1904" spans="2:18">
      <c r="B1904" s="227" t="s">
        <v>2565</v>
      </c>
      <c r="C1904" s="228" t="s">
        <v>402</v>
      </c>
      <c r="D1904" s="228" t="s">
        <v>1236</v>
      </c>
      <c r="E1904" s="201">
        <v>26.8</v>
      </c>
      <c r="F1904" s="201">
        <v>6.8</v>
      </c>
      <c r="G1904" s="203">
        <v>44600</v>
      </c>
      <c r="M1904" s="199"/>
      <c r="N1904" s="199"/>
      <c r="O1904" s="199"/>
      <c r="P1904" s="199"/>
      <c r="Q1904" s="199"/>
      <c r="R1904" s="199"/>
    </row>
    <row r="1905" spans="2:18">
      <c r="B1905" s="227"/>
      <c r="C1905" s="273" t="s">
        <v>813</v>
      </c>
      <c r="D1905" s="273" t="s">
        <v>1827</v>
      </c>
      <c r="E1905" s="201">
        <v>475</v>
      </c>
      <c r="F1905" s="201">
        <f>E1905/12</f>
        <v>39.583333333333336</v>
      </c>
      <c r="G1905" s="203">
        <v>44278</v>
      </c>
      <c r="M1905" s="199"/>
      <c r="N1905" s="199"/>
      <c r="O1905" s="199"/>
      <c r="P1905" s="199"/>
      <c r="Q1905" s="199"/>
      <c r="R1905" s="199"/>
    </row>
    <row r="1906" spans="2:18">
      <c r="B1906" s="227"/>
      <c r="C1906" s="228"/>
      <c r="D1906" s="228"/>
      <c r="G1906" s="203"/>
      <c r="M1906" s="199"/>
      <c r="N1906" s="199"/>
      <c r="O1906" s="199"/>
      <c r="P1906" s="199"/>
      <c r="Q1906" s="199"/>
      <c r="R1906" s="199"/>
    </row>
    <row r="1907" spans="2:18">
      <c r="B1907" s="227" t="s">
        <v>2566</v>
      </c>
      <c r="C1907" s="228" t="s">
        <v>402</v>
      </c>
      <c r="D1907" s="228" t="s">
        <v>1236</v>
      </c>
      <c r="E1907" s="201">
        <v>26.8</v>
      </c>
      <c r="F1907" s="201">
        <v>4</v>
      </c>
      <c r="G1907" s="203">
        <v>44600</v>
      </c>
      <c r="M1907" s="199"/>
      <c r="N1907" s="199"/>
      <c r="O1907" s="199"/>
      <c r="P1907" s="199"/>
      <c r="Q1907" s="199"/>
      <c r="R1907" s="199"/>
    </row>
    <row r="1908" spans="2:18">
      <c r="B1908" s="227" t="s">
        <v>2567</v>
      </c>
      <c r="C1908" s="228" t="s">
        <v>402</v>
      </c>
      <c r="D1908" s="228" t="s">
        <v>1236</v>
      </c>
      <c r="E1908" s="201">
        <v>26.8</v>
      </c>
      <c r="F1908" s="201">
        <v>4</v>
      </c>
      <c r="G1908" s="203">
        <v>44600</v>
      </c>
      <c r="M1908" s="199"/>
      <c r="N1908" s="199"/>
      <c r="O1908" s="199"/>
      <c r="P1908" s="199"/>
      <c r="Q1908" s="199"/>
      <c r="R1908" s="199"/>
    </row>
    <row r="1909" spans="2:18">
      <c r="B1909" s="227"/>
      <c r="C1909" s="228" t="s">
        <v>544</v>
      </c>
      <c r="D1909" s="228" t="s">
        <v>1236</v>
      </c>
      <c r="E1909" s="201">
        <v>8.3000000000000007</v>
      </c>
      <c r="F1909" s="201">
        <v>4.3</v>
      </c>
      <c r="G1909" s="203">
        <v>44053</v>
      </c>
      <c r="M1909" s="199"/>
      <c r="N1909" s="199"/>
      <c r="O1909" s="199"/>
      <c r="P1909" s="199"/>
      <c r="Q1909" s="199"/>
      <c r="R1909" s="199"/>
    </row>
    <row r="1910" spans="2:18">
      <c r="B1910" s="227" t="s">
        <v>2568</v>
      </c>
      <c r="C1910" s="228" t="s">
        <v>402</v>
      </c>
      <c r="D1910" s="228" t="s">
        <v>1236</v>
      </c>
      <c r="E1910" s="201">
        <v>26.8</v>
      </c>
      <c r="F1910" s="201">
        <v>4</v>
      </c>
      <c r="G1910" s="203">
        <v>44600</v>
      </c>
      <c r="M1910" s="199"/>
      <c r="N1910" s="199"/>
      <c r="O1910" s="199"/>
      <c r="P1910" s="199"/>
      <c r="Q1910" s="199"/>
      <c r="R1910" s="199"/>
    </row>
    <row r="1911" spans="2:18">
      <c r="C1911" s="228" t="s">
        <v>544</v>
      </c>
      <c r="D1911" s="228" t="s">
        <v>1236</v>
      </c>
      <c r="E1911" s="201">
        <v>8.3000000000000007</v>
      </c>
      <c r="F1911" s="201">
        <v>2</v>
      </c>
      <c r="G1911" s="203">
        <v>44053</v>
      </c>
      <c r="M1911" s="199"/>
      <c r="N1911" s="199"/>
      <c r="O1911" s="199"/>
      <c r="P1911" s="199"/>
      <c r="Q1911" s="199"/>
      <c r="R1911" s="199"/>
    </row>
    <row r="1912" spans="2:18">
      <c r="B1912" s="227" t="s">
        <v>2570</v>
      </c>
      <c r="C1912" s="228" t="s">
        <v>544</v>
      </c>
      <c r="D1912" s="228" t="s">
        <v>1236</v>
      </c>
      <c r="E1912" s="201">
        <v>8.3000000000000007</v>
      </c>
      <c r="F1912" s="201">
        <v>2</v>
      </c>
      <c r="G1912" s="203">
        <v>44053</v>
      </c>
      <c r="M1912" s="199"/>
      <c r="N1912" s="199"/>
      <c r="O1912" s="199"/>
      <c r="P1912" s="199"/>
      <c r="Q1912" s="199"/>
      <c r="R1912" s="199"/>
    </row>
    <row r="1913" spans="2:18">
      <c r="B1913" s="227" t="s">
        <v>2574</v>
      </c>
      <c r="C1913" s="228" t="s">
        <v>402</v>
      </c>
      <c r="D1913" s="228" t="s">
        <v>1265</v>
      </c>
      <c r="E1913" s="201">
        <v>25</v>
      </c>
      <c r="F1913" s="201">
        <v>15</v>
      </c>
      <c r="G1913" s="203">
        <v>43972</v>
      </c>
      <c r="M1913" s="199"/>
      <c r="N1913" s="199"/>
      <c r="O1913" s="199"/>
      <c r="P1913" s="199"/>
      <c r="Q1913" s="199"/>
      <c r="R1913" s="199"/>
    </row>
    <row r="1914" spans="2:18">
      <c r="B1914" s="227"/>
      <c r="C1914" s="228"/>
      <c r="D1914" s="228"/>
      <c r="G1914" s="203"/>
      <c r="M1914" s="199"/>
      <c r="N1914" s="199"/>
      <c r="O1914" s="199"/>
      <c r="P1914" s="199"/>
      <c r="Q1914" s="199"/>
      <c r="R1914" s="199"/>
    </row>
    <row r="1915" spans="2:18">
      <c r="B1915" s="227" t="s">
        <v>2586</v>
      </c>
      <c r="C1915" s="228" t="s">
        <v>755</v>
      </c>
      <c r="D1915" s="228" t="s">
        <v>1257</v>
      </c>
      <c r="E1915" s="201">
        <v>90</v>
      </c>
      <c r="F1915" s="201">
        <v>20</v>
      </c>
      <c r="G1915" s="203">
        <v>44776</v>
      </c>
      <c r="M1915" s="199"/>
      <c r="N1915" s="199"/>
      <c r="O1915" s="199"/>
      <c r="P1915" s="199"/>
      <c r="Q1915" s="199"/>
      <c r="R1915" s="199"/>
    </row>
    <row r="1916" spans="2:18">
      <c r="B1916" s="227" t="s">
        <v>2587</v>
      </c>
      <c r="C1916" s="228" t="s">
        <v>755</v>
      </c>
      <c r="D1916" s="228" t="s">
        <v>1257</v>
      </c>
      <c r="E1916" s="201">
        <v>90</v>
      </c>
      <c r="F1916" s="201">
        <v>20</v>
      </c>
      <c r="G1916" s="203">
        <v>44776</v>
      </c>
      <c r="M1916" s="199"/>
      <c r="N1916" s="199"/>
      <c r="O1916" s="199"/>
      <c r="P1916" s="199"/>
      <c r="Q1916" s="199"/>
      <c r="R1916" s="199"/>
    </row>
    <row r="1917" spans="2:18">
      <c r="B1917" s="227"/>
      <c r="C1917" s="273" t="s">
        <v>755</v>
      </c>
      <c r="D1917" s="273" t="s">
        <v>1822</v>
      </c>
      <c r="E1917" s="201">
        <v>700</v>
      </c>
      <c r="F1917" s="201">
        <f>400/12</f>
        <v>33.333333333333336</v>
      </c>
      <c r="G1917" s="203">
        <v>44218</v>
      </c>
      <c r="M1917" s="199"/>
      <c r="N1917" s="199"/>
      <c r="O1917" s="199"/>
      <c r="P1917" s="199"/>
      <c r="Q1917" s="199"/>
      <c r="R1917" s="199"/>
    </row>
    <row r="1918" spans="2:18">
      <c r="B1918" s="227"/>
      <c r="C1918" s="228"/>
      <c r="D1918" s="228"/>
      <c r="G1918" s="203"/>
      <c r="M1918" s="199"/>
      <c r="N1918" s="199"/>
      <c r="O1918" s="199"/>
      <c r="P1918" s="199"/>
      <c r="Q1918" s="199"/>
      <c r="R1918" s="199"/>
    </row>
    <row r="1919" spans="2:18">
      <c r="B1919" s="227"/>
      <c r="C1919" s="228"/>
      <c r="D1919" s="228"/>
      <c r="G1919" s="203"/>
      <c r="M1919" s="199"/>
      <c r="N1919" s="199"/>
      <c r="O1919" s="199"/>
      <c r="P1919" s="199"/>
      <c r="Q1919" s="199"/>
      <c r="R1919" s="199"/>
    </row>
    <row r="1920" spans="2:18">
      <c r="B1920" s="227" t="s">
        <v>2588</v>
      </c>
      <c r="C1920" s="228" t="s">
        <v>755</v>
      </c>
      <c r="D1920" s="228" t="s">
        <v>1257</v>
      </c>
      <c r="E1920" s="201">
        <v>90</v>
      </c>
      <c r="F1920" s="201">
        <f>50/11</f>
        <v>4.5454545454545459</v>
      </c>
      <c r="G1920" s="203">
        <v>44776</v>
      </c>
      <c r="M1920" s="199"/>
      <c r="N1920" s="199"/>
      <c r="O1920" s="199"/>
      <c r="P1920" s="199"/>
      <c r="Q1920" s="199"/>
      <c r="R1920" s="199"/>
    </row>
    <row r="1921" spans="2:18">
      <c r="B1921" s="227"/>
      <c r="C1921" s="228" t="s">
        <v>565</v>
      </c>
      <c r="D1921" s="228" t="s">
        <v>1257</v>
      </c>
      <c r="E1921" s="201">
        <v>40</v>
      </c>
      <c r="F1921" s="201">
        <v>3.75</v>
      </c>
      <c r="G1921" s="203">
        <v>44176</v>
      </c>
      <c r="M1921" s="199"/>
      <c r="N1921" s="199"/>
      <c r="O1921" s="199"/>
      <c r="P1921" s="199"/>
      <c r="Q1921" s="199"/>
      <c r="R1921" s="199"/>
    </row>
    <row r="1922" spans="2:18">
      <c r="B1922" s="227"/>
      <c r="C1922" s="228" t="s">
        <v>402</v>
      </c>
      <c r="D1922" s="228" t="s">
        <v>1257</v>
      </c>
      <c r="E1922" s="201">
        <v>20</v>
      </c>
      <c r="F1922" s="201">
        <v>3</v>
      </c>
      <c r="G1922" s="203">
        <v>43879</v>
      </c>
      <c r="M1922" s="199"/>
      <c r="N1922" s="199"/>
      <c r="O1922" s="199"/>
      <c r="P1922" s="199"/>
      <c r="Q1922" s="199"/>
      <c r="R1922" s="199"/>
    </row>
    <row r="1923" spans="2:18">
      <c r="B1923" s="227" t="s">
        <v>2589</v>
      </c>
      <c r="C1923" s="228" t="s">
        <v>755</v>
      </c>
      <c r="D1923" s="228" t="s">
        <v>1257</v>
      </c>
      <c r="E1923" s="201">
        <v>90</v>
      </c>
      <c r="F1923" s="201">
        <f>50/11</f>
        <v>4.5454545454545459</v>
      </c>
      <c r="G1923" s="203">
        <v>44776</v>
      </c>
      <c r="M1923" s="199"/>
      <c r="N1923" s="199"/>
      <c r="O1923" s="199"/>
      <c r="P1923" s="199"/>
      <c r="Q1923" s="199"/>
      <c r="R1923" s="199"/>
    </row>
    <row r="1924" spans="2:18">
      <c r="B1924" s="227"/>
      <c r="C1924" s="228" t="s">
        <v>565</v>
      </c>
      <c r="D1924" s="228" t="s">
        <v>1257</v>
      </c>
      <c r="E1924" s="201">
        <v>40</v>
      </c>
      <c r="F1924" s="201">
        <v>3.75</v>
      </c>
      <c r="G1924" s="203">
        <v>44176</v>
      </c>
      <c r="M1924" s="199"/>
      <c r="N1924" s="199"/>
      <c r="O1924" s="199"/>
      <c r="P1924" s="199"/>
      <c r="Q1924" s="199"/>
      <c r="R1924" s="199"/>
    </row>
    <row r="1925" spans="2:18">
      <c r="B1925" s="227"/>
      <c r="C1925" s="228" t="s">
        <v>402</v>
      </c>
      <c r="D1925" s="228" t="s">
        <v>1257</v>
      </c>
      <c r="E1925" s="201">
        <v>20</v>
      </c>
      <c r="F1925" s="201">
        <v>3</v>
      </c>
      <c r="G1925" s="203">
        <v>43879</v>
      </c>
      <c r="M1925" s="199"/>
      <c r="N1925" s="199"/>
      <c r="O1925" s="199"/>
      <c r="P1925" s="199"/>
      <c r="Q1925" s="199"/>
      <c r="R1925" s="199"/>
    </row>
    <row r="1926" spans="2:18">
      <c r="B1926" s="227" t="s">
        <v>2590</v>
      </c>
      <c r="C1926" s="228" t="s">
        <v>755</v>
      </c>
      <c r="D1926" s="228" t="s">
        <v>1257</v>
      </c>
      <c r="E1926" s="201">
        <v>90</v>
      </c>
      <c r="F1926" s="201">
        <f>50/11</f>
        <v>4.5454545454545459</v>
      </c>
      <c r="G1926" s="203">
        <v>44776</v>
      </c>
      <c r="M1926" s="199"/>
      <c r="N1926" s="199"/>
      <c r="O1926" s="199"/>
      <c r="P1926" s="199"/>
      <c r="Q1926" s="199"/>
      <c r="R1926" s="199"/>
    </row>
    <row r="1927" spans="2:18">
      <c r="B1927" s="227"/>
      <c r="C1927" s="228" t="s">
        <v>565</v>
      </c>
      <c r="D1927" s="228" t="s">
        <v>1257</v>
      </c>
      <c r="E1927" s="201">
        <v>40</v>
      </c>
      <c r="F1927" s="201">
        <v>3.75</v>
      </c>
      <c r="G1927" s="203">
        <v>44176</v>
      </c>
      <c r="M1927" s="199"/>
      <c r="N1927" s="199"/>
      <c r="O1927" s="199"/>
      <c r="P1927" s="199"/>
      <c r="Q1927" s="199"/>
      <c r="R1927" s="199"/>
    </row>
    <row r="1928" spans="2:18">
      <c r="B1928" s="227" t="s">
        <v>2592</v>
      </c>
      <c r="C1928" s="228" t="s">
        <v>755</v>
      </c>
      <c r="D1928" s="228" t="s">
        <v>1257</v>
      </c>
      <c r="E1928" s="201">
        <v>90</v>
      </c>
      <c r="F1928" s="201">
        <f>50/11</f>
        <v>4.5454545454545459</v>
      </c>
      <c r="G1928" s="203">
        <v>44776</v>
      </c>
      <c r="M1928" s="199"/>
      <c r="N1928" s="199"/>
      <c r="O1928" s="199"/>
      <c r="P1928" s="199"/>
      <c r="Q1928" s="199"/>
      <c r="R1928" s="199"/>
    </row>
    <row r="1929" spans="2:18">
      <c r="C1929" s="228" t="s">
        <v>565</v>
      </c>
      <c r="D1929" s="228" t="s">
        <v>1257</v>
      </c>
      <c r="E1929" s="201">
        <v>40</v>
      </c>
      <c r="F1929" s="201">
        <v>3.75</v>
      </c>
      <c r="G1929" s="203">
        <v>44176</v>
      </c>
      <c r="M1929" s="199"/>
      <c r="N1929" s="199"/>
      <c r="O1929" s="199"/>
      <c r="P1929" s="199"/>
      <c r="Q1929" s="199"/>
      <c r="R1929" s="199"/>
    </row>
    <row r="1930" spans="2:18">
      <c r="C1930" s="228" t="s">
        <v>402</v>
      </c>
      <c r="D1930" s="228" t="s">
        <v>1257</v>
      </c>
      <c r="E1930" s="201">
        <v>20</v>
      </c>
      <c r="F1930" s="201">
        <v>3</v>
      </c>
      <c r="G1930" s="203">
        <v>43879</v>
      </c>
      <c r="M1930" s="199"/>
      <c r="N1930" s="199"/>
      <c r="O1930" s="199"/>
      <c r="P1930" s="199"/>
      <c r="Q1930" s="199"/>
      <c r="R1930" s="199"/>
    </row>
    <row r="1931" spans="2:18">
      <c r="B1931" s="227" t="s">
        <v>2598</v>
      </c>
      <c r="C1931" s="228" t="s">
        <v>402</v>
      </c>
      <c r="D1931" s="228" t="s">
        <v>1527</v>
      </c>
      <c r="E1931" s="201">
        <v>30</v>
      </c>
      <c r="F1931" s="201">
        <v>5</v>
      </c>
      <c r="G1931" s="203">
        <v>44756</v>
      </c>
      <c r="M1931" s="199"/>
      <c r="N1931" s="199"/>
      <c r="O1931" s="199"/>
      <c r="P1931" s="199"/>
      <c r="Q1931" s="199"/>
      <c r="R1931" s="199"/>
    </row>
    <row r="1932" spans="2:18">
      <c r="C1932" s="228" t="s">
        <v>544</v>
      </c>
      <c r="D1932" s="228" t="s">
        <v>1527</v>
      </c>
      <c r="E1932" s="201">
        <v>28</v>
      </c>
      <c r="F1932" s="201">
        <v>5</v>
      </c>
      <c r="G1932" s="203">
        <v>44624</v>
      </c>
      <c r="M1932" s="199"/>
      <c r="N1932" s="199"/>
      <c r="O1932" s="199"/>
      <c r="P1932" s="199"/>
      <c r="Q1932" s="199"/>
      <c r="R1932" s="199"/>
    </row>
    <row r="1933" spans="2:18">
      <c r="C1933" s="228" t="s">
        <v>549</v>
      </c>
      <c r="D1933" s="228" t="s">
        <v>1527</v>
      </c>
      <c r="E1933" s="201">
        <v>5</v>
      </c>
      <c r="F1933" s="201">
        <v>1</v>
      </c>
      <c r="G1933" s="203">
        <v>44136</v>
      </c>
      <c r="M1933" s="199"/>
      <c r="N1933" s="199"/>
      <c r="O1933" s="199"/>
      <c r="P1933" s="199"/>
      <c r="Q1933" s="199"/>
      <c r="R1933" s="199"/>
    </row>
    <row r="1934" spans="2:18">
      <c r="B1934" s="227" t="s">
        <v>2606</v>
      </c>
      <c r="C1934" s="228" t="s">
        <v>549</v>
      </c>
      <c r="D1934" s="228" t="s">
        <v>1286</v>
      </c>
      <c r="E1934" s="201">
        <v>7</v>
      </c>
      <c r="F1934" s="201">
        <v>1.5</v>
      </c>
      <c r="G1934" s="203">
        <v>44602</v>
      </c>
      <c r="M1934" s="199"/>
      <c r="N1934" s="199"/>
      <c r="O1934" s="199"/>
      <c r="P1934" s="199"/>
      <c r="Q1934" s="199"/>
      <c r="R1934" s="199"/>
    </row>
    <row r="1935" spans="2:18">
      <c r="B1935" s="227" t="s">
        <v>2607</v>
      </c>
      <c r="C1935" s="228" t="s">
        <v>549</v>
      </c>
      <c r="D1935" s="228" t="s">
        <v>1286</v>
      </c>
      <c r="E1935" s="201">
        <v>7</v>
      </c>
      <c r="F1935" s="201">
        <v>1.5</v>
      </c>
      <c r="G1935" s="203">
        <v>44602</v>
      </c>
      <c r="M1935" s="199"/>
      <c r="N1935" s="199"/>
      <c r="O1935" s="199"/>
      <c r="P1935" s="199"/>
      <c r="Q1935" s="199"/>
      <c r="R1935" s="199"/>
    </row>
    <row r="1936" spans="2:18">
      <c r="B1936" s="227" t="s">
        <v>2608</v>
      </c>
      <c r="C1936" s="228" t="s">
        <v>549</v>
      </c>
      <c r="D1936" s="228" t="s">
        <v>1286</v>
      </c>
      <c r="E1936" s="201">
        <v>7</v>
      </c>
      <c r="F1936" s="201">
        <v>0.5</v>
      </c>
      <c r="G1936" s="203">
        <v>44602</v>
      </c>
      <c r="M1936" s="199"/>
      <c r="N1936" s="199"/>
      <c r="O1936" s="199"/>
      <c r="P1936" s="199"/>
      <c r="Q1936" s="199"/>
      <c r="R1936" s="199"/>
    </row>
    <row r="1937" spans="2:18">
      <c r="B1937" s="227" t="s">
        <v>2609</v>
      </c>
      <c r="C1937" s="228" t="s">
        <v>549</v>
      </c>
      <c r="D1937" s="228" t="s">
        <v>1286</v>
      </c>
      <c r="E1937" s="201">
        <v>7</v>
      </c>
      <c r="F1937" s="201">
        <v>0.5</v>
      </c>
      <c r="G1937" s="203">
        <v>44602</v>
      </c>
      <c r="M1937" s="199"/>
      <c r="N1937" s="199"/>
      <c r="O1937" s="199"/>
      <c r="P1937" s="199"/>
      <c r="Q1937" s="199"/>
      <c r="R1937" s="199"/>
    </row>
    <row r="1938" spans="2:18">
      <c r="B1938" s="227" t="s">
        <v>2610</v>
      </c>
      <c r="C1938" s="228" t="s">
        <v>549</v>
      </c>
      <c r="D1938" s="228" t="s">
        <v>1286</v>
      </c>
      <c r="E1938" s="201">
        <v>7</v>
      </c>
      <c r="F1938" s="201">
        <v>0.5</v>
      </c>
      <c r="G1938" s="203">
        <v>44602</v>
      </c>
      <c r="M1938" s="199"/>
      <c r="N1938" s="199"/>
      <c r="O1938" s="199"/>
      <c r="P1938" s="199"/>
      <c r="Q1938" s="199"/>
      <c r="R1938" s="199"/>
    </row>
    <row r="1939" spans="2:18">
      <c r="B1939" s="227" t="s">
        <v>2611</v>
      </c>
      <c r="C1939" s="228" t="s">
        <v>549</v>
      </c>
      <c r="D1939" s="228" t="s">
        <v>1286</v>
      </c>
      <c r="E1939" s="201">
        <v>7</v>
      </c>
      <c r="F1939" s="201">
        <v>0.5</v>
      </c>
      <c r="G1939" s="203">
        <v>44602</v>
      </c>
      <c r="M1939" s="199"/>
      <c r="N1939" s="199"/>
      <c r="O1939" s="199"/>
      <c r="P1939" s="199"/>
      <c r="Q1939" s="199"/>
      <c r="R1939" s="199"/>
    </row>
    <row r="1940" spans="2:18">
      <c r="C1940" s="228" t="s">
        <v>669</v>
      </c>
      <c r="D1940" s="228" t="s">
        <v>1286</v>
      </c>
      <c r="E1940" s="201">
        <v>1.1000000000000001</v>
      </c>
      <c r="F1940" s="201">
        <v>1.1000000000000001</v>
      </c>
      <c r="G1940" s="203">
        <v>44061</v>
      </c>
      <c r="M1940" s="199"/>
      <c r="N1940" s="199"/>
      <c r="O1940" s="199"/>
      <c r="P1940" s="199"/>
      <c r="Q1940" s="199"/>
      <c r="R1940" s="199"/>
    </row>
    <row r="1941" spans="2:18">
      <c r="B1941" s="227" t="s">
        <v>2617</v>
      </c>
      <c r="C1941" s="228" t="s">
        <v>402</v>
      </c>
      <c r="D1941" s="228" t="s">
        <v>1288</v>
      </c>
      <c r="E1941" s="201">
        <v>1.8</v>
      </c>
      <c r="F1941" s="201">
        <v>0.6</v>
      </c>
      <c r="G1941" s="203">
        <v>43661</v>
      </c>
      <c r="M1941" s="199"/>
      <c r="N1941" s="199"/>
      <c r="O1941" s="199"/>
      <c r="P1941" s="199"/>
      <c r="Q1941" s="199"/>
      <c r="R1941" s="199"/>
    </row>
    <row r="1942" spans="2:18">
      <c r="B1942" s="227" t="s">
        <v>2618</v>
      </c>
      <c r="C1942" s="228" t="s">
        <v>402</v>
      </c>
      <c r="D1942" s="228" t="s">
        <v>1288</v>
      </c>
      <c r="E1942" s="201">
        <v>1.8</v>
      </c>
      <c r="F1942" s="201">
        <v>0.6</v>
      </c>
      <c r="G1942" s="203">
        <v>43661</v>
      </c>
      <c r="M1942" s="199"/>
      <c r="N1942" s="199"/>
      <c r="O1942" s="199"/>
      <c r="P1942" s="199"/>
      <c r="Q1942" s="199"/>
      <c r="R1942" s="199"/>
    </row>
    <row r="1943" spans="2:18">
      <c r="B1943" s="227" t="s">
        <v>2619</v>
      </c>
      <c r="C1943" s="228" t="s">
        <v>402</v>
      </c>
      <c r="D1943" s="228" t="s">
        <v>1288</v>
      </c>
      <c r="E1943" s="201">
        <v>1.8</v>
      </c>
      <c r="F1943" s="201">
        <v>0.4</v>
      </c>
      <c r="G1943" s="203">
        <v>43661</v>
      </c>
      <c r="M1943" s="199"/>
      <c r="N1943" s="199"/>
      <c r="O1943" s="199"/>
      <c r="P1943" s="199"/>
      <c r="Q1943" s="199"/>
      <c r="R1943" s="199"/>
    </row>
    <row r="1944" spans="2:18">
      <c r="B1944" s="227" t="s">
        <v>2655</v>
      </c>
      <c r="C1944" s="228" t="s">
        <v>402</v>
      </c>
      <c r="D1944" s="228" t="s">
        <v>1332</v>
      </c>
      <c r="E1944" s="201">
        <v>93</v>
      </c>
      <c r="F1944" s="201">
        <v>10</v>
      </c>
      <c r="G1944" s="203">
        <v>43018</v>
      </c>
      <c r="M1944" s="199"/>
      <c r="N1944" s="199"/>
      <c r="O1944" s="199"/>
      <c r="P1944" s="199"/>
      <c r="Q1944" s="199"/>
      <c r="R1944" s="199"/>
    </row>
    <row r="1945" spans="2:18">
      <c r="C1945" s="228" t="s">
        <v>544</v>
      </c>
      <c r="D1945" s="228" t="s">
        <v>1332</v>
      </c>
      <c r="E1945" s="201">
        <v>15</v>
      </c>
      <c r="F1945" s="201">
        <v>6</v>
      </c>
      <c r="G1945" s="203">
        <v>42690</v>
      </c>
      <c r="M1945" s="199"/>
      <c r="N1945" s="199"/>
      <c r="O1945" s="199"/>
      <c r="P1945" s="199"/>
      <c r="Q1945" s="199"/>
      <c r="R1945" s="199"/>
    </row>
    <row r="1946" spans="2:18">
      <c r="B1946" s="227" t="s">
        <v>2657</v>
      </c>
      <c r="C1946" s="228" t="s">
        <v>544</v>
      </c>
      <c r="D1946" s="228" t="s">
        <v>1332</v>
      </c>
      <c r="E1946" s="201">
        <v>15</v>
      </c>
      <c r="F1946" s="201">
        <v>3</v>
      </c>
      <c r="G1946" s="203">
        <v>42690</v>
      </c>
      <c r="M1946" s="199"/>
      <c r="N1946" s="199"/>
      <c r="O1946" s="199"/>
      <c r="P1946" s="199"/>
      <c r="Q1946" s="199"/>
      <c r="R1946" s="199"/>
    </row>
    <row r="1947" spans="2:18">
      <c r="B1947" s="227"/>
      <c r="C1947" s="228"/>
      <c r="D1947" s="228"/>
      <c r="G1947" s="203"/>
      <c r="M1947" s="199"/>
      <c r="N1947" s="199"/>
      <c r="O1947" s="199"/>
      <c r="P1947" s="199"/>
      <c r="Q1947" s="199"/>
      <c r="R1947" s="199"/>
    </row>
    <row r="1948" spans="2:18">
      <c r="B1948" s="227" t="s">
        <v>2658</v>
      </c>
      <c r="C1948" s="228" t="s">
        <v>544</v>
      </c>
      <c r="D1948" s="228" t="s">
        <v>1332</v>
      </c>
      <c r="E1948" s="201">
        <v>15</v>
      </c>
      <c r="F1948" s="201">
        <v>3</v>
      </c>
      <c r="G1948" s="203">
        <v>42690</v>
      </c>
      <c r="M1948" s="199"/>
      <c r="N1948" s="199"/>
      <c r="O1948" s="199"/>
      <c r="P1948" s="199"/>
      <c r="Q1948" s="199"/>
      <c r="R1948" s="199"/>
    </row>
    <row r="1949" spans="2:18">
      <c r="B1949" s="227"/>
      <c r="C1949" s="238" t="s">
        <v>544</v>
      </c>
      <c r="D1949" s="238" t="s">
        <v>2752</v>
      </c>
      <c r="E1949" s="201">
        <v>5</v>
      </c>
      <c r="F1949" s="201">
        <v>5</v>
      </c>
      <c r="G1949" s="203">
        <v>43355</v>
      </c>
      <c r="M1949" s="199"/>
      <c r="N1949" s="199"/>
      <c r="O1949" s="199"/>
      <c r="P1949" s="199"/>
      <c r="Q1949" s="199"/>
      <c r="R1949" s="199"/>
    </row>
    <row r="1950" spans="2:18">
      <c r="B1950" s="227"/>
      <c r="C1950" s="228"/>
      <c r="D1950" s="228"/>
      <c r="G1950" s="203"/>
      <c r="M1950" s="199"/>
      <c r="N1950" s="199"/>
      <c r="O1950" s="199"/>
      <c r="P1950" s="199"/>
      <c r="Q1950" s="199"/>
      <c r="R1950" s="199"/>
    </row>
    <row r="1951" spans="2:18">
      <c r="B1951" s="227" t="s">
        <v>2659</v>
      </c>
      <c r="C1951" s="228" t="s">
        <v>544</v>
      </c>
      <c r="D1951" s="228" t="s">
        <v>1332</v>
      </c>
      <c r="E1951" s="201">
        <v>15</v>
      </c>
      <c r="F1951" s="201">
        <v>3</v>
      </c>
      <c r="G1951" s="203">
        <v>42690</v>
      </c>
      <c r="M1951" s="199"/>
      <c r="N1951" s="199"/>
      <c r="O1951" s="199"/>
      <c r="P1951" s="199"/>
      <c r="Q1951" s="199"/>
      <c r="R1951" s="199"/>
    </row>
    <row r="1952" spans="2:18">
      <c r="B1952" s="227"/>
      <c r="C1952" s="273" t="s">
        <v>565</v>
      </c>
      <c r="D1952" s="273" t="s">
        <v>1819</v>
      </c>
      <c r="E1952" s="201">
        <v>820</v>
      </c>
      <c r="F1952" s="201">
        <v>220</v>
      </c>
      <c r="G1952" s="203">
        <v>43223</v>
      </c>
      <c r="M1952" s="199"/>
      <c r="N1952" s="199"/>
      <c r="O1952" s="199"/>
      <c r="P1952" s="199"/>
      <c r="Q1952" s="199"/>
      <c r="R1952" s="199"/>
    </row>
    <row r="1953" spans="2:18">
      <c r="B1953" s="227"/>
      <c r="C1953" s="273" t="s">
        <v>565</v>
      </c>
      <c r="D1953" s="273" t="s">
        <v>1825</v>
      </c>
      <c r="E1953" s="201">
        <v>500</v>
      </c>
      <c r="F1953" s="201">
        <f>200/9</f>
        <v>22.222222222222221</v>
      </c>
      <c r="G1953" s="203">
        <v>44274</v>
      </c>
      <c r="M1953" s="199"/>
      <c r="N1953" s="199"/>
      <c r="O1953" s="199"/>
      <c r="P1953" s="199"/>
      <c r="Q1953" s="199"/>
      <c r="R1953" s="199"/>
    </row>
    <row r="1954" spans="2:18">
      <c r="B1954" s="227"/>
      <c r="C1954" s="273" t="s">
        <v>402</v>
      </c>
      <c r="D1954" s="273" t="s">
        <v>1825</v>
      </c>
      <c r="E1954" s="201">
        <v>120</v>
      </c>
      <c r="F1954" s="201">
        <f>30/3</f>
        <v>10</v>
      </c>
      <c r="G1954" s="203">
        <v>43391</v>
      </c>
      <c r="M1954" s="199"/>
      <c r="N1954" s="199"/>
      <c r="O1954" s="199"/>
      <c r="P1954" s="199"/>
      <c r="Q1954" s="199"/>
      <c r="R1954" s="199"/>
    </row>
    <row r="1955" spans="2:18">
      <c r="B1955" s="227"/>
      <c r="C1955" s="228"/>
      <c r="D1955" s="228"/>
      <c r="G1955" s="203"/>
      <c r="M1955" s="199"/>
      <c r="N1955" s="199"/>
      <c r="O1955" s="199"/>
      <c r="P1955" s="199"/>
      <c r="Q1955" s="199"/>
      <c r="R1955" s="199"/>
    </row>
    <row r="1956" spans="2:18">
      <c r="B1956" s="227" t="s">
        <v>2668</v>
      </c>
      <c r="C1956" s="228" t="s">
        <v>544</v>
      </c>
      <c r="D1956" s="228" t="s">
        <v>1522</v>
      </c>
      <c r="E1956" s="201">
        <v>8.5</v>
      </c>
      <c r="F1956" s="201">
        <v>8.5</v>
      </c>
      <c r="G1956" s="203">
        <v>44307</v>
      </c>
      <c r="M1956" s="199"/>
      <c r="N1956" s="199"/>
      <c r="O1956" s="199"/>
      <c r="P1956" s="199"/>
      <c r="Q1956" s="199"/>
      <c r="R1956" s="199"/>
    </row>
    <row r="1957" spans="2:18">
      <c r="B1957" s="227" t="s">
        <v>2675</v>
      </c>
      <c r="C1957" s="228" t="s">
        <v>565</v>
      </c>
      <c r="D1957" s="228" t="s">
        <v>1580</v>
      </c>
      <c r="E1957" s="201">
        <v>75</v>
      </c>
      <c r="F1957" s="201">
        <f>35/5</f>
        <v>7</v>
      </c>
      <c r="G1957" s="203">
        <v>45020</v>
      </c>
      <c r="M1957" s="199"/>
      <c r="N1957" s="199"/>
      <c r="O1957" s="199"/>
      <c r="P1957" s="199"/>
      <c r="Q1957" s="199"/>
      <c r="R1957" s="199"/>
    </row>
    <row r="1958" spans="2:18">
      <c r="B1958" s="227" t="s">
        <v>2676</v>
      </c>
      <c r="C1958" s="228" t="s">
        <v>565</v>
      </c>
      <c r="D1958" s="228" t="s">
        <v>1580</v>
      </c>
      <c r="E1958" s="201">
        <v>75</v>
      </c>
      <c r="F1958" s="201">
        <f t="shared" ref="F1958" si="14">35/5</f>
        <v>7</v>
      </c>
      <c r="G1958" s="203">
        <v>45020</v>
      </c>
      <c r="M1958" s="199"/>
      <c r="N1958" s="199"/>
      <c r="O1958" s="199"/>
      <c r="P1958" s="199"/>
      <c r="Q1958" s="199"/>
      <c r="R1958" s="199"/>
    </row>
    <row r="1959" spans="2:18">
      <c r="B1959" s="227" t="s">
        <v>2678</v>
      </c>
      <c r="C1959" s="228" t="s">
        <v>549</v>
      </c>
      <c r="D1959" s="228" t="s">
        <v>1580</v>
      </c>
      <c r="E1959" s="201">
        <v>7</v>
      </c>
      <c r="F1959" s="201">
        <v>0.7142857142857143</v>
      </c>
      <c r="G1959" s="203">
        <v>43046</v>
      </c>
      <c r="M1959" s="199"/>
      <c r="N1959" s="199"/>
      <c r="O1959" s="199"/>
      <c r="P1959" s="199"/>
      <c r="Q1959" s="199"/>
      <c r="R1959" s="199"/>
    </row>
    <row r="1960" spans="2:18">
      <c r="B1960" s="227" t="s">
        <v>2693</v>
      </c>
      <c r="C1960" s="228" t="s">
        <v>565</v>
      </c>
      <c r="D1960" s="228" t="s">
        <v>1530</v>
      </c>
      <c r="E1960" s="201">
        <v>23</v>
      </c>
      <c r="F1960" s="201">
        <v>7</v>
      </c>
      <c r="G1960" s="203">
        <v>44328</v>
      </c>
      <c r="I1960" s="212"/>
      <c r="M1960" s="199"/>
      <c r="N1960" s="199"/>
      <c r="O1960" s="199"/>
      <c r="P1960" s="199"/>
      <c r="Q1960" s="199"/>
      <c r="R1960" s="199"/>
    </row>
    <row r="1961" spans="2:18">
      <c r="B1961" s="227" t="s">
        <v>2694</v>
      </c>
      <c r="C1961" s="228" t="s">
        <v>565</v>
      </c>
      <c r="D1961" s="228" t="s">
        <v>1530</v>
      </c>
      <c r="E1961" s="201">
        <v>23</v>
      </c>
      <c r="F1961" s="201">
        <f>16/6</f>
        <v>2.6666666666666665</v>
      </c>
      <c r="G1961" s="203">
        <v>44328</v>
      </c>
      <c r="M1961" s="199"/>
      <c r="N1961" s="199"/>
      <c r="O1961" s="199"/>
      <c r="P1961" s="199"/>
      <c r="Q1961" s="199"/>
      <c r="R1961" s="199"/>
    </row>
    <row r="1962" spans="2:18">
      <c r="B1962" s="227" t="s">
        <v>2695</v>
      </c>
      <c r="C1962" s="228" t="s">
        <v>565</v>
      </c>
      <c r="D1962" s="228" t="s">
        <v>1530</v>
      </c>
      <c r="E1962" s="201">
        <v>23</v>
      </c>
      <c r="F1962" s="201">
        <f t="shared" ref="F1962:F1965" si="15">16/6</f>
        <v>2.6666666666666665</v>
      </c>
      <c r="G1962" s="203">
        <v>44328</v>
      </c>
      <c r="M1962" s="199"/>
      <c r="N1962" s="199"/>
      <c r="O1962" s="199"/>
      <c r="P1962" s="199"/>
      <c r="Q1962" s="199"/>
      <c r="R1962" s="199"/>
    </row>
    <row r="1963" spans="2:18">
      <c r="B1963" s="227" t="s">
        <v>2696</v>
      </c>
      <c r="C1963" s="228" t="s">
        <v>565</v>
      </c>
      <c r="D1963" s="228" t="s">
        <v>1530</v>
      </c>
      <c r="E1963" s="201">
        <v>23</v>
      </c>
      <c r="F1963" s="201">
        <f t="shared" si="15"/>
        <v>2.6666666666666665</v>
      </c>
      <c r="G1963" s="203">
        <v>44328</v>
      </c>
      <c r="M1963" s="199"/>
      <c r="N1963" s="199"/>
      <c r="O1963" s="199"/>
      <c r="P1963" s="199"/>
      <c r="Q1963" s="199"/>
      <c r="R1963" s="199"/>
    </row>
    <row r="1964" spans="2:18">
      <c r="B1964" s="227" t="s">
        <v>2697</v>
      </c>
      <c r="C1964" s="228" t="s">
        <v>565</v>
      </c>
      <c r="D1964" s="228" t="s">
        <v>1530</v>
      </c>
      <c r="E1964" s="201">
        <v>23</v>
      </c>
      <c r="F1964" s="201">
        <f t="shared" si="15"/>
        <v>2.6666666666666665</v>
      </c>
      <c r="G1964" s="203">
        <v>44328</v>
      </c>
      <c r="M1964" s="199"/>
      <c r="N1964" s="199"/>
      <c r="O1964" s="199"/>
      <c r="P1964" s="199"/>
      <c r="Q1964" s="199"/>
      <c r="R1964" s="199"/>
    </row>
    <row r="1965" spans="2:18">
      <c r="B1965" s="227" t="s">
        <v>2698</v>
      </c>
      <c r="C1965" s="228" t="s">
        <v>565</v>
      </c>
      <c r="D1965" s="228" t="s">
        <v>1530</v>
      </c>
      <c r="E1965" s="201">
        <v>23</v>
      </c>
      <c r="F1965" s="201">
        <f t="shared" si="15"/>
        <v>2.6666666666666665</v>
      </c>
      <c r="G1965" s="203">
        <v>44328</v>
      </c>
      <c r="M1965" s="199"/>
      <c r="N1965" s="199"/>
      <c r="O1965" s="199"/>
      <c r="P1965" s="199"/>
      <c r="Q1965" s="199"/>
      <c r="R1965" s="199"/>
    </row>
    <row r="1966" spans="2:18">
      <c r="B1966" s="227" t="s">
        <v>2701</v>
      </c>
      <c r="C1966" s="228" t="s">
        <v>544</v>
      </c>
      <c r="D1966" s="228" t="s">
        <v>1530</v>
      </c>
      <c r="E1966" s="201">
        <v>8</v>
      </c>
      <c r="F1966" s="201">
        <v>2</v>
      </c>
      <c r="G1966" s="203">
        <v>42416</v>
      </c>
      <c r="M1966" s="199"/>
      <c r="N1966" s="199"/>
      <c r="O1966" s="199"/>
      <c r="P1966" s="199"/>
      <c r="Q1966" s="199"/>
      <c r="R1966" s="199"/>
    </row>
    <row r="1967" spans="2:18">
      <c r="B1967" s="237" t="s">
        <v>2716</v>
      </c>
      <c r="C1967" s="238" t="s">
        <v>565</v>
      </c>
      <c r="D1967" s="238" t="s">
        <v>1333</v>
      </c>
      <c r="E1967" s="201">
        <v>65</v>
      </c>
      <c r="F1967" s="201">
        <v>32.5</v>
      </c>
      <c r="G1967" s="203">
        <v>43789</v>
      </c>
      <c r="M1967" s="199"/>
      <c r="N1967" s="199"/>
      <c r="O1967" s="199"/>
      <c r="P1967" s="199"/>
      <c r="Q1967" s="199"/>
      <c r="R1967" s="199"/>
    </row>
    <row r="1968" spans="2:18">
      <c r="B1968" s="237" t="s">
        <v>2728</v>
      </c>
      <c r="C1968" s="238" t="s">
        <v>544</v>
      </c>
      <c r="D1968" s="238" t="s">
        <v>1932</v>
      </c>
      <c r="E1968" s="201">
        <v>10</v>
      </c>
      <c r="F1968" s="201">
        <v>3</v>
      </c>
      <c r="G1968" s="203">
        <v>44740</v>
      </c>
      <c r="M1968" s="199"/>
      <c r="N1968" s="199"/>
      <c r="O1968" s="199"/>
      <c r="P1968" s="199"/>
      <c r="Q1968" s="199"/>
      <c r="R1968" s="199"/>
    </row>
    <row r="1969" spans="2:18">
      <c r="B1969" s="237" t="s">
        <v>2729</v>
      </c>
      <c r="C1969" s="238" t="s">
        <v>544</v>
      </c>
      <c r="D1969" s="238" t="s">
        <v>1932</v>
      </c>
      <c r="E1969" s="201">
        <v>10</v>
      </c>
      <c r="F1969" s="201">
        <f>7/4</f>
        <v>1.75</v>
      </c>
      <c r="G1969" s="203">
        <v>44740</v>
      </c>
      <c r="M1969" s="199"/>
      <c r="N1969" s="199"/>
      <c r="O1969" s="199"/>
      <c r="P1969" s="199"/>
      <c r="Q1969" s="199"/>
      <c r="R1969" s="199"/>
    </row>
    <row r="1970" spans="2:18">
      <c r="B1970" s="237" t="s">
        <v>2730</v>
      </c>
      <c r="C1970" s="238" t="s">
        <v>544</v>
      </c>
      <c r="D1970" s="238" t="s">
        <v>1932</v>
      </c>
      <c r="E1970" s="201">
        <v>10</v>
      </c>
      <c r="F1970" s="201">
        <f>7/4</f>
        <v>1.75</v>
      </c>
      <c r="G1970" s="203">
        <v>44740</v>
      </c>
      <c r="M1970" s="199"/>
      <c r="N1970" s="199"/>
      <c r="O1970" s="199"/>
      <c r="P1970" s="199"/>
      <c r="Q1970" s="199"/>
      <c r="R1970" s="199"/>
    </row>
    <row r="1971" spans="2:18">
      <c r="B1971" s="237" t="s">
        <v>2731</v>
      </c>
      <c r="C1971" s="238" t="s">
        <v>544</v>
      </c>
      <c r="D1971" s="238" t="s">
        <v>1932</v>
      </c>
      <c r="E1971" s="201">
        <v>10</v>
      </c>
      <c r="F1971" s="201">
        <f>7/4</f>
        <v>1.75</v>
      </c>
      <c r="G1971" s="203">
        <v>44740</v>
      </c>
      <c r="M1971" s="199"/>
      <c r="N1971" s="199"/>
      <c r="O1971" s="199"/>
      <c r="P1971" s="199"/>
      <c r="Q1971" s="199"/>
      <c r="R1971" s="199"/>
    </row>
    <row r="1972" spans="2:18">
      <c r="B1972" s="237" t="s">
        <v>2732</v>
      </c>
      <c r="C1972" s="238" t="s">
        <v>549</v>
      </c>
      <c r="D1972" s="238" t="s">
        <v>1932</v>
      </c>
      <c r="E1972" s="201">
        <v>4</v>
      </c>
      <c r="F1972" s="201">
        <v>4</v>
      </c>
      <c r="G1972" s="203">
        <v>43389</v>
      </c>
      <c r="M1972" s="199"/>
      <c r="N1972" s="199"/>
      <c r="O1972" s="199"/>
      <c r="P1972" s="199"/>
      <c r="Q1972" s="199"/>
      <c r="R1972" s="199"/>
    </row>
    <row r="1973" spans="2:18">
      <c r="B1973" s="237" t="s">
        <v>2737</v>
      </c>
      <c r="C1973" s="238" t="s">
        <v>565</v>
      </c>
      <c r="D1973" s="238" t="s">
        <v>1991</v>
      </c>
      <c r="E1973" s="201">
        <v>90</v>
      </c>
      <c r="F1973" s="201">
        <v>15</v>
      </c>
      <c r="G1973" s="203">
        <v>45090</v>
      </c>
      <c r="M1973" s="199"/>
      <c r="N1973" s="199"/>
      <c r="O1973" s="199"/>
      <c r="P1973" s="199"/>
      <c r="Q1973" s="199"/>
      <c r="R1973" s="199"/>
    </row>
    <row r="1974" spans="2:18">
      <c r="B1974" s="237"/>
      <c r="C1974" s="238"/>
      <c r="D1974" s="238"/>
      <c r="G1974" s="203"/>
      <c r="M1974" s="199"/>
      <c r="N1974" s="199"/>
      <c r="O1974" s="199"/>
      <c r="P1974" s="199"/>
      <c r="Q1974" s="199"/>
      <c r="R1974" s="199"/>
    </row>
    <row r="1975" spans="2:18">
      <c r="B1975" s="237" t="s">
        <v>2738</v>
      </c>
      <c r="C1975" s="238" t="s">
        <v>565</v>
      </c>
      <c r="D1975" s="238" t="s">
        <v>1991</v>
      </c>
      <c r="E1975" s="201">
        <v>90</v>
      </c>
      <c r="F1975" s="201">
        <v>15</v>
      </c>
      <c r="G1975" s="203">
        <v>45090</v>
      </c>
      <c r="M1975" s="199"/>
      <c r="N1975" s="199"/>
      <c r="O1975" s="199"/>
      <c r="P1975" s="199"/>
      <c r="Q1975" s="199"/>
      <c r="R1975" s="199"/>
    </row>
    <row r="1976" spans="2:18">
      <c r="B1976" s="237"/>
      <c r="C1976" s="238" t="s">
        <v>402</v>
      </c>
      <c r="D1976" s="238" t="s">
        <v>1991</v>
      </c>
      <c r="E1976" s="201">
        <v>50</v>
      </c>
      <c r="F1976" s="201">
        <f t="shared" ref="F1976" si="16">30/6</f>
        <v>5</v>
      </c>
      <c r="G1976" s="203">
        <v>44538</v>
      </c>
      <c r="M1976" s="199"/>
      <c r="N1976" s="199"/>
      <c r="O1976" s="199"/>
      <c r="P1976" s="199"/>
      <c r="Q1976" s="199"/>
      <c r="R1976" s="199"/>
    </row>
    <row r="1977" spans="2:18">
      <c r="B1977" s="237"/>
      <c r="C1977" s="238" t="s">
        <v>544</v>
      </c>
      <c r="D1977" s="238" t="s">
        <v>1991</v>
      </c>
      <c r="E1977" s="201">
        <v>12.5</v>
      </c>
      <c r="F1977" s="201">
        <f>+E1977/2</f>
        <v>6.25</v>
      </c>
      <c r="G1977" s="203">
        <v>44306</v>
      </c>
      <c r="M1977" s="199"/>
      <c r="N1977" s="199"/>
      <c r="O1977" s="199"/>
      <c r="P1977" s="199"/>
      <c r="Q1977" s="199"/>
      <c r="R1977" s="199"/>
    </row>
    <row r="1978" spans="2:18">
      <c r="B1978" s="237"/>
      <c r="C1978" s="245" t="s">
        <v>565</v>
      </c>
      <c r="D1978" s="245" t="s">
        <v>2866</v>
      </c>
      <c r="E1978" s="201">
        <v>130</v>
      </c>
      <c r="F1978" s="201">
        <f>100/7</f>
        <v>14.285714285714286</v>
      </c>
      <c r="G1978" s="203">
        <v>44323</v>
      </c>
      <c r="M1978" s="199"/>
      <c r="N1978" s="199"/>
      <c r="O1978" s="199"/>
      <c r="P1978" s="199"/>
      <c r="Q1978" s="199"/>
      <c r="R1978" s="199"/>
    </row>
    <row r="1979" spans="2:18">
      <c r="B1979" s="237"/>
      <c r="C1979" s="245" t="s">
        <v>402</v>
      </c>
      <c r="D1979" s="245" t="s">
        <v>2866</v>
      </c>
      <c r="E1979" s="201">
        <v>44</v>
      </c>
      <c r="F1979" s="201">
        <v>5</v>
      </c>
      <c r="G1979" s="203">
        <v>43909</v>
      </c>
      <c r="M1979" s="199"/>
      <c r="N1979" s="199"/>
      <c r="O1979" s="199"/>
      <c r="P1979" s="199"/>
      <c r="Q1979" s="199"/>
      <c r="R1979" s="199"/>
    </row>
    <row r="1980" spans="2:18">
      <c r="B1980" s="237"/>
      <c r="C1980" s="245" t="s">
        <v>544</v>
      </c>
      <c r="D1980" s="245" t="s">
        <v>2866</v>
      </c>
      <c r="E1980" s="201">
        <v>15</v>
      </c>
      <c r="F1980" s="201">
        <v>5</v>
      </c>
      <c r="G1980" s="203">
        <v>43452</v>
      </c>
      <c r="M1980" s="199"/>
      <c r="N1980" s="199"/>
      <c r="O1980" s="199"/>
      <c r="P1980" s="199"/>
      <c r="Q1980" s="199"/>
      <c r="R1980" s="199"/>
    </row>
    <row r="1981" spans="2:18">
      <c r="B1981" s="237"/>
      <c r="C1981" s="238"/>
      <c r="D1981" s="238"/>
      <c r="G1981" s="203"/>
      <c r="M1981" s="199"/>
      <c r="N1981" s="199"/>
      <c r="O1981" s="199"/>
      <c r="P1981" s="199"/>
      <c r="Q1981" s="199"/>
      <c r="R1981" s="199"/>
    </row>
    <row r="1982" spans="2:18">
      <c r="B1982" s="237" t="s">
        <v>2740</v>
      </c>
      <c r="C1982" s="238" t="s">
        <v>402</v>
      </c>
      <c r="D1982" s="238" t="s">
        <v>1991</v>
      </c>
      <c r="E1982" s="201">
        <v>50</v>
      </c>
      <c r="F1982" s="201">
        <f>30/6</f>
        <v>5</v>
      </c>
      <c r="G1982" s="203">
        <v>44538</v>
      </c>
      <c r="M1982" s="199"/>
      <c r="N1982" s="199"/>
      <c r="O1982" s="199"/>
      <c r="P1982" s="199"/>
      <c r="Q1982" s="199"/>
      <c r="R1982" s="199"/>
    </row>
    <row r="1983" spans="2:18">
      <c r="B1983" s="237" t="s">
        <v>2741</v>
      </c>
      <c r="C1983" s="238" t="s">
        <v>402</v>
      </c>
      <c r="D1983" s="238" t="s">
        <v>1991</v>
      </c>
      <c r="E1983" s="201">
        <v>50</v>
      </c>
      <c r="F1983" s="201">
        <f t="shared" ref="F1983:F1986" si="17">30/6</f>
        <v>5</v>
      </c>
      <c r="G1983" s="203">
        <v>44538</v>
      </c>
      <c r="M1983" s="199"/>
      <c r="N1983" s="199"/>
      <c r="O1983" s="199"/>
      <c r="P1983" s="199"/>
      <c r="Q1983" s="199"/>
      <c r="R1983" s="199"/>
    </row>
    <row r="1984" spans="2:18">
      <c r="B1984" s="237"/>
      <c r="C1984" s="238" t="s">
        <v>544</v>
      </c>
      <c r="D1984" s="238" t="s">
        <v>1991</v>
      </c>
      <c r="E1984" s="201">
        <v>12.5</v>
      </c>
      <c r="F1984" s="201">
        <f>+E1984/2</f>
        <v>6.25</v>
      </c>
      <c r="G1984" s="203">
        <v>44306</v>
      </c>
      <c r="M1984" s="199"/>
      <c r="N1984" s="199"/>
      <c r="O1984" s="199"/>
      <c r="P1984" s="199"/>
      <c r="Q1984" s="199"/>
      <c r="R1984" s="199"/>
    </row>
    <row r="1985" spans="2:18">
      <c r="B1985" s="237"/>
      <c r="C1985" s="238" t="s">
        <v>549</v>
      </c>
      <c r="D1985" s="238" t="s">
        <v>1991</v>
      </c>
      <c r="E1985" s="201">
        <v>3.1</v>
      </c>
      <c r="F1985" s="201">
        <v>1</v>
      </c>
      <c r="G1985" s="203">
        <v>43580</v>
      </c>
      <c r="M1985" s="199"/>
      <c r="N1985" s="199"/>
      <c r="O1985" s="199"/>
      <c r="P1985" s="199"/>
      <c r="Q1985" s="199"/>
      <c r="R1985" s="199"/>
    </row>
    <row r="1986" spans="2:18">
      <c r="B1986" s="237" t="s">
        <v>2742</v>
      </c>
      <c r="C1986" s="238" t="s">
        <v>402</v>
      </c>
      <c r="D1986" s="238" t="s">
        <v>1991</v>
      </c>
      <c r="E1986" s="201">
        <v>50</v>
      </c>
      <c r="F1986" s="201">
        <f t="shared" si="17"/>
        <v>5</v>
      </c>
      <c r="G1986" s="203">
        <v>44538</v>
      </c>
      <c r="M1986" s="199"/>
      <c r="N1986" s="199"/>
      <c r="O1986" s="199"/>
      <c r="P1986" s="199"/>
      <c r="Q1986" s="199"/>
      <c r="R1986" s="199"/>
    </row>
    <row r="1987" spans="2:18">
      <c r="B1987" s="237"/>
      <c r="C1987" s="238" t="s">
        <v>549</v>
      </c>
      <c r="D1987" s="238" t="s">
        <v>1991</v>
      </c>
      <c r="E1987" s="201">
        <v>3.1</v>
      </c>
      <c r="F1987" s="201">
        <v>1</v>
      </c>
      <c r="G1987" s="203">
        <v>43580</v>
      </c>
      <c r="M1987" s="199"/>
      <c r="N1987" s="199"/>
      <c r="O1987" s="199"/>
      <c r="P1987" s="199"/>
      <c r="Q1987" s="199"/>
      <c r="R1987" s="199"/>
    </row>
    <row r="1988" spans="2:18">
      <c r="B1988" s="237"/>
      <c r="C1988" s="238"/>
      <c r="D1988" s="238"/>
      <c r="G1988" s="203"/>
      <c r="M1988" s="199"/>
      <c r="N1988" s="199"/>
      <c r="O1988" s="199"/>
      <c r="P1988" s="199"/>
      <c r="Q1988" s="199"/>
      <c r="R1988" s="199"/>
    </row>
    <row r="1989" spans="2:18">
      <c r="B1989" s="239"/>
      <c r="C1989" s="240"/>
      <c r="D1989" s="240"/>
      <c r="G1989" s="203"/>
      <c r="I1989" s="212"/>
      <c r="M1989" s="199"/>
      <c r="N1989" s="199"/>
      <c r="O1989" s="199"/>
      <c r="P1989" s="199"/>
      <c r="Q1989" s="199"/>
      <c r="R1989" s="199"/>
    </row>
    <row r="1990" spans="2:18">
      <c r="B1990" s="241" t="s">
        <v>2792</v>
      </c>
      <c r="C1990" s="240" t="s">
        <v>402</v>
      </c>
      <c r="D1990" s="240" t="s">
        <v>2790</v>
      </c>
      <c r="E1990" s="201">
        <v>37</v>
      </c>
      <c r="F1990" s="201">
        <v>4</v>
      </c>
      <c r="G1990" s="203">
        <v>44860</v>
      </c>
      <c r="M1990" s="199"/>
      <c r="N1990" s="199"/>
      <c r="O1990" s="199"/>
      <c r="P1990" s="199"/>
      <c r="Q1990" s="199"/>
      <c r="R1990" s="199"/>
    </row>
    <row r="1991" spans="2:18">
      <c r="B1991" s="241"/>
      <c r="C1991" s="240" t="s">
        <v>402</v>
      </c>
      <c r="D1991" s="240" t="s">
        <v>2790</v>
      </c>
      <c r="E1991" s="201">
        <v>80</v>
      </c>
      <c r="F1991" s="201">
        <v>10</v>
      </c>
      <c r="G1991" s="203">
        <v>44327</v>
      </c>
      <c r="M1991" s="199"/>
      <c r="N1991" s="199"/>
      <c r="O1991" s="199"/>
      <c r="P1991" s="199"/>
      <c r="Q1991" s="199"/>
      <c r="R1991" s="199"/>
    </row>
    <row r="1992" spans="2:18">
      <c r="B1992" s="241"/>
      <c r="C1992" s="240" t="s">
        <v>544</v>
      </c>
      <c r="D1992" s="240" t="s">
        <v>2790</v>
      </c>
      <c r="E1992" s="201">
        <v>30</v>
      </c>
      <c r="F1992" s="201">
        <v>6.666666666666667</v>
      </c>
      <c r="G1992" s="203">
        <v>43963</v>
      </c>
      <c r="M1992" s="199"/>
      <c r="N1992" s="199"/>
      <c r="O1992" s="199"/>
      <c r="P1992" s="199"/>
      <c r="Q1992" s="199"/>
      <c r="R1992" s="199"/>
    </row>
    <row r="1993" spans="2:18">
      <c r="B1993" s="239" t="s">
        <v>2794</v>
      </c>
      <c r="C1993" s="240" t="s">
        <v>402</v>
      </c>
      <c r="D1993" s="240" t="s">
        <v>2790</v>
      </c>
      <c r="E1993" s="201">
        <v>37</v>
      </c>
      <c r="F1993" s="201">
        <v>4</v>
      </c>
      <c r="G1993" s="203">
        <v>44860</v>
      </c>
      <c r="M1993" s="199"/>
      <c r="N1993" s="199"/>
      <c r="O1993" s="199"/>
      <c r="P1993" s="199"/>
      <c r="Q1993" s="199"/>
      <c r="R1993" s="199"/>
    </row>
    <row r="1994" spans="2:18">
      <c r="B1994" s="239" t="s">
        <v>2795</v>
      </c>
      <c r="C1994" s="240" t="s">
        <v>402</v>
      </c>
      <c r="D1994" s="240" t="s">
        <v>2790</v>
      </c>
      <c r="E1994" s="201">
        <v>80</v>
      </c>
      <c r="F1994" s="201">
        <v>10</v>
      </c>
      <c r="G1994" s="203">
        <v>44327</v>
      </c>
      <c r="M1994" s="199"/>
      <c r="N1994" s="199"/>
      <c r="O1994" s="199"/>
      <c r="P1994" s="199"/>
      <c r="Q1994" s="199"/>
      <c r="R1994" s="199"/>
    </row>
    <row r="1995" spans="2:18">
      <c r="B1995" s="239" t="s">
        <v>2796</v>
      </c>
      <c r="C1995" s="240" t="s">
        <v>402</v>
      </c>
      <c r="D1995" s="240" t="s">
        <v>2790</v>
      </c>
      <c r="E1995" s="201">
        <v>80</v>
      </c>
      <c r="F1995" s="201">
        <v>10</v>
      </c>
      <c r="G1995" s="203">
        <v>44327</v>
      </c>
      <c r="M1995" s="199"/>
      <c r="N1995" s="199"/>
      <c r="O1995" s="199"/>
      <c r="P1995" s="199"/>
      <c r="Q1995" s="199"/>
      <c r="R1995" s="199"/>
    </row>
    <row r="1996" spans="2:18">
      <c r="B1996" s="239" t="s">
        <v>2811</v>
      </c>
      <c r="C1996" s="240" t="s">
        <v>738</v>
      </c>
      <c r="D1996" s="240" t="s">
        <v>2810</v>
      </c>
      <c r="E1996" s="201">
        <v>400</v>
      </c>
      <c r="F1996" s="201">
        <v>100</v>
      </c>
      <c r="G1996" s="203">
        <v>44608</v>
      </c>
      <c r="M1996" s="199"/>
      <c r="N1996" s="199"/>
      <c r="O1996" s="199"/>
      <c r="P1996" s="199"/>
      <c r="Q1996" s="199"/>
      <c r="R1996" s="199"/>
    </row>
    <row r="1997" spans="2:18">
      <c r="B1997" s="239"/>
      <c r="C1997" s="240" t="s">
        <v>755</v>
      </c>
      <c r="D1997" s="240" t="s">
        <v>2810</v>
      </c>
      <c r="E1997" s="201">
        <v>140</v>
      </c>
      <c r="F1997" s="201">
        <v>10</v>
      </c>
      <c r="G1997" s="203">
        <v>44286</v>
      </c>
      <c r="M1997" s="199"/>
      <c r="N1997" s="199"/>
      <c r="O1997" s="199"/>
      <c r="P1997" s="199"/>
      <c r="Q1997" s="199"/>
      <c r="R1997" s="199"/>
    </row>
    <row r="1998" spans="2:18">
      <c r="B1998" s="239"/>
      <c r="C1998" s="240" t="s">
        <v>565</v>
      </c>
      <c r="D1998" s="240" t="s">
        <v>2810</v>
      </c>
      <c r="E1998" s="201">
        <v>110</v>
      </c>
      <c r="F1998" s="201">
        <v>40</v>
      </c>
      <c r="G1998" s="203">
        <v>43690</v>
      </c>
      <c r="M1998" s="199"/>
      <c r="N1998" s="199"/>
      <c r="O1998" s="199"/>
      <c r="P1998" s="199"/>
      <c r="Q1998" s="199"/>
      <c r="R1998" s="199"/>
    </row>
    <row r="1999" spans="2:18">
      <c r="B1999" s="239" t="s">
        <v>2813</v>
      </c>
      <c r="C1999" s="240" t="s">
        <v>755</v>
      </c>
      <c r="D1999" s="240" t="s">
        <v>2810</v>
      </c>
      <c r="E1999" s="201">
        <v>140</v>
      </c>
      <c r="F1999" s="201">
        <v>10</v>
      </c>
      <c r="G1999" s="203">
        <v>44286</v>
      </c>
      <c r="M1999" s="199"/>
      <c r="N1999" s="199"/>
      <c r="O1999" s="199"/>
      <c r="P1999" s="199"/>
      <c r="Q1999" s="199"/>
      <c r="R1999" s="199"/>
    </row>
    <row r="2000" spans="2:18">
      <c r="B2000" s="239"/>
      <c r="C2000" s="240" t="s">
        <v>565</v>
      </c>
      <c r="D2000" s="240" t="s">
        <v>2810</v>
      </c>
      <c r="E2000" s="201">
        <v>110</v>
      </c>
      <c r="F2000" s="201">
        <v>10</v>
      </c>
      <c r="G2000" s="203">
        <v>43690</v>
      </c>
      <c r="M2000" s="199"/>
      <c r="N2000" s="199"/>
      <c r="O2000" s="199"/>
      <c r="P2000" s="199"/>
      <c r="Q2000" s="199"/>
      <c r="R2000" s="199"/>
    </row>
    <row r="2001" spans="2:18">
      <c r="B2001" s="239" t="s">
        <v>2814</v>
      </c>
      <c r="C2001" s="240" t="s">
        <v>755</v>
      </c>
      <c r="D2001" s="240" t="s">
        <v>2810</v>
      </c>
      <c r="E2001" s="201">
        <v>140</v>
      </c>
      <c r="F2001" s="201">
        <v>10</v>
      </c>
      <c r="G2001" s="203">
        <v>44286</v>
      </c>
      <c r="M2001" s="199"/>
      <c r="N2001" s="199"/>
      <c r="O2001" s="199"/>
      <c r="P2001" s="199"/>
      <c r="Q2001" s="199"/>
      <c r="R2001" s="199"/>
    </row>
    <row r="2002" spans="2:18">
      <c r="B2002" s="239" t="s">
        <v>2815</v>
      </c>
      <c r="C2002" s="240" t="s">
        <v>755</v>
      </c>
      <c r="D2002" s="240" t="s">
        <v>2810</v>
      </c>
      <c r="E2002" s="201">
        <v>140</v>
      </c>
      <c r="F2002" s="201">
        <v>10</v>
      </c>
      <c r="G2002" s="203">
        <v>44286</v>
      </c>
      <c r="M2002" s="199"/>
      <c r="N2002" s="199"/>
      <c r="O2002" s="199"/>
      <c r="P2002" s="199"/>
      <c r="Q2002" s="199"/>
      <c r="R2002" s="199"/>
    </row>
    <row r="2003" spans="2:18">
      <c r="B2003" s="239" t="s">
        <v>2816</v>
      </c>
      <c r="C2003" s="240" t="s">
        <v>755</v>
      </c>
      <c r="D2003" s="240" t="s">
        <v>2810</v>
      </c>
      <c r="E2003" s="201">
        <v>140</v>
      </c>
      <c r="F2003" s="201">
        <v>10</v>
      </c>
      <c r="G2003" s="203">
        <v>44286</v>
      </c>
      <c r="M2003" s="199"/>
      <c r="N2003" s="199"/>
      <c r="O2003" s="199"/>
      <c r="P2003" s="199"/>
      <c r="Q2003" s="199"/>
      <c r="R2003" s="199"/>
    </row>
    <row r="2004" spans="2:18">
      <c r="B2004" s="239"/>
      <c r="C2004" s="240" t="s">
        <v>565</v>
      </c>
      <c r="D2004" s="240" t="s">
        <v>2810</v>
      </c>
      <c r="E2004" s="201">
        <v>110</v>
      </c>
      <c r="F2004" s="201">
        <v>20</v>
      </c>
      <c r="G2004" s="203">
        <v>43690</v>
      </c>
      <c r="M2004" s="199"/>
      <c r="N2004" s="199"/>
      <c r="O2004" s="199"/>
      <c r="P2004" s="199"/>
      <c r="Q2004" s="199"/>
      <c r="R2004" s="199"/>
    </row>
    <row r="2005" spans="2:18">
      <c r="B2005" s="239" t="s">
        <v>2817</v>
      </c>
      <c r="C2005" s="240" t="s">
        <v>755</v>
      </c>
      <c r="D2005" s="240" t="s">
        <v>2810</v>
      </c>
      <c r="E2005" s="201">
        <v>140</v>
      </c>
      <c r="F2005" s="201">
        <v>10</v>
      </c>
      <c r="G2005" s="203">
        <v>44286</v>
      </c>
      <c r="M2005" s="199"/>
      <c r="N2005" s="199"/>
      <c r="O2005" s="199"/>
      <c r="P2005" s="199"/>
      <c r="Q2005" s="199"/>
      <c r="R2005" s="199"/>
    </row>
    <row r="2006" spans="2:18">
      <c r="B2006" s="239"/>
      <c r="C2006" s="240" t="s">
        <v>565</v>
      </c>
      <c r="D2006" s="240" t="s">
        <v>2810</v>
      </c>
      <c r="E2006" s="201">
        <v>110</v>
      </c>
      <c r="F2006" s="201">
        <v>20</v>
      </c>
      <c r="G2006" s="203">
        <v>43690</v>
      </c>
      <c r="M2006" s="199"/>
      <c r="N2006" s="199"/>
      <c r="O2006" s="199"/>
      <c r="P2006" s="199"/>
      <c r="Q2006" s="199"/>
      <c r="R2006" s="199"/>
    </row>
    <row r="2007" spans="2:18">
      <c r="B2007" s="239"/>
      <c r="C2007" s="240"/>
      <c r="D2007" s="240"/>
      <c r="G2007" s="203"/>
      <c r="M2007" s="199"/>
      <c r="N2007" s="199"/>
      <c r="O2007" s="199"/>
      <c r="P2007" s="199"/>
      <c r="Q2007" s="199"/>
      <c r="R2007" s="199"/>
    </row>
    <row r="2008" spans="2:18">
      <c r="B2008" s="239" t="s">
        <v>2818</v>
      </c>
      <c r="C2008" s="240" t="s">
        <v>755</v>
      </c>
      <c r="D2008" s="240" t="s">
        <v>2810</v>
      </c>
      <c r="E2008" s="201">
        <v>140</v>
      </c>
      <c r="F2008" s="201">
        <v>10</v>
      </c>
      <c r="G2008" s="203">
        <v>44286</v>
      </c>
      <c r="M2008" s="199"/>
      <c r="N2008" s="199"/>
      <c r="O2008" s="199"/>
      <c r="P2008" s="199"/>
      <c r="Q2008" s="199"/>
      <c r="R2008" s="199"/>
    </row>
    <row r="2009" spans="2:18">
      <c r="B2009" s="239"/>
      <c r="C2009" s="253" t="s">
        <v>565</v>
      </c>
      <c r="D2009" s="253" t="s">
        <v>3715</v>
      </c>
      <c r="E2009" s="201">
        <v>38</v>
      </c>
      <c r="F2009" s="201">
        <v>3</v>
      </c>
      <c r="G2009" s="203">
        <v>43104</v>
      </c>
      <c r="M2009" s="199"/>
      <c r="N2009" s="199"/>
      <c r="O2009" s="199"/>
      <c r="P2009" s="199"/>
      <c r="Q2009" s="199"/>
      <c r="R2009" s="199"/>
    </row>
    <row r="2010" spans="2:18">
      <c r="B2010" s="239"/>
      <c r="C2010" s="273" t="s">
        <v>565</v>
      </c>
      <c r="D2010" s="273" t="s">
        <v>1822</v>
      </c>
      <c r="E2010" s="201">
        <v>230</v>
      </c>
      <c r="F2010" s="201">
        <f>E2010/6</f>
        <v>38.333333333333336</v>
      </c>
      <c r="G2010" s="203">
        <v>43923</v>
      </c>
      <c r="M2010" s="199"/>
      <c r="N2010" s="199"/>
      <c r="O2010" s="199"/>
      <c r="P2010" s="199"/>
      <c r="Q2010" s="199"/>
      <c r="R2010" s="199"/>
    </row>
    <row r="2011" spans="2:18">
      <c r="B2011" s="239"/>
      <c r="C2011" s="240"/>
      <c r="D2011" s="240"/>
      <c r="G2011" s="203"/>
      <c r="M2011" s="199"/>
      <c r="N2011" s="199"/>
      <c r="O2011" s="199"/>
      <c r="P2011" s="199"/>
      <c r="Q2011" s="199"/>
      <c r="R2011" s="199"/>
    </row>
    <row r="2012" spans="2:18">
      <c r="B2012" s="239" t="s">
        <v>2819</v>
      </c>
      <c r="C2012" s="240" t="s">
        <v>755</v>
      </c>
      <c r="D2012" s="240" t="s">
        <v>2810</v>
      </c>
      <c r="E2012" s="201">
        <v>140</v>
      </c>
      <c r="F2012" s="201">
        <v>10</v>
      </c>
      <c r="G2012" s="203">
        <v>44286</v>
      </c>
      <c r="M2012" s="199"/>
      <c r="N2012" s="199"/>
      <c r="O2012" s="199"/>
      <c r="P2012" s="199"/>
      <c r="Q2012" s="199"/>
      <c r="R2012" s="199"/>
    </row>
    <row r="2013" spans="2:18">
      <c r="B2013" s="239"/>
      <c r="C2013" s="240" t="s">
        <v>565</v>
      </c>
      <c r="D2013" s="240" t="s">
        <v>2810</v>
      </c>
      <c r="E2013" s="201">
        <v>110</v>
      </c>
      <c r="F2013" s="201">
        <v>10</v>
      </c>
      <c r="G2013" s="203">
        <v>43690</v>
      </c>
      <c r="M2013" s="199"/>
      <c r="N2013" s="199"/>
      <c r="O2013" s="199"/>
      <c r="P2013" s="199"/>
      <c r="Q2013" s="199"/>
      <c r="R2013" s="199"/>
    </row>
    <row r="2014" spans="2:18">
      <c r="B2014" s="239"/>
      <c r="C2014" s="240" t="s">
        <v>544</v>
      </c>
      <c r="D2014" s="240" t="s">
        <v>2810</v>
      </c>
      <c r="E2014" s="201">
        <v>5.5</v>
      </c>
      <c r="F2014" s="201">
        <v>4.5</v>
      </c>
      <c r="G2014" s="203">
        <v>42156</v>
      </c>
      <c r="M2014" s="199"/>
      <c r="N2014" s="199"/>
      <c r="O2014" s="199"/>
      <c r="P2014" s="199"/>
      <c r="Q2014" s="199"/>
      <c r="R2014" s="199"/>
    </row>
    <row r="2015" spans="2:18">
      <c r="B2015" s="239" t="s">
        <v>2820</v>
      </c>
      <c r="C2015" s="240" t="s">
        <v>565</v>
      </c>
      <c r="D2015" s="240" t="s">
        <v>2810</v>
      </c>
      <c r="E2015" s="201">
        <v>110</v>
      </c>
      <c r="F2015" s="201">
        <v>20</v>
      </c>
      <c r="G2015" s="203">
        <v>43690</v>
      </c>
      <c r="M2015" s="199"/>
      <c r="N2015" s="199"/>
      <c r="O2015" s="199"/>
      <c r="P2015" s="199"/>
      <c r="Q2015" s="199"/>
      <c r="R2015" s="199"/>
    </row>
    <row r="2016" spans="2:18">
      <c r="B2016" s="239" t="s">
        <v>2821</v>
      </c>
      <c r="C2016" s="240" t="s">
        <v>565</v>
      </c>
      <c r="D2016" s="240" t="s">
        <v>2810</v>
      </c>
      <c r="E2016" s="201">
        <v>110</v>
      </c>
      <c r="F2016" s="201">
        <v>10</v>
      </c>
      <c r="G2016" s="203">
        <v>43690</v>
      </c>
      <c r="M2016" s="199"/>
      <c r="N2016" s="199"/>
      <c r="O2016" s="199"/>
      <c r="P2016" s="199"/>
      <c r="Q2016" s="199"/>
      <c r="R2016" s="199"/>
    </row>
    <row r="2017" spans="2:18">
      <c r="B2017" s="239" t="s">
        <v>2822</v>
      </c>
      <c r="C2017" s="240" t="s">
        <v>402</v>
      </c>
      <c r="D2017" s="240" t="s">
        <v>2810</v>
      </c>
      <c r="E2017" s="201">
        <v>9.4</v>
      </c>
      <c r="F2017" s="201">
        <f>E2017/2</f>
        <v>4.7</v>
      </c>
      <c r="G2017" s="203">
        <v>42968</v>
      </c>
      <c r="M2017" s="199"/>
      <c r="N2017" s="199"/>
      <c r="O2017" s="199"/>
      <c r="P2017" s="199"/>
      <c r="Q2017" s="199"/>
      <c r="R2017" s="199"/>
    </row>
    <row r="2018" spans="2:18">
      <c r="B2018" s="239" t="s">
        <v>2823</v>
      </c>
      <c r="C2018" s="240" t="s">
        <v>402</v>
      </c>
      <c r="D2018" s="240" t="s">
        <v>2810</v>
      </c>
      <c r="E2018" s="201">
        <v>9.4</v>
      </c>
      <c r="F2018" s="201">
        <f>E2018/2</f>
        <v>4.7</v>
      </c>
      <c r="G2018" s="203">
        <v>42968</v>
      </c>
      <c r="M2018" s="199"/>
      <c r="N2018" s="199"/>
      <c r="O2018" s="199"/>
      <c r="P2018" s="199"/>
      <c r="Q2018" s="199"/>
      <c r="R2018" s="199"/>
    </row>
    <row r="2019" spans="2:18">
      <c r="B2019" s="239" t="s">
        <v>2824</v>
      </c>
      <c r="C2019" s="240" t="s">
        <v>544</v>
      </c>
      <c r="D2019" s="240" t="s">
        <v>2810</v>
      </c>
      <c r="E2019" s="201">
        <v>5.5</v>
      </c>
      <c r="F2019" s="201">
        <v>1</v>
      </c>
      <c r="G2019" s="203">
        <v>42156</v>
      </c>
      <c r="M2019" s="199"/>
      <c r="N2019" s="199"/>
      <c r="O2019" s="199"/>
      <c r="P2019" s="199"/>
      <c r="Q2019" s="199"/>
      <c r="R2019" s="199"/>
    </row>
    <row r="2020" spans="2:18">
      <c r="C2020" s="240" t="s">
        <v>549</v>
      </c>
      <c r="D2020" s="240" t="s">
        <v>2810</v>
      </c>
      <c r="E2020" s="201">
        <v>0.71</v>
      </c>
      <c r="F2020" s="201">
        <f>+E2020/2</f>
        <v>0.35499999999999998</v>
      </c>
      <c r="G2020" s="203">
        <v>41730</v>
      </c>
      <c r="M2020" s="199"/>
      <c r="N2020" s="199"/>
      <c r="O2020" s="199"/>
      <c r="P2020" s="199"/>
      <c r="Q2020" s="199"/>
      <c r="R2020" s="199"/>
    </row>
    <row r="2021" spans="2:18">
      <c r="B2021" s="239" t="s">
        <v>2825</v>
      </c>
      <c r="C2021" s="240" t="s">
        <v>549</v>
      </c>
      <c r="D2021" s="240" t="s">
        <v>2810</v>
      </c>
      <c r="E2021" s="201">
        <v>0.71</v>
      </c>
      <c r="F2021" s="201">
        <f t="shared" ref="F2021" si="18">+E2021/2</f>
        <v>0.35499999999999998</v>
      </c>
      <c r="G2021" s="203">
        <v>41730</v>
      </c>
      <c r="M2021" s="199"/>
      <c r="N2021" s="199"/>
      <c r="O2021" s="199"/>
      <c r="P2021" s="199"/>
      <c r="Q2021" s="199"/>
      <c r="R2021" s="199"/>
    </row>
    <row r="2022" spans="2:18">
      <c r="B2022" s="242" t="s">
        <v>2855</v>
      </c>
      <c r="C2022" s="243" t="s">
        <v>544</v>
      </c>
      <c r="D2022" s="243" t="s">
        <v>1464</v>
      </c>
      <c r="E2022" s="201">
        <v>86</v>
      </c>
      <c r="F2022" s="201">
        <v>10</v>
      </c>
      <c r="G2022" s="203">
        <v>44488</v>
      </c>
      <c r="M2022" s="199"/>
      <c r="N2022" s="199"/>
      <c r="O2022" s="199"/>
      <c r="P2022" s="199"/>
      <c r="Q2022" s="199"/>
      <c r="R2022" s="199"/>
    </row>
    <row r="2023" spans="2:18">
      <c r="B2023" s="242" t="s">
        <v>2856</v>
      </c>
      <c r="C2023" s="243" t="s">
        <v>544</v>
      </c>
      <c r="D2023" s="243" t="s">
        <v>1464</v>
      </c>
      <c r="E2023" s="201">
        <v>86</v>
      </c>
      <c r="F2023" s="201">
        <v>10</v>
      </c>
      <c r="G2023" s="203">
        <v>44488</v>
      </c>
      <c r="M2023" s="199"/>
      <c r="N2023" s="199"/>
      <c r="O2023" s="199"/>
      <c r="P2023" s="199"/>
      <c r="Q2023" s="199"/>
      <c r="R2023" s="199"/>
    </row>
    <row r="2024" spans="2:18">
      <c r="B2024" s="242"/>
      <c r="C2024" s="243" t="s">
        <v>549</v>
      </c>
      <c r="D2024" s="243" t="s">
        <v>1464</v>
      </c>
      <c r="E2024" s="201">
        <v>8.5</v>
      </c>
      <c r="F2024" s="201">
        <v>1</v>
      </c>
      <c r="G2024" s="203">
        <v>43796</v>
      </c>
      <c r="M2024" s="199"/>
      <c r="N2024" s="199"/>
      <c r="O2024" s="199"/>
      <c r="P2024" s="199"/>
      <c r="Q2024" s="199"/>
      <c r="R2024" s="199"/>
    </row>
    <row r="2025" spans="2:18">
      <c r="B2025" s="242"/>
      <c r="C2025" s="243" t="s">
        <v>549</v>
      </c>
      <c r="D2025" s="243" t="s">
        <v>1464</v>
      </c>
      <c r="E2025" s="201">
        <v>0.75</v>
      </c>
      <c r="F2025" s="201">
        <f>+E2025/2</f>
        <v>0.375</v>
      </c>
      <c r="G2025" s="203">
        <v>43166</v>
      </c>
      <c r="M2025" s="199"/>
      <c r="N2025" s="199"/>
      <c r="O2025" s="199"/>
      <c r="P2025" s="199"/>
      <c r="Q2025" s="199"/>
      <c r="R2025" s="199"/>
    </row>
    <row r="2026" spans="2:18">
      <c r="B2026" s="242" t="s">
        <v>2857</v>
      </c>
      <c r="C2026" s="243" t="s">
        <v>544</v>
      </c>
      <c r="D2026" s="243" t="s">
        <v>1464</v>
      </c>
      <c r="E2026" s="201">
        <v>86</v>
      </c>
      <c r="F2026" s="201">
        <v>10</v>
      </c>
      <c r="G2026" s="203">
        <v>44488</v>
      </c>
      <c r="M2026" s="199"/>
      <c r="N2026" s="199"/>
      <c r="O2026" s="199"/>
      <c r="P2026" s="199"/>
      <c r="Q2026" s="199"/>
      <c r="R2026" s="199"/>
    </row>
    <row r="2027" spans="2:18">
      <c r="B2027" s="242"/>
      <c r="C2027" s="243"/>
      <c r="D2027" s="243"/>
      <c r="G2027" s="203"/>
      <c r="M2027" s="199"/>
      <c r="N2027" s="199"/>
      <c r="O2027" s="199"/>
      <c r="P2027" s="199"/>
      <c r="Q2027" s="199"/>
      <c r="R2027" s="199"/>
    </row>
    <row r="2028" spans="2:18">
      <c r="B2028" s="242" t="s">
        <v>2859</v>
      </c>
      <c r="C2028" s="243" t="s">
        <v>549</v>
      </c>
      <c r="D2028" s="243" t="s">
        <v>1464</v>
      </c>
      <c r="E2028" s="201">
        <v>8.5</v>
      </c>
      <c r="F2028" s="201">
        <v>1</v>
      </c>
      <c r="G2028" s="203">
        <v>43796</v>
      </c>
      <c r="M2028" s="199"/>
      <c r="N2028" s="199"/>
      <c r="O2028" s="199"/>
      <c r="P2028" s="199"/>
      <c r="Q2028" s="199"/>
      <c r="R2028" s="199"/>
    </row>
    <row r="2029" spans="2:18">
      <c r="B2029" s="242"/>
      <c r="C2029" s="273" t="s">
        <v>669</v>
      </c>
      <c r="D2029" s="273" t="s">
        <v>1790</v>
      </c>
      <c r="E2029" s="201">
        <v>0.2</v>
      </c>
      <c r="F2029" s="201">
        <v>0.1</v>
      </c>
      <c r="G2029" s="203">
        <v>44054</v>
      </c>
      <c r="M2029" s="199"/>
      <c r="N2029" s="199"/>
      <c r="O2029" s="199"/>
      <c r="P2029" s="199"/>
      <c r="Q2029" s="199"/>
      <c r="R2029" s="199"/>
    </row>
    <row r="2030" spans="2:18">
      <c r="B2030" s="242"/>
      <c r="C2030" s="243"/>
      <c r="D2030" s="243"/>
      <c r="G2030" s="203"/>
      <c r="M2030" s="199"/>
      <c r="N2030" s="199"/>
      <c r="O2030" s="199"/>
      <c r="P2030" s="199"/>
      <c r="Q2030" s="199"/>
      <c r="R2030" s="199"/>
    </row>
    <row r="2031" spans="2:18">
      <c r="B2031" s="244" t="s">
        <v>2867</v>
      </c>
      <c r="C2031" s="245" t="s">
        <v>565</v>
      </c>
      <c r="D2031" s="245" t="s">
        <v>2866</v>
      </c>
      <c r="E2031" s="201">
        <v>130</v>
      </c>
      <c r="F2031" s="201">
        <f>100/7</f>
        <v>14.285714285714286</v>
      </c>
      <c r="G2031" s="203">
        <v>44323</v>
      </c>
      <c r="M2031" s="199"/>
      <c r="N2031" s="199"/>
      <c r="O2031" s="199"/>
      <c r="P2031" s="199"/>
      <c r="Q2031" s="199"/>
      <c r="R2031" s="199"/>
    </row>
    <row r="2032" spans="2:18">
      <c r="B2032" s="244"/>
      <c r="C2032" s="245" t="s">
        <v>402</v>
      </c>
      <c r="D2032" s="245" t="s">
        <v>2866</v>
      </c>
      <c r="E2032" s="201">
        <v>44</v>
      </c>
      <c r="F2032" s="201">
        <f>30/6</f>
        <v>5</v>
      </c>
      <c r="G2032" s="203">
        <v>43909</v>
      </c>
      <c r="M2032" s="199"/>
      <c r="N2032" s="199"/>
      <c r="O2032" s="199"/>
      <c r="P2032" s="199"/>
      <c r="Q2032" s="199"/>
      <c r="R2032" s="199"/>
    </row>
    <row r="2033" spans="2:18">
      <c r="B2033" s="244"/>
      <c r="C2033" s="245" t="s">
        <v>544</v>
      </c>
      <c r="D2033" s="245" t="s">
        <v>2866</v>
      </c>
      <c r="E2033" s="201">
        <v>15</v>
      </c>
      <c r="F2033" s="201">
        <v>3</v>
      </c>
      <c r="G2033" s="203">
        <v>43452</v>
      </c>
      <c r="M2033" s="199"/>
      <c r="N2033" s="199"/>
      <c r="O2033" s="199"/>
      <c r="P2033" s="199"/>
      <c r="Q2033" s="199"/>
      <c r="R2033" s="199"/>
    </row>
    <row r="2034" spans="2:18">
      <c r="B2034" s="244"/>
      <c r="C2034" s="245" t="s">
        <v>549</v>
      </c>
      <c r="D2034" s="245" t="s">
        <v>2866</v>
      </c>
      <c r="E2034" s="201">
        <v>2.5</v>
      </c>
      <c r="F2034" s="201">
        <v>0.5</v>
      </c>
      <c r="G2034" s="203">
        <v>42936</v>
      </c>
      <c r="M2034" s="199"/>
      <c r="N2034" s="199"/>
      <c r="O2034" s="199"/>
      <c r="P2034" s="199"/>
      <c r="Q2034" s="199"/>
      <c r="R2034" s="199"/>
    </row>
    <row r="2035" spans="2:18">
      <c r="B2035" s="244" t="s">
        <v>2868</v>
      </c>
      <c r="C2035" s="245" t="s">
        <v>565</v>
      </c>
      <c r="D2035" s="245" t="s">
        <v>2866</v>
      </c>
      <c r="E2035" s="201">
        <v>130</v>
      </c>
      <c r="F2035" s="201">
        <f>100/7</f>
        <v>14.285714285714286</v>
      </c>
      <c r="G2035" s="203">
        <v>44323</v>
      </c>
      <c r="M2035" s="199"/>
      <c r="N2035" s="199"/>
      <c r="O2035" s="199"/>
      <c r="P2035" s="199"/>
      <c r="Q2035" s="199"/>
      <c r="R2035" s="199"/>
    </row>
    <row r="2036" spans="2:18">
      <c r="B2036" s="244"/>
      <c r="C2036" s="245" t="s">
        <v>544</v>
      </c>
      <c r="D2036" s="245" t="s">
        <v>2866</v>
      </c>
      <c r="E2036" s="201">
        <v>15</v>
      </c>
      <c r="F2036" s="201">
        <v>3</v>
      </c>
      <c r="G2036" s="203">
        <v>43452</v>
      </c>
      <c r="M2036" s="199"/>
      <c r="N2036" s="199"/>
      <c r="O2036" s="199"/>
      <c r="P2036" s="199"/>
      <c r="Q2036" s="199"/>
      <c r="R2036" s="199"/>
    </row>
    <row r="2037" spans="2:18">
      <c r="B2037" s="244" t="s">
        <v>2869</v>
      </c>
      <c r="C2037" s="245" t="s">
        <v>565</v>
      </c>
      <c r="D2037" s="245" t="s">
        <v>2866</v>
      </c>
      <c r="E2037" s="201">
        <v>130</v>
      </c>
      <c r="F2037" s="201">
        <f t="shared" ref="F2037" si="19">100/7</f>
        <v>14.285714285714286</v>
      </c>
      <c r="G2037" s="203">
        <v>44323</v>
      </c>
      <c r="M2037" s="199"/>
      <c r="N2037" s="199"/>
      <c r="O2037" s="199"/>
      <c r="P2037" s="199"/>
      <c r="Q2037" s="199"/>
      <c r="R2037" s="199"/>
    </row>
    <row r="2038" spans="2:18">
      <c r="B2038" s="244"/>
      <c r="C2038" s="245" t="s">
        <v>402</v>
      </c>
      <c r="D2038" s="245" t="s">
        <v>2866</v>
      </c>
      <c r="E2038" s="201">
        <v>44</v>
      </c>
      <c r="F2038" s="201">
        <f>30/6</f>
        <v>5</v>
      </c>
      <c r="G2038" s="203">
        <v>43909</v>
      </c>
      <c r="M2038" s="199"/>
      <c r="N2038" s="199"/>
      <c r="O2038" s="199"/>
      <c r="P2038" s="199"/>
      <c r="Q2038" s="199"/>
      <c r="R2038" s="199"/>
    </row>
    <row r="2039" spans="2:18">
      <c r="B2039" s="244"/>
      <c r="C2039" s="245" t="s">
        <v>544</v>
      </c>
      <c r="D2039" s="245" t="s">
        <v>2866</v>
      </c>
      <c r="E2039" s="201">
        <v>15</v>
      </c>
      <c r="F2039" s="201">
        <v>3</v>
      </c>
      <c r="G2039" s="203">
        <v>43452</v>
      </c>
      <c r="M2039" s="199"/>
      <c r="N2039" s="199"/>
      <c r="O2039" s="199"/>
      <c r="P2039" s="199"/>
      <c r="Q2039" s="199"/>
      <c r="R2039" s="199"/>
    </row>
    <row r="2040" spans="2:18">
      <c r="B2040" s="244" t="s">
        <v>2870</v>
      </c>
      <c r="C2040" s="245" t="s">
        <v>402</v>
      </c>
      <c r="D2040" s="245" t="s">
        <v>2866</v>
      </c>
      <c r="E2040" s="201">
        <v>44</v>
      </c>
      <c r="F2040" s="201">
        <f>30/6</f>
        <v>5</v>
      </c>
      <c r="G2040" s="203">
        <v>43909</v>
      </c>
      <c r="M2040" s="199"/>
      <c r="N2040" s="199"/>
      <c r="O2040" s="199"/>
      <c r="P2040" s="199"/>
      <c r="Q2040" s="199"/>
      <c r="R2040" s="199"/>
    </row>
    <row r="2041" spans="2:18">
      <c r="B2041" s="244" t="s">
        <v>2871</v>
      </c>
      <c r="C2041" s="245" t="s">
        <v>402</v>
      </c>
      <c r="D2041" s="245" t="s">
        <v>2866</v>
      </c>
      <c r="E2041" s="201">
        <v>44</v>
      </c>
      <c r="F2041" s="201">
        <f>30/6</f>
        <v>5</v>
      </c>
      <c r="G2041" s="203">
        <v>43909</v>
      </c>
      <c r="M2041" s="199"/>
      <c r="N2041" s="199"/>
      <c r="O2041" s="199"/>
      <c r="P2041" s="199"/>
      <c r="Q2041" s="199"/>
      <c r="R2041" s="199"/>
    </row>
    <row r="2042" spans="2:18">
      <c r="C2042" s="245" t="s">
        <v>544</v>
      </c>
      <c r="D2042" s="245" t="s">
        <v>2866</v>
      </c>
      <c r="E2042" s="201">
        <v>15</v>
      </c>
      <c r="F2042" s="201">
        <v>3</v>
      </c>
      <c r="G2042" s="203">
        <v>43452</v>
      </c>
      <c r="M2042" s="199"/>
      <c r="N2042" s="199"/>
      <c r="O2042" s="199"/>
      <c r="P2042" s="199"/>
      <c r="Q2042" s="199"/>
      <c r="R2042" s="199"/>
    </row>
    <row r="2043" spans="2:18">
      <c r="B2043" s="244" t="s">
        <v>2874</v>
      </c>
      <c r="C2043" s="245" t="s">
        <v>549</v>
      </c>
      <c r="D2043" s="245" t="s">
        <v>2866</v>
      </c>
      <c r="E2043" s="201">
        <v>2.5</v>
      </c>
      <c r="F2043" s="201">
        <v>0.5</v>
      </c>
      <c r="G2043" s="203">
        <v>42936</v>
      </c>
      <c r="M2043" s="199"/>
      <c r="N2043" s="199"/>
      <c r="O2043" s="199"/>
      <c r="P2043" s="199"/>
      <c r="Q2043" s="199"/>
      <c r="R2043" s="199"/>
    </row>
    <row r="2044" spans="2:18">
      <c r="B2044" s="246" t="s">
        <v>3027</v>
      </c>
      <c r="C2044" s="247" t="s">
        <v>402</v>
      </c>
      <c r="D2044" s="247" t="s">
        <v>3022</v>
      </c>
      <c r="E2044" s="201">
        <v>120</v>
      </c>
      <c r="F2044" s="201">
        <v>30</v>
      </c>
      <c r="G2044" s="203">
        <v>44602</v>
      </c>
      <c r="M2044" s="199"/>
      <c r="N2044" s="199"/>
      <c r="O2044" s="199"/>
      <c r="P2044" s="199"/>
      <c r="Q2044" s="199"/>
      <c r="R2044" s="199"/>
    </row>
    <row r="2045" spans="2:18">
      <c r="B2045" s="246" t="s">
        <v>3028</v>
      </c>
      <c r="C2045" s="247" t="s">
        <v>402</v>
      </c>
      <c r="D2045" s="247" t="s">
        <v>3022</v>
      </c>
      <c r="E2045" s="201">
        <v>120</v>
      </c>
      <c r="F2045" s="201">
        <f>90/8</f>
        <v>11.25</v>
      </c>
      <c r="G2045" s="203">
        <v>44602</v>
      </c>
      <c r="M2045" s="199"/>
      <c r="N2045" s="199"/>
      <c r="O2045" s="199"/>
      <c r="P2045" s="199"/>
      <c r="Q2045" s="199"/>
      <c r="R2045" s="199"/>
    </row>
    <row r="2046" spans="2:18">
      <c r="B2046" s="246" t="s">
        <v>3029</v>
      </c>
      <c r="C2046" s="247" t="s">
        <v>402</v>
      </c>
      <c r="D2046" s="247" t="s">
        <v>3022</v>
      </c>
      <c r="E2046" s="201">
        <v>120</v>
      </c>
      <c r="F2046" s="201">
        <f t="shared" si="2"/>
        <v>11.25</v>
      </c>
      <c r="G2046" s="203">
        <v>44602</v>
      </c>
      <c r="M2046" s="199"/>
      <c r="N2046" s="199"/>
      <c r="O2046" s="199"/>
      <c r="P2046" s="199"/>
      <c r="Q2046" s="199"/>
      <c r="R2046" s="199"/>
    </row>
    <row r="2047" spans="2:18">
      <c r="B2047" s="246" t="s">
        <v>3030</v>
      </c>
      <c r="C2047" s="247" t="s">
        <v>402</v>
      </c>
      <c r="D2047" s="247" t="s">
        <v>3022</v>
      </c>
      <c r="E2047" s="201">
        <v>120</v>
      </c>
      <c r="F2047" s="201">
        <f t="shared" si="2"/>
        <v>11.25</v>
      </c>
      <c r="G2047" s="203">
        <v>44602</v>
      </c>
      <c r="M2047" s="199"/>
      <c r="N2047" s="199"/>
      <c r="O2047" s="199"/>
      <c r="P2047" s="199"/>
      <c r="Q2047" s="199"/>
      <c r="R2047" s="199"/>
    </row>
    <row r="2048" spans="2:18">
      <c r="B2048" s="246" t="s">
        <v>3031</v>
      </c>
      <c r="C2048" s="247" t="s">
        <v>402</v>
      </c>
      <c r="D2048" s="247" t="s">
        <v>3022</v>
      </c>
      <c r="E2048" s="201">
        <v>120</v>
      </c>
      <c r="F2048" s="201">
        <f t="shared" si="2"/>
        <v>11.25</v>
      </c>
      <c r="G2048" s="203">
        <v>44602</v>
      </c>
      <c r="M2048" s="199"/>
      <c r="N2048" s="199"/>
      <c r="O2048" s="199"/>
      <c r="P2048" s="199"/>
      <c r="Q2048" s="199"/>
      <c r="R2048" s="199"/>
    </row>
    <row r="2049" spans="2:18">
      <c r="B2049" s="246"/>
      <c r="C2049" s="247" t="s">
        <v>544</v>
      </c>
      <c r="D2049" s="247" t="s">
        <v>3022</v>
      </c>
      <c r="E2049" s="201">
        <v>50</v>
      </c>
      <c r="F2049" s="201">
        <v>25</v>
      </c>
      <c r="G2049" s="203">
        <v>43039</v>
      </c>
      <c r="M2049" s="199"/>
      <c r="N2049" s="199"/>
      <c r="O2049" s="199"/>
      <c r="P2049" s="199"/>
      <c r="Q2049" s="199"/>
      <c r="R2049" s="199"/>
    </row>
    <row r="2050" spans="2:18">
      <c r="B2050" s="246" t="s">
        <v>3035</v>
      </c>
      <c r="C2050" s="247" t="s">
        <v>544</v>
      </c>
      <c r="D2050" s="247" t="s">
        <v>3022</v>
      </c>
      <c r="E2050" s="201">
        <v>50</v>
      </c>
      <c r="F2050" s="201">
        <f>25/2</f>
        <v>12.5</v>
      </c>
      <c r="G2050" s="203">
        <v>43039</v>
      </c>
      <c r="M2050" s="199"/>
      <c r="N2050" s="199"/>
      <c r="O2050" s="199"/>
      <c r="P2050" s="199"/>
      <c r="Q2050" s="199"/>
      <c r="R2050" s="199"/>
    </row>
    <row r="2051" spans="2:18">
      <c r="B2051" s="246" t="s">
        <v>3036</v>
      </c>
      <c r="C2051" s="247" t="s">
        <v>544</v>
      </c>
      <c r="D2051" s="247" t="s">
        <v>3022</v>
      </c>
      <c r="E2051" s="201">
        <v>50</v>
      </c>
      <c r="F2051" s="201">
        <f>25/2</f>
        <v>12.5</v>
      </c>
      <c r="G2051" s="203">
        <v>43039</v>
      </c>
      <c r="M2051" s="199"/>
      <c r="N2051" s="199"/>
      <c r="O2051" s="199"/>
      <c r="P2051" s="199"/>
      <c r="Q2051" s="199"/>
      <c r="R2051" s="199"/>
    </row>
    <row r="2052" spans="2:18">
      <c r="B2052" s="246" t="s">
        <v>3032</v>
      </c>
      <c r="C2052" s="247" t="s">
        <v>402</v>
      </c>
      <c r="D2052" s="247" t="s">
        <v>3022</v>
      </c>
      <c r="E2052" s="201">
        <v>120</v>
      </c>
      <c r="F2052" s="201">
        <f t="shared" si="2"/>
        <v>11.25</v>
      </c>
      <c r="G2052" s="203">
        <v>44602</v>
      </c>
      <c r="M2052" s="199"/>
      <c r="N2052" s="199"/>
      <c r="O2052" s="199"/>
      <c r="P2052" s="199"/>
      <c r="Q2052" s="199"/>
      <c r="R2052" s="199"/>
    </row>
    <row r="2053" spans="2:18">
      <c r="B2053" s="246" t="s">
        <v>3033</v>
      </c>
      <c r="C2053" s="247" t="s">
        <v>402</v>
      </c>
      <c r="D2053" s="247" t="s">
        <v>3022</v>
      </c>
      <c r="E2053" s="201">
        <v>120</v>
      </c>
      <c r="F2053" s="201">
        <f t="shared" si="2"/>
        <v>11.25</v>
      </c>
      <c r="G2053" s="203">
        <v>44602</v>
      </c>
      <c r="M2053" s="199"/>
      <c r="N2053" s="199"/>
      <c r="O2053" s="199"/>
      <c r="P2053" s="199"/>
      <c r="Q2053" s="199"/>
      <c r="R2053" s="199"/>
    </row>
    <row r="2054" spans="2:18">
      <c r="B2054" s="199" t="s">
        <v>3034</v>
      </c>
      <c r="C2054" s="247" t="s">
        <v>402</v>
      </c>
      <c r="D2054" s="247" t="s">
        <v>3022</v>
      </c>
      <c r="E2054" s="201">
        <v>120</v>
      </c>
      <c r="F2054" s="201">
        <f t="shared" si="2"/>
        <v>11.25</v>
      </c>
      <c r="G2054" s="203">
        <v>44602</v>
      </c>
      <c r="M2054" s="199"/>
      <c r="N2054" s="199"/>
      <c r="O2054" s="199"/>
      <c r="P2054" s="199"/>
      <c r="Q2054" s="199"/>
      <c r="R2054" s="199"/>
    </row>
    <row r="2055" spans="2:18">
      <c r="B2055" s="246" t="s">
        <v>3056</v>
      </c>
      <c r="C2055" s="247" t="s">
        <v>402</v>
      </c>
      <c r="D2055" s="247" t="s">
        <v>1358</v>
      </c>
      <c r="E2055" s="201">
        <v>27.5</v>
      </c>
      <c r="F2055" s="201">
        <f>E2055/2</f>
        <v>13.75</v>
      </c>
      <c r="G2055" s="203">
        <v>44181</v>
      </c>
      <c r="M2055" s="199"/>
      <c r="N2055" s="199"/>
      <c r="O2055" s="199"/>
      <c r="P2055" s="199"/>
      <c r="Q2055" s="199"/>
      <c r="R2055" s="199"/>
    </row>
    <row r="2056" spans="2:18">
      <c r="B2056" s="246"/>
      <c r="C2056" s="273" t="s">
        <v>544</v>
      </c>
      <c r="D2056" s="273" t="s">
        <v>1828</v>
      </c>
      <c r="E2056" s="201">
        <v>102</v>
      </c>
      <c r="F2056" s="201">
        <v>8</v>
      </c>
      <c r="G2056" s="203">
        <v>43292</v>
      </c>
      <c r="M2056" s="199"/>
      <c r="N2056" s="199"/>
      <c r="O2056" s="199"/>
      <c r="P2056" s="199"/>
      <c r="Q2056" s="199"/>
      <c r="R2056" s="199"/>
    </row>
    <row r="2057" spans="2:18">
      <c r="B2057" s="246"/>
      <c r="C2057" s="247"/>
      <c r="D2057" s="247"/>
      <c r="G2057" s="203"/>
      <c r="M2057" s="199"/>
      <c r="N2057" s="199"/>
      <c r="O2057" s="199"/>
      <c r="P2057" s="199"/>
      <c r="Q2057" s="199"/>
      <c r="R2057" s="199"/>
    </row>
    <row r="2058" spans="2:18">
      <c r="B2058" s="246" t="s">
        <v>3058</v>
      </c>
      <c r="C2058" s="247" t="s">
        <v>544</v>
      </c>
      <c r="D2058" s="247" t="s">
        <v>1358</v>
      </c>
      <c r="E2058" s="201">
        <v>10.7</v>
      </c>
      <c r="F2058" s="201">
        <f>+E2058-8</f>
        <v>2.6999999999999993</v>
      </c>
      <c r="G2058" s="203">
        <v>43250</v>
      </c>
      <c r="M2058" s="199"/>
      <c r="N2058" s="199"/>
      <c r="O2058" s="199"/>
      <c r="P2058" s="199"/>
      <c r="Q2058" s="199"/>
      <c r="R2058" s="199"/>
    </row>
    <row r="2059" spans="2:18">
      <c r="B2059" s="246"/>
      <c r="C2059" s="247"/>
      <c r="D2059" s="247"/>
      <c r="G2059" s="203"/>
      <c r="M2059" s="199"/>
      <c r="N2059" s="199"/>
      <c r="O2059" s="199"/>
      <c r="P2059" s="199"/>
      <c r="Q2059" s="199"/>
      <c r="R2059" s="199"/>
    </row>
    <row r="2060" spans="2:18">
      <c r="B2060" s="248" t="s">
        <v>3065</v>
      </c>
      <c r="C2060" s="249" t="s">
        <v>544</v>
      </c>
      <c r="D2060" s="249" t="s">
        <v>1193</v>
      </c>
      <c r="E2060" s="201">
        <v>16</v>
      </c>
      <c r="F2060" s="201">
        <v>10</v>
      </c>
      <c r="G2060" s="203">
        <v>44663</v>
      </c>
      <c r="M2060" s="199"/>
      <c r="N2060" s="199"/>
      <c r="O2060" s="199"/>
      <c r="P2060" s="199"/>
      <c r="Q2060" s="199"/>
      <c r="R2060" s="199"/>
    </row>
    <row r="2061" spans="2:18">
      <c r="B2061" s="248"/>
      <c r="C2061" s="273" t="s">
        <v>565</v>
      </c>
      <c r="D2061" s="273" t="s">
        <v>1828</v>
      </c>
      <c r="E2061" s="201">
        <v>100</v>
      </c>
      <c r="F2061" s="201">
        <f>70/5</f>
        <v>14</v>
      </c>
      <c r="G2061" s="203">
        <v>44235</v>
      </c>
      <c r="I2061" s="199">
        <v>5200</v>
      </c>
      <c r="M2061" s="199"/>
      <c r="N2061" s="199"/>
      <c r="O2061" s="199"/>
      <c r="P2061" s="199"/>
      <c r="Q2061" s="199"/>
      <c r="R2061" s="199"/>
    </row>
    <row r="2062" spans="2:18">
      <c r="B2062" s="248"/>
      <c r="C2062" s="273" t="s">
        <v>565</v>
      </c>
      <c r="D2062" s="273" t="s">
        <v>1828</v>
      </c>
      <c r="E2062" s="201">
        <v>267</v>
      </c>
      <c r="F2062" s="201">
        <v>33</v>
      </c>
      <c r="G2062" s="203">
        <v>44235</v>
      </c>
      <c r="I2062" s="199">
        <v>5000</v>
      </c>
      <c r="M2062" s="199"/>
      <c r="N2062" s="199"/>
      <c r="O2062" s="199"/>
      <c r="P2062" s="199"/>
      <c r="Q2062" s="199"/>
      <c r="R2062" s="199"/>
    </row>
    <row r="2063" spans="2:18">
      <c r="B2063" s="248"/>
      <c r="C2063" s="273" t="s">
        <v>544</v>
      </c>
      <c r="D2063" s="273" t="s">
        <v>1828</v>
      </c>
      <c r="E2063" s="201">
        <v>102</v>
      </c>
      <c r="F2063" s="201">
        <v>16</v>
      </c>
      <c r="G2063" s="203">
        <v>43292</v>
      </c>
      <c r="M2063" s="199"/>
      <c r="N2063" s="199"/>
      <c r="O2063" s="199"/>
      <c r="P2063" s="199"/>
      <c r="Q2063" s="199"/>
      <c r="R2063" s="199"/>
    </row>
    <row r="2064" spans="2:18">
      <c r="B2064" s="248"/>
      <c r="C2064" s="249"/>
      <c r="D2064" s="249"/>
      <c r="G2064" s="203"/>
      <c r="M2064" s="199"/>
      <c r="N2064" s="199"/>
      <c r="O2064" s="199"/>
      <c r="P2064" s="199"/>
      <c r="Q2064" s="199"/>
      <c r="R2064" s="199"/>
    </row>
    <row r="2065" spans="2:18">
      <c r="B2065" s="248" t="s">
        <v>3066</v>
      </c>
      <c r="C2065" s="249" t="s">
        <v>544</v>
      </c>
      <c r="D2065" s="249" t="s">
        <v>1193</v>
      </c>
      <c r="E2065" s="201">
        <v>16</v>
      </c>
      <c r="F2065" s="201">
        <v>6</v>
      </c>
      <c r="G2065" s="203">
        <v>44663</v>
      </c>
      <c r="M2065" s="199"/>
      <c r="N2065" s="199"/>
      <c r="O2065" s="199"/>
      <c r="P2065" s="199"/>
      <c r="Q2065" s="199"/>
      <c r="R2065" s="199"/>
    </row>
    <row r="2066" spans="2:18">
      <c r="B2066" s="248" t="s">
        <v>3067</v>
      </c>
      <c r="C2066" s="249" t="s">
        <v>549</v>
      </c>
      <c r="D2066" s="249" t="s">
        <v>1193</v>
      </c>
      <c r="E2066" s="201">
        <v>12</v>
      </c>
      <c r="F2066" s="201">
        <v>6</v>
      </c>
      <c r="G2066" s="203">
        <v>44271</v>
      </c>
      <c r="M2066" s="199"/>
      <c r="N2066" s="199"/>
      <c r="O2066" s="199"/>
      <c r="P2066" s="199"/>
      <c r="Q2066" s="199"/>
      <c r="R2066" s="199"/>
    </row>
    <row r="2067" spans="2:18">
      <c r="B2067" s="248" t="s">
        <v>3068</v>
      </c>
      <c r="C2067" s="249" t="s">
        <v>549</v>
      </c>
      <c r="D2067" s="249" t="s">
        <v>1193</v>
      </c>
      <c r="E2067" s="201">
        <v>12</v>
      </c>
      <c r="F2067" s="201">
        <v>3</v>
      </c>
      <c r="G2067" s="203">
        <v>44271</v>
      </c>
      <c r="M2067" s="199"/>
      <c r="N2067" s="199"/>
      <c r="O2067" s="199"/>
      <c r="P2067" s="199"/>
      <c r="Q2067" s="199"/>
      <c r="R2067" s="199"/>
    </row>
    <row r="2068" spans="2:18">
      <c r="B2068" s="248" t="s">
        <v>3075</v>
      </c>
      <c r="C2068" s="249" t="s">
        <v>402</v>
      </c>
      <c r="D2068" s="249" t="s">
        <v>1357</v>
      </c>
      <c r="E2068" s="201">
        <v>22</v>
      </c>
      <c r="F2068" s="201">
        <v>12</v>
      </c>
      <c r="G2068" s="203">
        <v>44861</v>
      </c>
      <c r="M2068" s="199"/>
      <c r="N2068" s="199"/>
      <c r="O2068" s="199"/>
      <c r="P2068" s="199"/>
      <c r="Q2068" s="199"/>
      <c r="R2068" s="199"/>
    </row>
    <row r="2069" spans="2:18">
      <c r="B2069" s="248" t="s">
        <v>3076</v>
      </c>
      <c r="C2069" s="249" t="s">
        <v>402</v>
      </c>
      <c r="D2069" s="249" t="s">
        <v>1357</v>
      </c>
      <c r="E2069" s="201">
        <v>22</v>
      </c>
      <c r="F2069" s="201">
        <v>2</v>
      </c>
      <c r="G2069" s="203">
        <v>44861</v>
      </c>
      <c r="M2069" s="199"/>
      <c r="N2069" s="199"/>
      <c r="O2069" s="199"/>
      <c r="P2069" s="199"/>
      <c r="Q2069" s="199"/>
      <c r="R2069" s="199"/>
    </row>
    <row r="2070" spans="2:18">
      <c r="B2070" s="248"/>
      <c r="C2070" s="249" t="s">
        <v>544</v>
      </c>
      <c r="D2070" s="249" t="s">
        <v>1357</v>
      </c>
      <c r="E2070" s="201">
        <v>15</v>
      </c>
      <c r="F2070" s="201">
        <v>1</v>
      </c>
      <c r="G2070" s="203">
        <v>44487</v>
      </c>
      <c r="M2070" s="199"/>
      <c r="N2070" s="199"/>
      <c r="O2070" s="199"/>
      <c r="P2070" s="199"/>
      <c r="Q2070" s="199"/>
      <c r="R2070" s="199"/>
    </row>
    <row r="2071" spans="2:18">
      <c r="B2071" s="248" t="s">
        <v>3077</v>
      </c>
      <c r="C2071" s="249" t="s">
        <v>402</v>
      </c>
      <c r="D2071" s="249" t="s">
        <v>1357</v>
      </c>
      <c r="E2071" s="201">
        <v>22</v>
      </c>
      <c r="F2071" s="201">
        <v>5</v>
      </c>
      <c r="G2071" s="203">
        <v>44861</v>
      </c>
      <c r="M2071" s="199"/>
      <c r="N2071" s="199"/>
      <c r="O2071" s="199"/>
      <c r="P2071" s="199"/>
      <c r="Q2071" s="199"/>
      <c r="R2071" s="199"/>
    </row>
    <row r="2072" spans="2:18">
      <c r="C2072" s="249" t="s">
        <v>544</v>
      </c>
      <c r="D2072" s="249" t="s">
        <v>1357</v>
      </c>
      <c r="E2072" s="201">
        <v>15</v>
      </c>
      <c r="F2072" s="201">
        <v>5</v>
      </c>
      <c r="G2072" s="203">
        <v>44487</v>
      </c>
      <c r="M2072" s="199"/>
      <c r="N2072" s="199"/>
      <c r="O2072" s="199"/>
      <c r="P2072" s="199"/>
      <c r="Q2072" s="199"/>
      <c r="R2072" s="199"/>
    </row>
    <row r="2073" spans="2:18">
      <c r="C2073" s="249" t="s">
        <v>549</v>
      </c>
      <c r="D2073" s="249" t="s">
        <v>1357</v>
      </c>
      <c r="E2073" s="201">
        <v>7</v>
      </c>
      <c r="F2073" s="201">
        <v>7</v>
      </c>
      <c r="G2073" s="203">
        <v>44117</v>
      </c>
      <c r="M2073" s="199"/>
      <c r="N2073" s="199"/>
      <c r="O2073" s="199"/>
      <c r="P2073" s="199"/>
      <c r="Q2073" s="199"/>
      <c r="R2073" s="199"/>
    </row>
    <row r="2074" spans="2:18">
      <c r="B2074" s="248" t="s">
        <v>3097</v>
      </c>
      <c r="C2074" s="249" t="s">
        <v>549</v>
      </c>
      <c r="D2074" s="249" t="s">
        <v>1416</v>
      </c>
      <c r="E2074" s="201">
        <v>3.5</v>
      </c>
      <c r="F2074" s="201">
        <f>E2074/10</f>
        <v>0.35</v>
      </c>
      <c r="G2074" s="203">
        <v>43046</v>
      </c>
      <c r="L2074" s="248">
        <v>0</v>
      </c>
      <c r="M2074" s="199"/>
      <c r="N2074" s="199"/>
      <c r="O2074" s="199"/>
      <c r="P2074" s="199"/>
      <c r="Q2074" s="199"/>
      <c r="R2074" s="199"/>
    </row>
    <row r="2075" spans="2:18">
      <c r="B2075" s="248" t="s">
        <v>3098</v>
      </c>
      <c r="C2075" s="249" t="s">
        <v>549</v>
      </c>
      <c r="D2075" s="249" t="s">
        <v>1416</v>
      </c>
      <c r="E2075" s="201">
        <v>3.5</v>
      </c>
      <c r="F2075" s="201">
        <f>E2075/10</f>
        <v>0.35</v>
      </c>
      <c r="G2075" s="203">
        <v>43046</v>
      </c>
      <c r="L2075" s="248">
        <v>0</v>
      </c>
      <c r="M2075" s="199"/>
      <c r="N2075" s="199"/>
      <c r="O2075" s="199"/>
      <c r="P2075" s="199"/>
      <c r="Q2075" s="199"/>
      <c r="R2075" s="199"/>
    </row>
    <row r="2076" spans="2:18">
      <c r="B2076" s="248" t="s">
        <v>3099</v>
      </c>
      <c r="C2076" s="249" t="s">
        <v>549</v>
      </c>
      <c r="D2076" s="249" t="s">
        <v>1416</v>
      </c>
      <c r="E2076" s="201">
        <v>3.5</v>
      </c>
      <c r="F2076" s="201">
        <f>E2076/10</f>
        <v>0.35</v>
      </c>
      <c r="G2076" s="203">
        <v>43046</v>
      </c>
      <c r="L2076" s="248">
        <v>0</v>
      </c>
      <c r="M2076" s="199"/>
      <c r="N2076" s="199"/>
      <c r="O2076" s="199"/>
      <c r="P2076" s="199"/>
      <c r="Q2076" s="199"/>
      <c r="R2076" s="199"/>
    </row>
    <row r="2077" spans="2:18">
      <c r="B2077" s="248" t="s">
        <v>3133</v>
      </c>
      <c r="C2077" s="249" t="s">
        <v>549</v>
      </c>
      <c r="D2077" s="249" t="s">
        <v>1546</v>
      </c>
      <c r="E2077" s="201">
        <v>3.5</v>
      </c>
      <c r="F2077" s="201">
        <v>1.25</v>
      </c>
      <c r="G2077" s="203">
        <v>44636</v>
      </c>
      <c r="M2077" s="199"/>
      <c r="N2077" s="199"/>
      <c r="O2077" s="199"/>
      <c r="P2077" s="199"/>
      <c r="Q2077" s="199"/>
      <c r="R2077" s="199"/>
    </row>
    <row r="2078" spans="2:18">
      <c r="B2078" s="248" t="s">
        <v>3134</v>
      </c>
      <c r="C2078" s="249" t="s">
        <v>549</v>
      </c>
      <c r="D2078" s="249" t="s">
        <v>1546</v>
      </c>
      <c r="E2078" s="201">
        <v>3.5</v>
      </c>
      <c r="F2078" s="201">
        <v>0.5</v>
      </c>
      <c r="G2078" s="203">
        <v>44636</v>
      </c>
      <c r="M2078" s="199"/>
      <c r="N2078" s="199"/>
      <c r="O2078" s="199"/>
      <c r="P2078" s="199"/>
      <c r="Q2078" s="199"/>
      <c r="R2078" s="199"/>
    </row>
    <row r="2079" spans="2:18">
      <c r="B2079" s="248" t="s">
        <v>3135</v>
      </c>
      <c r="C2079" s="249" t="s">
        <v>549</v>
      </c>
      <c r="D2079" s="249" t="s">
        <v>1546</v>
      </c>
      <c r="E2079" s="201">
        <v>3.5</v>
      </c>
      <c r="F2079" s="201">
        <v>0.5</v>
      </c>
      <c r="G2079" s="203">
        <v>44636</v>
      </c>
      <c r="M2079" s="199"/>
      <c r="N2079" s="199"/>
      <c r="O2079" s="199"/>
      <c r="P2079" s="199"/>
      <c r="Q2079" s="199"/>
      <c r="R2079" s="199"/>
    </row>
    <row r="2080" spans="2:18">
      <c r="B2080" s="248" t="s">
        <v>3136</v>
      </c>
      <c r="C2080" s="249" t="s">
        <v>669</v>
      </c>
      <c r="D2080" s="249" t="s">
        <v>1546</v>
      </c>
      <c r="E2080" s="201">
        <v>0.75</v>
      </c>
      <c r="F2080" s="201">
        <f>+E2080/3</f>
        <v>0.25</v>
      </c>
      <c r="G2080" s="203">
        <v>44043</v>
      </c>
      <c r="M2080" s="199"/>
      <c r="N2080" s="199"/>
      <c r="O2080" s="199"/>
      <c r="P2080" s="199"/>
      <c r="Q2080" s="199"/>
      <c r="R2080" s="199"/>
    </row>
    <row r="2081" spans="2:18">
      <c r="B2081" s="248" t="s">
        <v>3137</v>
      </c>
      <c r="C2081" s="249" t="s">
        <v>669</v>
      </c>
      <c r="D2081" s="249" t="s">
        <v>1546</v>
      </c>
      <c r="E2081" s="201">
        <v>0.75</v>
      </c>
      <c r="F2081" s="201">
        <f>+E2081/3</f>
        <v>0.25</v>
      </c>
      <c r="G2081" s="203">
        <v>44043</v>
      </c>
      <c r="M2081" s="199"/>
      <c r="N2081" s="199"/>
      <c r="O2081" s="199"/>
      <c r="P2081" s="199"/>
      <c r="Q2081" s="199"/>
      <c r="R2081" s="199"/>
    </row>
    <row r="2082" spans="2:18">
      <c r="B2082" s="248" t="s">
        <v>3147</v>
      </c>
      <c r="C2082" s="249" t="s">
        <v>549</v>
      </c>
      <c r="D2082" s="249" t="s">
        <v>1548</v>
      </c>
      <c r="E2082" s="201">
        <v>3</v>
      </c>
      <c r="F2082" s="201">
        <v>0.75</v>
      </c>
      <c r="G2082" s="203">
        <v>44327</v>
      </c>
      <c r="M2082" s="199"/>
      <c r="N2082" s="199"/>
      <c r="O2082" s="199"/>
      <c r="P2082" s="199"/>
      <c r="Q2082" s="199"/>
      <c r="R2082" s="199"/>
    </row>
    <row r="2083" spans="2:18">
      <c r="B2083" s="248" t="s">
        <v>3148</v>
      </c>
      <c r="C2083" s="249" t="s">
        <v>549</v>
      </c>
      <c r="D2083" s="249" t="s">
        <v>1548</v>
      </c>
      <c r="E2083" s="201">
        <v>3</v>
      </c>
      <c r="F2083" s="201">
        <v>0.75</v>
      </c>
      <c r="G2083" s="203">
        <v>44327</v>
      </c>
      <c r="M2083" s="199"/>
      <c r="N2083" s="199"/>
      <c r="O2083" s="199"/>
      <c r="P2083" s="199"/>
      <c r="Q2083" s="199"/>
      <c r="R2083" s="199"/>
    </row>
    <row r="2084" spans="2:18">
      <c r="B2084" s="248" t="s">
        <v>3149</v>
      </c>
      <c r="C2084" s="249" t="s">
        <v>549</v>
      </c>
      <c r="D2084" s="249" t="s">
        <v>1548</v>
      </c>
      <c r="E2084" s="201">
        <v>3</v>
      </c>
      <c r="F2084" s="201">
        <f>1.5/4</f>
        <v>0.375</v>
      </c>
      <c r="G2084" s="203">
        <v>44327</v>
      </c>
      <c r="M2084" s="199"/>
      <c r="N2084" s="199"/>
      <c r="O2084" s="199"/>
      <c r="P2084" s="199"/>
      <c r="Q2084" s="199"/>
      <c r="R2084" s="199"/>
    </row>
    <row r="2085" spans="2:18">
      <c r="B2085" s="248" t="s">
        <v>3150</v>
      </c>
      <c r="C2085" s="249" t="s">
        <v>549</v>
      </c>
      <c r="D2085" s="249" t="s">
        <v>1548</v>
      </c>
      <c r="E2085" s="201">
        <v>3</v>
      </c>
      <c r="F2085" s="201">
        <f>1.5/4</f>
        <v>0.375</v>
      </c>
      <c r="G2085" s="203">
        <v>44327</v>
      </c>
      <c r="M2085" s="199"/>
      <c r="N2085" s="199"/>
      <c r="O2085" s="199"/>
      <c r="P2085" s="199"/>
      <c r="Q2085" s="199"/>
      <c r="R2085" s="199"/>
    </row>
    <row r="2086" spans="2:18">
      <c r="B2086" s="248"/>
      <c r="C2086" s="249"/>
      <c r="D2086" s="249"/>
      <c r="G2086" s="203"/>
      <c r="M2086" s="199"/>
      <c r="N2086" s="199"/>
      <c r="O2086" s="199"/>
      <c r="P2086" s="199"/>
      <c r="Q2086" s="199"/>
      <c r="R2086" s="199"/>
    </row>
    <row r="2087" spans="2:18">
      <c r="B2087" s="248" t="s">
        <v>3162</v>
      </c>
      <c r="C2087" s="249" t="s">
        <v>549</v>
      </c>
      <c r="D2087" s="249" t="s">
        <v>1550</v>
      </c>
      <c r="E2087" s="201">
        <v>5.0999999999999996</v>
      </c>
      <c r="F2087" s="201">
        <f>E2087/5</f>
        <v>1.02</v>
      </c>
      <c r="G2087" s="203">
        <v>43990</v>
      </c>
      <c r="M2087" s="199"/>
      <c r="N2087" s="199"/>
      <c r="O2087" s="199"/>
      <c r="P2087" s="199"/>
      <c r="Q2087" s="199"/>
      <c r="R2087" s="199"/>
    </row>
    <row r="2088" spans="2:18">
      <c r="B2088" s="248"/>
      <c r="C2088" s="273" t="s">
        <v>565</v>
      </c>
      <c r="D2088" s="273" t="s">
        <v>1825</v>
      </c>
      <c r="E2088" s="201">
        <v>500</v>
      </c>
      <c r="F2088" s="201">
        <v>100</v>
      </c>
      <c r="G2088" s="203">
        <v>44274</v>
      </c>
      <c r="M2088" s="199"/>
      <c r="N2088" s="199"/>
      <c r="O2088" s="199"/>
      <c r="P2088" s="199"/>
      <c r="Q2088" s="199"/>
      <c r="R2088" s="199"/>
    </row>
    <row r="2089" spans="2:18">
      <c r="B2089" s="248"/>
      <c r="C2089" s="273" t="s">
        <v>402</v>
      </c>
      <c r="D2089" s="273" t="s">
        <v>1828</v>
      </c>
      <c r="E2089" s="201">
        <v>462</v>
      </c>
      <c r="F2089" s="201">
        <v>300</v>
      </c>
      <c r="G2089" s="203">
        <v>43886</v>
      </c>
      <c r="I2089" s="199">
        <v>2500</v>
      </c>
      <c r="M2089" s="199"/>
      <c r="N2089" s="199"/>
      <c r="O2089" s="199"/>
      <c r="P2089" s="199"/>
      <c r="Q2089" s="199"/>
      <c r="R2089" s="199"/>
    </row>
    <row r="2090" spans="2:18">
      <c r="B2090" s="248"/>
      <c r="C2090" s="273" t="s">
        <v>402</v>
      </c>
      <c r="D2090" s="249"/>
      <c r="G2090" s="203"/>
      <c r="M2090" s="199"/>
      <c r="N2090" s="199"/>
      <c r="O2090" s="199"/>
      <c r="P2090" s="199"/>
      <c r="Q2090" s="199"/>
      <c r="R2090" s="199"/>
    </row>
    <row r="2091" spans="2:18">
      <c r="B2091" s="248" t="s">
        <v>3163</v>
      </c>
      <c r="C2091" s="249" t="s">
        <v>549</v>
      </c>
      <c r="D2091" s="249" t="s">
        <v>1550</v>
      </c>
      <c r="E2091" s="201">
        <v>5.0999999999999996</v>
      </c>
      <c r="F2091" s="201">
        <f>E2091/5</f>
        <v>1.02</v>
      </c>
      <c r="G2091" s="203">
        <v>43990</v>
      </c>
      <c r="M2091" s="199"/>
      <c r="N2091" s="199"/>
      <c r="O2091" s="199"/>
      <c r="P2091" s="199"/>
      <c r="Q2091" s="199"/>
      <c r="R2091" s="199"/>
    </row>
    <row r="2092" spans="2:18">
      <c r="B2092" s="248" t="s">
        <v>3164</v>
      </c>
      <c r="C2092" s="249" t="s">
        <v>549</v>
      </c>
      <c r="D2092" s="249" t="s">
        <v>1550</v>
      </c>
      <c r="E2092" s="201">
        <v>5.0999999999999996</v>
      </c>
      <c r="F2092" s="201">
        <f>E2092/5</f>
        <v>1.02</v>
      </c>
      <c r="G2092" s="203">
        <v>43990</v>
      </c>
      <c r="M2092" s="199"/>
      <c r="N2092" s="199"/>
      <c r="O2092" s="199"/>
      <c r="P2092" s="199"/>
      <c r="Q2092" s="199"/>
      <c r="R2092" s="199"/>
    </row>
    <row r="2093" spans="2:18">
      <c r="B2093" s="248" t="s">
        <v>3170</v>
      </c>
      <c r="C2093" s="249" t="s">
        <v>549</v>
      </c>
      <c r="D2093" s="249" t="s">
        <v>1551</v>
      </c>
      <c r="E2093" s="201">
        <v>5</v>
      </c>
      <c r="F2093" s="201">
        <v>3</v>
      </c>
      <c r="G2093" s="203">
        <v>43224</v>
      </c>
      <c r="L2093" s="248">
        <v>0</v>
      </c>
      <c r="M2093" s="199"/>
      <c r="N2093" s="199"/>
      <c r="O2093" s="199"/>
      <c r="P2093" s="199"/>
      <c r="Q2093" s="199"/>
      <c r="R2093" s="199"/>
    </row>
    <row r="2094" spans="2:18">
      <c r="B2094" s="248" t="s">
        <v>3171</v>
      </c>
      <c r="C2094" s="249" t="s">
        <v>549</v>
      </c>
      <c r="D2094" s="249" t="s">
        <v>1551</v>
      </c>
      <c r="E2094" s="201">
        <v>5</v>
      </c>
      <c r="F2094" s="201">
        <v>1</v>
      </c>
      <c r="G2094" s="203">
        <v>43224</v>
      </c>
      <c r="L2094" s="248">
        <v>0</v>
      </c>
      <c r="M2094" s="199"/>
      <c r="N2094" s="199"/>
      <c r="O2094" s="199"/>
      <c r="P2094" s="199"/>
      <c r="Q2094" s="199"/>
      <c r="R2094" s="199"/>
    </row>
    <row r="2095" spans="2:18">
      <c r="B2095" s="248"/>
      <c r="C2095" s="249"/>
      <c r="D2095" s="249"/>
      <c r="G2095" s="203"/>
      <c r="L2095" s="248"/>
      <c r="M2095" s="199"/>
      <c r="N2095" s="199"/>
      <c r="O2095" s="199"/>
      <c r="P2095" s="199"/>
      <c r="Q2095" s="199"/>
      <c r="R2095" s="199"/>
    </row>
    <row r="2096" spans="2:18">
      <c r="B2096" s="248" t="s">
        <v>3187</v>
      </c>
      <c r="C2096" s="249" t="s">
        <v>549</v>
      </c>
      <c r="D2096" s="249" t="s">
        <v>1603</v>
      </c>
      <c r="E2096" s="201">
        <v>3.2</v>
      </c>
      <c r="F2096" s="201">
        <v>3.2</v>
      </c>
      <c r="G2096" s="203">
        <v>43031</v>
      </c>
      <c r="L2096" s="199">
        <f>+F2096*20</f>
        <v>64</v>
      </c>
      <c r="M2096" s="199"/>
      <c r="N2096" s="199"/>
      <c r="O2096" s="199"/>
      <c r="P2096" s="199"/>
      <c r="Q2096" s="199"/>
      <c r="R2096" s="199"/>
    </row>
    <row r="2097" spans="2:18">
      <c r="B2097" s="248"/>
      <c r="C2097" s="249" t="s">
        <v>549</v>
      </c>
      <c r="D2097" s="273" t="s">
        <v>1803</v>
      </c>
      <c r="E2097" s="201">
        <v>3.5</v>
      </c>
      <c r="F2097" s="201">
        <f>+E2097/9</f>
        <v>0.3888888888888889</v>
      </c>
      <c r="G2097" s="203">
        <v>42979</v>
      </c>
      <c r="M2097" s="199"/>
      <c r="N2097" s="199"/>
      <c r="O2097" s="199"/>
      <c r="P2097" s="199"/>
      <c r="Q2097" s="199"/>
      <c r="R2097" s="199"/>
    </row>
    <row r="2098" spans="2:18">
      <c r="B2098" s="248"/>
      <c r="C2098" s="249"/>
      <c r="D2098" s="249"/>
      <c r="G2098" s="203"/>
      <c r="M2098" s="199"/>
      <c r="N2098" s="199"/>
      <c r="O2098" s="199"/>
      <c r="P2098" s="199"/>
      <c r="Q2098" s="199"/>
      <c r="R2098" s="199"/>
    </row>
    <row r="2099" spans="2:18">
      <c r="B2099" s="248" t="s">
        <v>3190</v>
      </c>
      <c r="C2099" s="249" t="s">
        <v>544</v>
      </c>
      <c r="D2099" s="249" t="s">
        <v>1603</v>
      </c>
      <c r="E2099" s="201">
        <v>16</v>
      </c>
      <c r="F2099" s="201">
        <v>2</v>
      </c>
      <c r="G2099" s="203">
        <v>43783</v>
      </c>
      <c r="L2099" s="199">
        <f t="shared" ref="L2099:L2105" si="20">+F2099*5</f>
        <v>10</v>
      </c>
      <c r="M2099" s="199"/>
      <c r="N2099" s="199"/>
      <c r="O2099" s="199"/>
      <c r="P2099" s="199"/>
      <c r="Q2099" s="199"/>
      <c r="R2099" s="199"/>
    </row>
    <row r="2100" spans="2:18">
      <c r="B2100" s="248"/>
      <c r="C2100" s="249" t="s">
        <v>402</v>
      </c>
      <c r="D2100" s="249" t="s">
        <v>1603</v>
      </c>
      <c r="E2100" s="201">
        <v>55</v>
      </c>
      <c r="F2100" s="201">
        <v>5</v>
      </c>
      <c r="G2100" s="203">
        <v>44200</v>
      </c>
      <c r="M2100" s="199"/>
      <c r="N2100" s="199"/>
      <c r="O2100" s="199"/>
      <c r="P2100" s="199"/>
      <c r="Q2100" s="199"/>
      <c r="R2100" s="199"/>
    </row>
    <row r="2101" spans="2:18">
      <c r="B2101" s="248"/>
      <c r="C2101" s="249" t="s">
        <v>565</v>
      </c>
      <c r="D2101" s="249" t="s">
        <v>1603</v>
      </c>
      <c r="E2101" s="201">
        <v>91</v>
      </c>
      <c r="F2101" s="201">
        <f t="shared" ref="F2101" si="21">70/8</f>
        <v>8.75</v>
      </c>
      <c r="G2101" s="203">
        <v>44867</v>
      </c>
      <c r="M2101" s="199"/>
      <c r="N2101" s="199"/>
      <c r="O2101" s="199"/>
      <c r="P2101" s="199"/>
      <c r="Q2101" s="199"/>
      <c r="R2101" s="199"/>
    </row>
    <row r="2102" spans="2:18">
      <c r="B2102" s="248" t="s">
        <v>3191</v>
      </c>
      <c r="C2102" s="249" t="s">
        <v>544</v>
      </c>
      <c r="D2102" s="249" t="s">
        <v>1603</v>
      </c>
      <c r="E2102" s="201">
        <v>16</v>
      </c>
      <c r="F2102" s="201">
        <v>2</v>
      </c>
      <c r="G2102" s="203">
        <v>43783</v>
      </c>
      <c r="L2102" s="199">
        <f t="shared" si="20"/>
        <v>10</v>
      </c>
      <c r="M2102" s="199"/>
      <c r="N2102" s="199"/>
      <c r="O2102" s="199"/>
      <c r="P2102" s="199"/>
      <c r="Q2102" s="199"/>
      <c r="R2102" s="199"/>
    </row>
    <row r="2103" spans="2:18">
      <c r="B2103" s="248" t="s">
        <v>3189</v>
      </c>
      <c r="C2103" s="249" t="s">
        <v>544</v>
      </c>
      <c r="D2103" s="249" t="s">
        <v>1603</v>
      </c>
      <c r="E2103" s="201">
        <v>16</v>
      </c>
      <c r="F2103" s="201">
        <v>2</v>
      </c>
      <c r="G2103" s="203">
        <v>43783</v>
      </c>
      <c r="L2103" s="199">
        <f t="shared" si="20"/>
        <v>10</v>
      </c>
      <c r="M2103" s="199"/>
      <c r="N2103" s="199"/>
      <c r="O2103" s="199"/>
      <c r="P2103" s="199"/>
      <c r="Q2103" s="199"/>
      <c r="R2103" s="199"/>
    </row>
    <row r="2104" spans="2:18">
      <c r="B2104" s="248"/>
      <c r="C2104" s="249" t="s">
        <v>402</v>
      </c>
      <c r="D2104" s="249" t="s">
        <v>1603</v>
      </c>
      <c r="E2104" s="201">
        <v>55</v>
      </c>
      <c r="F2104" s="201">
        <v>5</v>
      </c>
      <c r="G2104" s="203">
        <v>44200</v>
      </c>
      <c r="M2104" s="199"/>
      <c r="N2104" s="199"/>
      <c r="O2104" s="199"/>
      <c r="P2104" s="199"/>
      <c r="Q2104" s="199"/>
      <c r="R2104" s="199"/>
    </row>
    <row r="2105" spans="2:18">
      <c r="B2105" s="248" t="s">
        <v>3192</v>
      </c>
      <c r="C2105" s="249" t="s">
        <v>544</v>
      </c>
      <c r="D2105" s="249" t="s">
        <v>1603</v>
      </c>
      <c r="E2105" s="201">
        <v>16</v>
      </c>
      <c r="F2105" s="201">
        <v>2</v>
      </c>
      <c r="G2105" s="203">
        <v>43783</v>
      </c>
      <c r="L2105" s="199">
        <f t="shared" si="20"/>
        <v>10</v>
      </c>
      <c r="M2105" s="199"/>
      <c r="N2105" s="199"/>
      <c r="O2105" s="199"/>
      <c r="P2105" s="199"/>
      <c r="Q2105" s="199"/>
      <c r="R2105" s="199"/>
    </row>
    <row r="2106" spans="2:18">
      <c r="B2106" s="248"/>
      <c r="C2106" s="249" t="s">
        <v>402</v>
      </c>
      <c r="D2106" s="249" t="s">
        <v>1603</v>
      </c>
      <c r="E2106" s="201">
        <v>55</v>
      </c>
      <c r="F2106" s="201">
        <v>5</v>
      </c>
      <c r="G2106" s="203">
        <v>44200</v>
      </c>
      <c r="M2106" s="199"/>
      <c r="N2106" s="199"/>
      <c r="O2106" s="199"/>
      <c r="P2106" s="199"/>
      <c r="Q2106" s="199"/>
      <c r="R2106" s="199"/>
    </row>
    <row r="2107" spans="2:18">
      <c r="B2107" s="248" t="s">
        <v>3193</v>
      </c>
      <c r="C2107" s="249" t="s">
        <v>544</v>
      </c>
      <c r="D2107" s="249" t="s">
        <v>1603</v>
      </c>
      <c r="E2107" s="201">
        <v>16</v>
      </c>
      <c r="F2107" s="201">
        <v>2</v>
      </c>
      <c r="G2107" s="203">
        <v>43783</v>
      </c>
      <c r="L2107" s="199">
        <f>+F2107*5</f>
        <v>10</v>
      </c>
      <c r="M2107" s="199"/>
      <c r="N2107" s="199"/>
      <c r="O2107" s="199"/>
      <c r="P2107" s="199"/>
      <c r="Q2107" s="199"/>
      <c r="R2107" s="199"/>
    </row>
    <row r="2108" spans="2:18">
      <c r="B2108" s="248" t="s">
        <v>3194</v>
      </c>
      <c r="C2108" s="249" t="s">
        <v>402</v>
      </c>
      <c r="D2108" s="249" t="s">
        <v>1603</v>
      </c>
      <c r="E2108" s="201">
        <v>55</v>
      </c>
      <c r="F2108" s="201">
        <v>25</v>
      </c>
      <c r="G2108" s="203">
        <v>44200</v>
      </c>
      <c r="L2108" s="199">
        <f>+F2108*5</f>
        <v>125</v>
      </c>
      <c r="M2108" s="199"/>
      <c r="N2108" s="199"/>
      <c r="O2108" s="199"/>
      <c r="P2108" s="199"/>
      <c r="Q2108" s="199"/>
      <c r="R2108" s="199"/>
    </row>
    <row r="2109" spans="2:18">
      <c r="C2109" s="249" t="s">
        <v>565</v>
      </c>
      <c r="D2109" s="249" t="s">
        <v>1603</v>
      </c>
      <c r="E2109" s="201">
        <v>91</v>
      </c>
      <c r="F2109" s="201">
        <f>70/8</f>
        <v>8.75</v>
      </c>
      <c r="G2109" s="203">
        <v>44867</v>
      </c>
      <c r="M2109" s="199"/>
      <c r="N2109" s="199"/>
      <c r="O2109" s="199"/>
      <c r="P2109" s="199"/>
      <c r="Q2109" s="199"/>
      <c r="R2109" s="199"/>
    </row>
    <row r="2110" spans="2:18">
      <c r="B2110" s="248" t="s">
        <v>3195</v>
      </c>
      <c r="C2110" s="249" t="s">
        <v>565</v>
      </c>
      <c r="D2110" s="249" t="s">
        <v>1603</v>
      </c>
      <c r="E2110" s="201">
        <v>91</v>
      </c>
      <c r="F2110" s="201">
        <f t="shared" ref="F2110:F2112" si="22">70/8</f>
        <v>8.75</v>
      </c>
      <c r="G2110" s="203">
        <v>44867</v>
      </c>
      <c r="M2110" s="199"/>
      <c r="N2110" s="199"/>
      <c r="O2110" s="199"/>
      <c r="P2110" s="199"/>
      <c r="Q2110" s="199"/>
      <c r="R2110" s="199"/>
    </row>
    <row r="2111" spans="2:18">
      <c r="B2111" s="248" t="s">
        <v>3196</v>
      </c>
      <c r="C2111" s="249" t="s">
        <v>565</v>
      </c>
      <c r="D2111" s="249" t="s">
        <v>1603</v>
      </c>
      <c r="E2111" s="201">
        <v>91</v>
      </c>
      <c r="F2111" s="201">
        <f t="shared" si="22"/>
        <v>8.75</v>
      </c>
      <c r="G2111" s="203">
        <v>44867</v>
      </c>
      <c r="M2111" s="199"/>
      <c r="N2111" s="199"/>
      <c r="O2111" s="199"/>
      <c r="P2111" s="199"/>
      <c r="Q2111" s="199"/>
      <c r="R2111" s="199"/>
    </row>
    <row r="2112" spans="2:18">
      <c r="B2112" s="248" t="s">
        <v>3197</v>
      </c>
      <c r="C2112" s="249" t="s">
        <v>565</v>
      </c>
      <c r="D2112" s="249" t="s">
        <v>1603</v>
      </c>
      <c r="E2112" s="201">
        <v>91</v>
      </c>
      <c r="F2112" s="201">
        <f t="shared" si="22"/>
        <v>8.75</v>
      </c>
      <c r="G2112" s="203">
        <v>44867</v>
      </c>
      <c r="M2112" s="199"/>
      <c r="N2112" s="199"/>
      <c r="O2112" s="199"/>
      <c r="P2112" s="199"/>
      <c r="Q2112" s="199"/>
      <c r="R2112" s="199"/>
    </row>
    <row r="2113" spans="2:18">
      <c r="B2113" s="248" t="s">
        <v>3204</v>
      </c>
      <c r="C2113" s="249" t="s">
        <v>544</v>
      </c>
      <c r="D2113" s="249" t="s">
        <v>1613</v>
      </c>
      <c r="E2113" s="201">
        <v>57</v>
      </c>
      <c r="F2113" s="201">
        <v>12</v>
      </c>
      <c r="G2113" s="203">
        <v>44508</v>
      </c>
      <c r="M2113" s="199"/>
      <c r="N2113" s="199"/>
      <c r="O2113" s="199"/>
      <c r="P2113" s="199"/>
      <c r="Q2113" s="199"/>
      <c r="R2113" s="199"/>
    </row>
    <row r="2114" spans="2:18">
      <c r="B2114" s="248" t="s">
        <v>3205</v>
      </c>
      <c r="C2114" s="249" t="s">
        <v>544</v>
      </c>
      <c r="D2114" s="249" t="s">
        <v>1613</v>
      </c>
      <c r="E2114" s="201">
        <v>57</v>
      </c>
      <c r="F2114" s="201">
        <v>5.625</v>
      </c>
      <c r="G2114" s="203">
        <v>44508</v>
      </c>
      <c r="M2114" s="199"/>
      <c r="N2114" s="199"/>
      <c r="O2114" s="199"/>
      <c r="P2114" s="199"/>
      <c r="Q2114" s="199"/>
      <c r="R2114" s="199"/>
    </row>
    <row r="2115" spans="2:18">
      <c r="B2115" s="248" t="s">
        <v>3207</v>
      </c>
      <c r="C2115" s="249" t="s">
        <v>544</v>
      </c>
      <c r="D2115" s="249" t="s">
        <v>1613</v>
      </c>
      <c r="E2115" s="201">
        <v>57</v>
      </c>
      <c r="F2115" s="201">
        <v>5.625</v>
      </c>
      <c r="G2115" s="203">
        <v>44508</v>
      </c>
      <c r="M2115" s="199"/>
      <c r="N2115" s="199"/>
      <c r="O2115" s="199"/>
      <c r="P2115" s="199"/>
      <c r="Q2115" s="199"/>
      <c r="R2115" s="199"/>
    </row>
    <row r="2116" spans="2:18">
      <c r="B2116" s="248" t="s">
        <v>3208</v>
      </c>
      <c r="C2116" s="249" t="s">
        <v>544</v>
      </c>
      <c r="D2116" s="249" t="s">
        <v>1613</v>
      </c>
      <c r="E2116" s="201">
        <v>57</v>
      </c>
      <c r="F2116" s="201">
        <v>5.625</v>
      </c>
      <c r="G2116" s="203">
        <v>44508</v>
      </c>
      <c r="M2116" s="199"/>
      <c r="N2116" s="199"/>
      <c r="O2116" s="199"/>
      <c r="P2116" s="199"/>
      <c r="Q2116" s="199"/>
      <c r="R2116" s="199"/>
    </row>
    <row r="2117" spans="2:18">
      <c r="B2117" s="251" t="s">
        <v>3216</v>
      </c>
      <c r="C2117" s="253" t="s">
        <v>755</v>
      </c>
      <c r="D2117" s="253" t="s">
        <v>1632</v>
      </c>
      <c r="E2117" s="201">
        <v>69</v>
      </c>
      <c r="F2117" s="201">
        <v>19</v>
      </c>
      <c r="G2117" s="203">
        <v>45091</v>
      </c>
      <c r="M2117" s="199"/>
      <c r="N2117" s="199"/>
      <c r="O2117" s="199"/>
      <c r="P2117" s="199"/>
      <c r="Q2117" s="199"/>
      <c r="R2117" s="199"/>
    </row>
    <row r="2118" spans="2:18">
      <c r="B2118" s="251" t="s">
        <v>3217</v>
      </c>
      <c r="C2118" s="253" t="s">
        <v>565</v>
      </c>
      <c r="D2118" s="253" t="s">
        <v>1632</v>
      </c>
      <c r="E2118" s="201">
        <v>110</v>
      </c>
      <c r="F2118" s="201">
        <v>14</v>
      </c>
      <c r="G2118" s="203">
        <v>44369</v>
      </c>
      <c r="M2118" s="199"/>
      <c r="N2118" s="199"/>
      <c r="O2118" s="199"/>
      <c r="P2118" s="199"/>
      <c r="Q2118" s="199"/>
      <c r="R2118" s="199"/>
    </row>
    <row r="2119" spans="2:18">
      <c r="B2119" s="251" t="s">
        <v>3231</v>
      </c>
      <c r="C2119" s="253" t="s">
        <v>544</v>
      </c>
      <c r="D2119" s="253" t="s">
        <v>1647</v>
      </c>
      <c r="E2119" s="201">
        <v>10</v>
      </c>
      <c r="F2119" s="201">
        <v>1.4</v>
      </c>
      <c r="G2119" s="203">
        <v>44637</v>
      </c>
    </row>
    <row r="2120" spans="2:18">
      <c r="B2120" s="251" t="s">
        <v>3232</v>
      </c>
      <c r="C2120" s="253" t="s">
        <v>544</v>
      </c>
      <c r="D2120" s="253" t="s">
        <v>1647</v>
      </c>
      <c r="E2120" s="201">
        <v>10</v>
      </c>
      <c r="F2120" s="201">
        <v>1.4</v>
      </c>
      <c r="G2120" s="203">
        <v>44637</v>
      </c>
    </row>
    <row r="2121" spans="2:18">
      <c r="B2121" s="251"/>
      <c r="C2121" s="253"/>
      <c r="D2121" s="253"/>
      <c r="G2121" s="203"/>
    </row>
    <row r="2122" spans="2:18">
      <c r="B2122" s="251" t="s">
        <v>3234</v>
      </c>
      <c r="C2122" s="253" t="s">
        <v>549</v>
      </c>
      <c r="D2122" s="253" t="s">
        <v>1647</v>
      </c>
      <c r="E2122" s="201">
        <v>4.5</v>
      </c>
      <c r="F2122" s="201">
        <v>0.5</v>
      </c>
      <c r="G2122" s="203">
        <v>44175</v>
      </c>
    </row>
    <row r="2123" spans="2:18">
      <c r="B2123" s="251"/>
      <c r="C2123" s="253" t="s">
        <v>565</v>
      </c>
      <c r="D2123" s="253" t="s">
        <v>3715</v>
      </c>
      <c r="E2123" s="201">
        <v>38</v>
      </c>
      <c r="F2123" s="201">
        <v>3</v>
      </c>
      <c r="G2123" s="203">
        <v>43104</v>
      </c>
    </row>
    <row r="2124" spans="2:18">
      <c r="B2124" s="251"/>
      <c r="C2124" s="253" t="s">
        <v>402</v>
      </c>
      <c r="D2124" s="253" t="s">
        <v>3715</v>
      </c>
      <c r="E2124" s="201">
        <v>6.9</v>
      </c>
      <c r="F2124" s="201">
        <f>E2124/5</f>
        <v>1.3800000000000001</v>
      </c>
      <c r="G2124" s="203">
        <v>42458</v>
      </c>
    </row>
    <row r="2125" spans="2:18">
      <c r="B2125" s="251"/>
      <c r="C2125" s="253" t="s">
        <v>544</v>
      </c>
      <c r="D2125" s="253" t="s">
        <v>3715</v>
      </c>
      <c r="E2125" s="201">
        <v>2.7</v>
      </c>
      <c r="F2125" s="201">
        <f>1.7/4</f>
        <v>0.42499999999999999</v>
      </c>
      <c r="G2125" s="203">
        <v>42139</v>
      </c>
    </row>
    <row r="2126" spans="2:18">
      <c r="B2126" s="251"/>
      <c r="C2126" s="253"/>
      <c r="D2126" s="253"/>
      <c r="G2126" s="203"/>
    </row>
    <row r="2127" spans="2:18">
      <c r="B2127" s="251" t="s">
        <v>3235</v>
      </c>
      <c r="C2127" s="253" t="s">
        <v>549</v>
      </c>
      <c r="D2127" s="253" t="s">
        <v>1647</v>
      </c>
      <c r="E2127" s="201">
        <v>1.8</v>
      </c>
      <c r="F2127" s="201">
        <f>+E2127/9</f>
        <v>0.2</v>
      </c>
      <c r="G2127" s="203">
        <v>42690</v>
      </c>
    </row>
    <row r="2128" spans="2:18">
      <c r="B2128" s="251" t="s">
        <v>3236</v>
      </c>
      <c r="C2128" s="253" t="s">
        <v>549</v>
      </c>
      <c r="D2128" s="253" t="s">
        <v>1647</v>
      </c>
      <c r="E2128" s="201">
        <v>1.8</v>
      </c>
      <c r="F2128" s="201">
        <f>+E2128/9</f>
        <v>0.2</v>
      </c>
      <c r="G2128" s="203">
        <v>42690</v>
      </c>
    </row>
    <row r="2129" spans="2:7">
      <c r="B2129" s="251" t="s">
        <v>3237</v>
      </c>
      <c r="C2129" s="253" t="s">
        <v>549</v>
      </c>
      <c r="D2129" s="253" t="s">
        <v>1647</v>
      </c>
      <c r="E2129" s="201">
        <v>1.8</v>
      </c>
      <c r="F2129" s="201">
        <f t="shared" ref="F2129:F2130" si="23">+E2129/9</f>
        <v>0.2</v>
      </c>
      <c r="G2129" s="203">
        <v>42690</v>
      </c>
    </row>
    <row r="2130" spans="2:7">
      <c r="B2130" s="251" t="s">
        <v>3238</v>
      </c>
      <c r="C2130" s="253" t="s">
        <v>549</v>
      </c>
      <c r="D2130" s="253" t="s">
        <v>1647</v>
      </c>
      <c r="E2130" s="201">
        <v>1.8</v>
      </c>
      <c r="F2130" s="201">
        <f t="shared" si="23"/>
        <v>0.2</v>
      </c>
      <c r="G2130" s="203">
        <v>42690</v>
      </c>
    </row>
    <row r="2131" spans="2:7">
      <c r="B2131" s="251" t="s">
        <v>3245</v>
      </c>
      <c r="C2131" s="253" t="s">
        <v>544</v>
      </c>
      <c r="D2131" s="253" t="s">
        <v>1655</v>
      </c>
      <c r="E2131" s="201">
        <v>15</v>
      </c>
      <c r="F2131" s="201">
        <v>2</v>
      </c>
      <c r="G2131" s="203">
        <v>44314</v>
      </c>
    </row>
    <row r="2132" spans="2:7">
      <c r="B2132" s="251" t="s">
        <v>3246</v>
      </c>
      <c r="C2132" s="253" t="s">
        <v>544</v>
      </c>
      <c r="D2132" s="253" t="s">
        <v>1655</v>
      </c>
      <c r="E2132" s="201">
        <v>15</v>
      </c>
      <c r="F2132" s="201">
        <v>2</v>
      </c>
      <c r="G2132" s="203">
        <v>44314</v>
      </c>
    </row>
    <row r="2133" spans="2:7">
      <c r="B2133" s="251" t="s">
        <v>3247</v>
      </c>
      <c r="C2133" s="253" t="s">
        <v>544</v>
      </c>
      <c r="D2133" s="253" t="s">
        <v>1655</v>
      </c>
      <c r="E2133" s="201">
        <v>15</v>
      </c>
      <c r="F2133" s="201">
        <v>2</v>
      </c>
      <c r="G2133" s="203">
        <v>44314</v>
      </c>
    </row>
    <row r="2134" spans="2:7">
      <c r="B2134" s="251" t="s">
        <v>3714</v>
      </c>
      <c r="C2134" s="253" t="s">
        <v>565</v>
      </c>
      <c r="D2134" s="253" t="s">
        <v>3715</v>
      </c>
      <c r="E2134" s="201">
        <v>38</v>
      </c>
      <c r="F2134" s="201">
        <v>6</v>
      </c>
      <c r="G2134" s="203">
        <v>43104</v>
      </c>
    </row>
    <row r="2135" spans="2:7">
      <c r="B2135" s="251" t="s">
        <v>3716</v>
      </c>
      <c r="C2135" s="253" t="s">
        <v>565</v>
      </c>
      <c r="D2135" s="253" t="s">
        <v>3715</v>
      </c>
      <c r="E2135" s="201">
        <v>38</v>
      </c>
      <c r="F2135" s="201">
        <v>6</v>
      </c>
      <c r="G2135" s="203">
        <v>43104</v>
      </c>
    </row>
    <row r="2136" spans="2:7">
      <c r="B2136" s="251" t="s">
        <v>3717</v>
      </c>
      <c r="C2136" s="253" t="s">
        <v>565</v>
      </c>
      <c r="D2136" s="253" t="s">
        <v>3715</v>
      </c>
      <c r="E2136" s="201">
        <v>38</v>
      </c>
      <c r="F2136" s="201">
        <f>20/6</f>
        <v>3.3333333333333335</v>
      </c>
      <c r="G2136" s="203">
        <v>43104</v>
      </c>
    </row>
    <row r="2137" spans="2:7">
      <c r="B2137" s="251"/>
      <c r="C2137" s="253" t="s">
        <v>402</v>
      </c>
      <c r="D2137" s="253" t="s">
        <v>3715</v>
      </c>
      <c r="E2137" s="201">
        <v>6.9</v>
      </c>
      <c r="F2137" s="201">
        <f>E2137/5</f>
        <v>1.3800000000000001</v>
      </c>
      <c r="G2137" s="203">
        <v>42458</v>
      </c>
    </row>
    <row r="2138" spans="2:7">
      <c r="B2138" s="251"/>
      <c r="C2138" s="253" t="s">
        <v>544</v>
      </c>
      <c r="D2138" s="253" t="s">
        <v>3715</v>
      </c>
      <c r="E2138" s="201">
        <v>2.7</v>
      </c>
      <c r="F2138" s="201">
        <v>1</v>
      </c>
      <c r="G2138" s="203">
        <v>42139</v>
      </c>
    </row>
    <row r="2139" spans="2:7">
      <c r="B2139" s="251"/>
      <c r="C2139" s="253"/>
      <c r="D2139" s="253"/>
      <c r="G2139" s="203"/>
    </row>
    <row r="2140" spans="2:7">
      <c r="B2140" s="251" t="s">
        <v>3718</v>
      </c>
      <c r="C2140" s="253" t="s">
        <v>565</v>
      </c>
      <c r="D2140" s="253" t="s">
        <v>3715</v>
      </c>
      <c r="E2140" s="201">
        <v>38</v>
      </c>
      <c r="F2140" s="201">
        <f>20/6</f>
        <v>3.3333333333333335</v>
      </c>
      <c r="G2140" s="203">
        <v>43104</v>
      </c>
    </row>
    <row r="2141" spans="2:7">
      <c r="B2141" s="251"/>
      <c r="C2141" s="253" t="s">
        <v>402</v>
      </c>
      <c r="D2141" s="253" t="s">
        <v>3715</v>
      </c>
      <c r="E2141" s="201">
        <v>6.9</v>
      </c>
      <c r="F2141" s="201">
        <f t="shared" ref="F2141" si="24">E2141/5</f>
        <v>1.3800000000000001</v>
      </c>
      <c r="G2141" s="203">
        <v>42458</v>
      </c>
    </row>
    <row r="2142" spans="2:7">
      <c r="B2142" s="251"/>
      <c r="C2142" s="253" t="s">
        <v>544</v>
      </c>
      <c r="D2142" s="253" t="s">
        <v>3715</v>
      </c>
      <c r="E2142" s="201">
        <v>2.7</v>
      </c>
      <c r="F2142" s="201">
        <f>1.7/4</f>
        <v>0.42499999999999999</v>
      </c>
      <c r="G2142" s="203">
        <v>42139</v>
      </c>
    </row>
    <row r="2143" spans="2:7">
      <c r="B2143" s="251"/>
      <c r="C2143" s="273" t="s">
        <v>565</v>
      </c>
      <c r="D2143" s="273" t="s">
        <v>1825</v>
      </c>
      <c r="E2143" s="201">
        <v>500</v>
      </c>
      <c r="F2143" s="201">
        <v>100</v>
      </c>
      <c r="G2143" s="203">
        <v>44274</v>
      </c>
    </row>
    <row r="2144" spans="2:7">
      <c r="B2144" s="251"/>
      <c r="C2144" s="273" t="s">
        <v>565</v>
      </c>
      <c r="D2144" s="273" t="s">
        <v>1825</v>
      </c>
      <c r="E2144" s="201">
        <v>500</v>
      </c>
      <c r="F2144" s="201">
        <f>200/9</f>
        <v>22.222222222222221</v>
      </c>
      <c r="G2144" s="203">
        <v>44274</v>
      </c>
    </row>
    <row r="2145" spans="2:7">
      <c r="B2145" s="251"/>
      <c r="C2145" s="253"/>
      <c r="D2145" s="253"/>
      <c r="G2145" s="203"/>
    </row>
    <row r="2146" spans="2:7">
      <c r="B2146" s="251" t="s">
        <v>3720</v>
      </c>
      <c r="C2146" s="253" t="s">
        <v>402</v>
      </c>
      <c r="D2146" s="253" t="s">
        <v>3715</v>
      </c>
      <c r="E2146" s="201">
        <v>6.9</v>
      </c>
      <c r="F2146" s="201">
        <f>E2146/5</f>
        <v>1.3800000000000001</v>
      </c>
      <c r="G2146" s="203">
        <v>42458</v>
      </c>
    </row>
    <row r="2147" spans="2:7">
      <c r="C2147" s="253" t="s">
        <v>544</v>
      </c>
      <c r="D2147" s="253" t="s">
        <v>3715</v>
      </c>
      <c r="E2147" s="201">
        <v>2.7</v>
      </c>
      <c r="F2147" s="201">
        <f>1.7/4</f>
        <v>0.42499999999999999</v>
      </c>
      <c r="G2147" s="203">
        <v>42139</v>
      </c>
    </row>
    <row r="2148" spans="2:7">
      <c r="B2148" s="251" t="s">
        <v>3726</v>
      </c>
      <c r="C2148" s="253" t="s">
        <v>544</v>
      </c>
      <c r="D2148" s="253" t="s">
        <v>1663</v>
      </c>
      <c r="E2148" s="201">
        <v>30</v>
      </c>
      <c r="F2148" s="201">
        <f>20/5</f>
        <v>4</v>
      </c>
      <c r="G2148" s="203">
        <v>44474</v>
      </c>
    </row>
    <row r="2149" spans="2:7">
      <c r="B2149" s="251" t="s">
        <v>3727</v>
      </c>
      <c r="C2149" s="253" t="s">
        <v>544</v>
      </c>
      <c r="D2149" s="253" t="s">
        <v>1663</v>
      </c>
      <c r="E2149" s="201">
        <v>30</v>
      </c>
      <c r="F2149" s="201">
        <f>20/5</f>
        <v>4</v>
      </c>
      <c r="G2149" s="203">
        <v>44474</v>
      </c>
    </row>
    <row r="2150" spans="2:7">
      <c r="C2150" s="253" t="s">
        <v>549</v>
      </c>
      <c r="D2150" s="253" t="s">
        <v>1663</v>
      </c>
      <c r="E2150" s="201">
        <v>15</v>
      </c>
      <c r="F2150" s="201">
        <f>10/4</f>
        <v>2.5</v>
      </c>
      <c r="G2150" s="203">
        <v>43775</v>
      </c>
    </row>
    <row r="2151" spans="2:7">
      <c r="B2151" s="251" t="s">
        <v>3753</v>
      </c>
      <c r="C2151" s="253" t="s">
        <v>402</v>
      </c>
      <c r="D2151" s="253" t="s">
        <v>1696</v>
      </c>
      <c r="E2151" s="201">
        <v>35</v>
      </c>
      <c r="F2151" s="201">
        <f>15/3</f>
        <v>5</v>
      </c>
      <c r="G2151" s="203">
        <v>44309</v>
      </c>
    </row>
    <row r="2152" spans="2:7">
      <c r="B2152" s="251" t="s">
        <v>3754</v>
      </c>
      <c r="C2152" s="253" t="s">
        <v>402</v>
      </c>
      <c r="D2152" s="253" t="s">
        <v>1696</v>
      </c>
      <c r="E2152" s="201">
        <v>35</v>
      </c>
      <c r="F2152" s="201">
        <f>15/3</f>
        <v>5</v>
      </c>
      <c r="G2152" s="203">
        <v>44309</v>
      </c>
    </row>
    <row r="2153" spans="2:7">
      <c r="B2153" s="268" t="s">
        <v>3788</v>
      </c>
      <c r="C2153" s="273" t="s">
        <v>549</v>
      </c>
      <c r="D2153" s="273" t="s">
        <v>1733</v>
      </c>
      <c r="E2153" s="201">
        <v>2.1</v>
      </c>
      <c r="F2153" s="201">
        <v>1.1000000000000001</v>
      </c>
      <c r="G2153" s="203">
        <v>44565</v>
      </c>
    </row>
    <row r="2154" spans="2:7">
      <c r="B2154" s="268" t="s">
        <v>3789</v>
      </c>
      <c r="C2154" s="273" t="s">
        <v>549</v>
      </c>
      <c r="D2154" s="273" t="s">
        <v>1733</v>
      </c>
      <c r="E2154" s="201">
        <v>2.1</v>
      </c>
      <c r="F2154" s="201">
        <v>1</v>
      </c>
      <c r="G2154" s="203">
        <v>44565</v>
      </c>
    </row>
    <row r="2155" spans="2:7">
      <c r="B2155" s="268" t="s">
        <v>3802</v>
      </c>
      <c r="C2155" s="273" t="s">
        <v>544</v>
      </c>
      <c r="D2155" s="273" t="s">
        <v>1760</v>
      </c>
      <c r="E2155" s="201">
        <v>32</v>
      </c>
      <c r="F2155" s="201">
        <v>5</v>
      </c>
      <c r="G2155" s="203">
        <v>44851</v>
      </c>
    </row>
    <row r="2156" spans="2:7">
      <c r="B2156" s="268" t="s">
        <v>3815</v>
      </c>
      <c r="C2156" s="273" t="s">
        <v>549</v>
      </c>
      <c r="D2156" s="273" t="s">
        <v>1790</v>
      </c>
      <c r="E2156" s="201">
        <v>0.125</v>
      </c>
      <c r="F2156" s="201">
        <v>5.0000000000000001E-3</v>
      </c>
      <c r="G2156" s="203">
        <v>44265</v>
      </c>
    </row>
    <row r="2157" spans="2:7">
      <c r="B2157" s="268" t="s">
        <v>3816</v>
      </c>
      <c r="C2157" s="273" t="s">
        <v>669</v>
      </c>
      <c r="D2157" s="273" t="s">
        <v>1790</v>
      </c>
      <c r="E2157" s="201">
        <v>0.2</v>
      </c>
      <c r="F2157" s="201">
        <v>0.1</v>
      </c>
      <c r="G2157" s="203">
        <v>44054</v>
      </c>
    </row>
    <row r="2158" spans="2:7">
      <c r="B2158" s="268" t="s">
        <v>3821</v>
      </c>
      <c r="C2158" s="273" t="s">
        <v>755</v>
      </c>
      <c r="D2158" s="273" t="s">
        <v>1803</v>
      </c>
      <c r="E2158" s="201">
        <v>111</v>
      </c>
      <c r="F2158" s="201">
        <f>97/14</f>
        <v>6.9285714285714288</v>
      </c>
      <c r="G2158" s="203">
        <v>44622</v>
      </c>
    </row>
    <row r="2159" spans="2:7">
      <c r="B2159" s="268"/>
      <c r="C2159" s="273" t="s">
        <v>402</v>
      </c>
      <c r="D2159" s="273" t="s">
        <v>1803</v>
      </c>
      <c r="E2159" s="201">
        <v>16</v>
      </c>
      <c r="F2159" s="201">
        <v>2</v>
      </c>
      <c r="G2159" s="203">
        <v>44009</v>
      </c>
    </row>
    <row r="2160" spans="2:7">
      <c r="B2160" s="268" t="s">
        <v>3822</v>
      </c>
      <c r="C2160" s="273" t="s">
        <v>755</v>
      </c>
      <c r="D2160" s="273" t="s">
        <v>1803</v>
      </c>
      <c r="E2160" s="201">
        <v>111</v>
      </c>
      <c r="F2160" s="201">
        <f>97/14</f>
        <v>6.9285714285714288</v>
      </c>
      <c r="G2160" s="203">
        <v>44622</v>
      </c>
    </row>
    <row r="2161" spans="2:7">
      <c r="B2161" s="268" t="s">
        <v>3823</v>
      </c>
      <c r="C2161" s="273" t="s">
        <v>755</v>
      </c>
      <c r="D2161" s="273" t="s">
        <v>1803</v>
      </c>
      <c r="E2161" s="201">
        <v>111</v>
      </c>
      <c r="F2161" s="201">
        <f>97/14</f>
        <v>6.9285714285714288</v>
      </c>
      <c r="G2161" s="203">
        <v>44622</v>
      </c>
    </row>
    <row r="2162" spans="2:7">
      <c r="B2162" s="268"/>
      <c r="C2162" s="273" t="s">
        <v>402</v>
      </c>
      <c r="D2162" s="273" t="s">
        <v>1803</v>
      </c>
      <c r="E2162" s="201">
        <v>16</v>
      </c>
      <c r="F2162" s="201">
        <v>2</v>
      </c>
      <c r="G2162" s="203">
        <v>44009</v>
      </c>
    </row>
    <row r="2163" spans="2:7">
      <c r="B2163" s="268" t="s">
        <v>3824</v>
      </c>
      <c r="C2163" s="273" t="s">
        <v>755</v>
      </c>
      <c r="D2163" s="273" t="s">
        <v>1803</v>
      </c>
      <c r="E2163" s="201">
        <v>111</v>
      </c>
      <c r="F2163" s="201">
        <f>97/14</f>
        <v>6.9285714285714288</v>
      </c>
      <c r="G2163" s="203">
        <v>44622</v>
      </c>
    </row>
    <row r="2164" spans="2:7">
      <c r="B2164" s="268"/>
      <c r="C2164" s="273" t="s">
        <v>565</v>
      </c>
      <c r="D2164" s="273" t="s">
        <v>1803</v>
      </c>
      <c r="E2164" s="201">
        <v>55</v>
      </c>
      <c r="F2164" s="201">
        <v>5.625</v>
      </c>
      <c r="G2164" s="203">
        <v>44314</v>
      </c>
    </row>
    <row r="2165" spans="2:7">
      <c r="B2165" s="268"/>
      <c r="C2165" s="273" t="s">
        <v>402</v>
      </c>
      <c r="D2165" s="273" t="s">
        <v>1803</v>
      </c>
      <c r="E2165" s="201">
        <v>16</v>
      </c>
      <c r="F2165" s="201">
        <v>2</v>
      </c>
      <c r="G2165" s="203">
        <v>44009</v>
      </c>
    </row>
    <row r="2166" spans="2:7">
      <c r="B2166" s="268"/>
      <c r="C2166" s="273" t="s">
        <v>544</v>
      </c>
      <c r="D2166" s="273" t="s">
        <v>1803</v>
      </c>
      <c r="E2166" s="201">
        <v>14</v>
      </c>
      <c r="F2166" s="201">
        <v>1.6666666666666667</v>
      </c>
      <c r="G2166" s="203">
        <v>43690</v>
      </c>
    </row>
    <row r="2167" spans="2:7">
      <c r="B2167" s="268" t="s">
        <v>3825</v>
      </c>
      <c r="C2167" s="273" t="s">
        <v>755</v>
      </c>
      <c r="D2167" s="273" t="s">
        <v>1803</v>
      </c>
      <c r="E2167" s="201">
        <v>111</v>
      </c>
      <c r="F2167" s="201">
        <f>97/14</f>
        <v>6.9285714285714288</v>
      </c>
      <c r="G2167" s="203">
        <v>44622</v>
      </c>
    </row>
    <row r="2168" spans="2:7">
      <c r="B2168" s="268"/>
      <c r="C2168" s="273" t="s">
        <v>565</v>
      </c>
      <c r="D2168" s="273" t="s">
        <v>1803</v>
      </c>
      <c r="E2168" s="201">
        <v>55</v>
      </c>
      <c r="F2168" s="201">
        <v>5.625</v>
      </c>
      <c r="G2168" s="203">
        <v>44314</v>
      </c>
    </row>
    <row r="2169" spans="2:7">
      <c r="B2169" s="268"/>
      <c r="C2169" s="273" t="s">
        <v>402</v>
      </c>
      <c r="D2169" s="273" t="s">
        <v>1803</v>
      </c>
      <c r="E2169" s="201">
        <v>16</v>
      </c>
      <c r="F2169" s="201">
        <v>2</v>
      </c>
      <c r="G2169" s="203">
        <v>44009</v>
      </c>
    </row>
    <row r="2170" spans="2:7">
      <c r="B2170" s="268"/>
      <c r="C2170" s="273" t="s">
        <v>544</v>
      </c>
      <c r="D2170" s="273" t="s">
        <v>1803</v>
      </c>
      <c r="E2170" s="201">
        <v>14</v>
      </c>
      <c r="F2170" s="201">
        <v>1.6666666666666667</v>
      </c>
      <c r="G2170" s="203">
        <v>43690</v>
      </c>
    </row>
    <row r="2171" spans="2:7">
      <c r="B2171" s="268" t="s">
        <v>3826</v>
      </c>
      <c r="C2171" s="273" t="s">
        <v>755</v>
      </c>
      <c r="D2171" s="273" t="s">
        <v>1803</v>
      </c>
      <c r="E2171" s="201">
        <v>111</v>
      </c>
      <c r="F2171" s="201">
        <f>97/14</f>
        <v>6.9285714285714288</v>
      </c>
      <c r="G2171" s="203">
        <v>44622</v>
      </c>
    </row>
    <row r="2172" spans="2:7">
      <c r="B2172" s="268" t="s">
        <v>3832</v>
      </c>
      <c r="C2172" s="273" t="s">
        <v>755</v>
      </c>
      <c r="D2172" s="273" t="s">
        <v>1803</v>
      </c>
      <c r="E2172" s="201">
        <v>111</v>
      </c>
      <c r="F2172" s="201">
        <f>97/14</f>
        <v>6.9285714285714288</v>
      </c>
      <c r="G2172" s="203">
        <v>44622</v>
      </c>
    </row>
    <row r="2173" spans="2:7">
      <c r="B2173" s="268"/>
      <c r="C2173" s="273" t="s">
        <v>565</v>
      </c>
      <c r="D2173" s="273" t="s">
        <v>1803</v>
      </c>
      <c r="E2173" s="201">
        <v>55</v>
      </c>
      <c r="F2173" s="201">
        <v>5.625</v>
      </c>
      <c r="G2173" s="203">
        <v>44314</v>
      </c>
    </row>
    <row r="2174" spans="2:7">
      <c r="B2174" s="268" t="s">
        <v>3827</v>
      </c>
      <c r="C2174" s="273" t="s">
        <v>755</v>
      </c>
      <c r="D2174" s="273" t="s">
        <v>1803</v>
      </c>
      <c r="E2174" s="201">
        <v>111</v>
      </c>
      <c r="F2174" s="201">
        <f>97/14</f>
        <v>6.9285714285714288</v>
      </c>
      <c r="G2174" s="203">
        <v>44622</v>
      </c>
    </row>
    <row r="2175" spans="2:7">
      <c r="B2175" s="268" t="s">
        <v>3828</v>
      </c>
      <c r="C2175" s="273" t="s">
        <v>755</v>
      </c>
      <c r="D2175" s="273" t="s">
        <v>1803</v>
      </c>
      <c r="E2175" s="201">
        <v>111</v>
      </c>
      <c r="F2175" s="201">
        <f>97/14</f>
        <v>6.9285714285714288</v>
      </c>
      <c r="G2175" s="203">
        <v>44622</v>
      </c>
    </row>
    <row r="2176" spans="2:7">
      <c r="B2176" s="268" t="s">
        <v>3830</v>
      </c>
      <c r="C2176" s="273" t="s">
        <v>565</v>
      </c>
      <c r="D2176" s="273" t="s">
        <v>1803</v>
      </c>
      <c r="E2176" s="201">
        <v>55</v>
      </c>
      <c r="F2176" s="201">
        <v>5.625</v>
      </c>
      <c r="G2176" s="203">
        <v>44314</v>
      </c>
    </row>
    <row r="2177" spans="2:7">
      <c r="B2177" s="268"/>
      <c r="C2177" s="273" t="s">
        <v>402</v>
      </c>
      <c r="D2177" s="273" t="s">
        <v>1803</v>
      </c>
      <c r="E2177" s="201">
        <v>16</v>
      </c>
      <c r="F2177" s="201">
        <v>2</v>
      </c>
      <c r="G2177" s="203">
        <v>44009</v>
      </c>
    </row>
    <row r="2178" spans="2:7">
      <c r="B2178" s="268"/>
      <c r="C2178" s="273" t="s">
        <v>544</v>
      </c>
      <c r="D2178" s="273" t="s">
        <v>1803</v>
      </c>
      <c r="E2178" s="201">
        <v>14</v>
      </c>
      <c r="F2178" s="201">
        <v>1.6666666666666667</v>
      </c>
      <c r="G2178" s="203">
        <v>43690</v>
      </c>
    </row>
    <row r="2179" spans="2:7">
      <c r="B2179" s="268" t="s">
        <v>3831</v>
      </c>
      <c r="C2179" s="273" t="s">
        <v>565</v>
      </c>
      <c r="D2179" s="273" t="s">
        <v>1803</v>
      </c>
      <c r="E2179" s="201">
        <v>55</v>
      </c>
      <c r="F2179" s="201">
        <v>5.625</v>
      </c>
      <c r="G2179" s="203">
        <v>44314</v>
      </c>
    </row>
    <row r="2180" spans="2:7">
      <c r="B2180" s="268" t="s">
        <v>3835</v>
      </c>
      <c r="C2180" s="273" t="s">
        <v>544</v>
      </c>
      <c r="D2180" s="273" t="s">
        <v>1803</v>
      </c>
      <c r="E2180" s="201">
        <v>14</v>
      </c>
      <c r="F2180" s="201">
        <v>1.6666666666666667</v>
      </c>
      <c r="G2180" s="203">
        <v>43690</v>
      </c>
    </row>
    <row r="2181" spans="2:7">
      <c r="B2181" s="268" t="s">
        <v>3836</v>
      </c>
      <c r="C2181" s="273" t="s">
        <v>544</v>
      </c>
      <c r="D2181" s="273" t="s">
        <v>1803</v>
      </c>
      <c r="E2181" s="201">
        <v>14</v>
      </c>
      <c r="F2181" s="201">
        <v>1.6666666666666667</v>
      </c>
      <c r="G2181" s="203">
        <v>43690</v>
      </c>
    </row>
    <row r="2182" spans="2:7">
      <c r="B2182" s="268" t="s">
        <v>3837</v>
      </c>
      <c r="C2182" s="273" t="s">
        <v>544</v>
      </c>
      <c r="D2182" s="273" t="s">
        <v>1803</v>
      </c>
      <c r="E2182" s="201">
        <v>14</v>
      </c>
      <c r="F2182" s="201">
        <v>1.6666666666666667</v>
      </c>
      <c r="G2182" s="203">
        <v>43690</v>
      </c>
    </row>
    <row r="2183" spans="2:7">
      <c r="B2183" s="268"/>
      <c r="C2183" s="273" t="s">
        <v>549</v>
      </c>
      <c r="D2183" s="273" t="s">
        <v>1803</v>
      </c>
      <c r="E2183" s="201">
        <v>3.5</v>
      </c>
      <c r="F2183" s="201">
        <f>+E2183/9</f>
        <v>0.3888888888888889</v>
      </c>
      <c r="G2183" s="203">
        <v>42979</v>
      </c>
    </row>
    <row r="2184" spans="2:7">
      <c r="B2184" s="268" t="s">
        <v>3839</v>
      </c>
      <c r="C2184" s="273" t="s">
        <v>549</v>
      </c>
      <c r="D2184" s="273" t="s">
        <v>1803</v>
      </c>
      <c r="E2184" s="201">
        <v>3.5</v>
      </c>
      <c r="F2184" s="201">
        <f>+E2184/9</f>
        <v>0.3888888888888889</v>
      </c>
      <c r="G2184" s="203">
        <v>42979</v>
      </c>
    </row>
    <row r="2185" spans="2:7">
      <c r="B2185" s="268" t="s">
        <v>3840</v>
      </c>
      <c r="C2185" s="273" t="s">
        <v>549</v>
      </c>
      <c r="D2185" s="273" t="s">
        <v>1803</v>
      </c>
      <c r="E2185" s="201">
        <v>3.5</v>
      </c>
      <c r="F2185" s="201">
        <f>+E2185/9</f>
        <v>0.3888888888888889</v>
      </c>
      <c r="G2185" s="203">
        <v>42979</v>
      </c>
    </row>
    <row r="2186" spans="2:7">
      <c r="B2186" s="268" t="s">
        <v>3841</v>
      </c>
      <c r="C2186" s="273" t="s">
        <v>549</v>
      </c>
      <c r="D2186" s="273" t="s">
        <v>1803</v>
      </c>
      <c r="E2186" s="201">
        <v>3.5</v>
      </c>
      <c r="F2186" s="201">
        <f>+E2186/9</f>
        <v>0.3888888888888889</v>
      </c>
      <c r="G2186" s="203">
        <v>42979</v>
      </c>
    </row>
    <row r="2187" spans="2:7">
      <c r="B2187" s="268" t="s">
        <v>3842</v>
      </c>
      <c r="C2187" s="273" t="s">
        <v>549</v>
      </c>
      <c r="D2187" s="273" t="s">
        <v>1803</v>
      </c>
      <c r="E2187" s="201">
        <v>3.5</v>
      </c>
      <c r="F2187" s="201">
        <f>+E2187/9</f>
        <v>0.3888888888888889</v>
      </c>
      <c r="G2187" s="203">
        <v>42979</v>
      </c>
    </row>
    <row r="2188" spans="2:7">
      <c r="B2188" s="268" t="s">
        <v>3853</v>
      </c>
      <c r="C2188" s="273" t="s">
        <v>755</v>
      </c>
      <c r="D2188" s="273" t="s">
        <v>1818</v>
      </c>
      <c r="E2188" s="201">
        <v>600</v>
      </c>
      <c r="F2188" s="201">
        <f>500/8</f>
        <v>62.5</v>
      </c>
      <c r="G2188" s="203">
        <v>44502</v>
      </c>
    </row>
    <row r="2189" spans="2:7">
      <c r="B2189" s="268"/>
      <c r="C2189" s="273" t="s">
        <v>565</v>
      </c>
      <c r="D2189" s="273" t="s">
        <v>1818</v>
      </c>
      <c r="E2189" s="201">
        <v>500</v>
      </c>
      <c r="F2189" s="201">
        <v>75</v>
      </c>
      <c r="G2189" s="203">
        <v>44144</v>
      </c>
    </row>
    <row r="2190" spans="2:7">
      <c r="B2190" s="268" t="s">
        <v>3854</v>
      </c>
      <c r="C2190" s="273" t="s">
        <v>755</v>
      </c>
      <c r="D2190" s="273" t="s">
        <v>1818</v>
      </c>
      <c r="E2190" s="201">
        <v>600</v>
      </c>
      <c r="F2190" s="201">
        <f>500/8</f>
        <v>62.5</v>
      </c>
      <c r="G2190" s="203">
        <v>44502</v>
      </c>
    </row>
    <row r="2191" spans="2:7">
      <c r="B2191" s="268" t="s">
        <v>3855</v>
      </c>
      <c r="C2191" s="273" t="s">
        <v>755</v>
      </c>
      <c r="D2191" s="273" t="s">
        <v>1818</v>
      </c>
      <c r="E2191" s="201">
        <v>600</v>
      </c>
      <c r="F2191" s="201">
        <f>500/8</f>
        <v>62.5</v>
      </c>
      <c r="G2191" s="203">
        <v>44502</v>
      </c>
    </row>
    <row r="2192" spans="2:7">
      <c r="B2192" s="268"/>
      <c r="C2192" s="273" t="s">
        <v>565</v>
      </c>
      <c r="D2192" s="273" t="s">
        <v>1818</v>
      </c>
      <c r="E2192" s="201">
        <v>500</v>
      </c>
      <c r="F2192" s="201">
        <v>75</v>
      </c>
      <c r="G2192" s="203">
        <v>44144</v>
      </c>
    </row>
    <row r="2193" spans="2:7">
      <c r="B2193" s="268" t="s">
        <v>3858</v>
      </c>
      <c r="C2193" s="273" t="s">
        <v>565</v>
      </c>
      <c r="D2193" s="273" t="s">
        <v>1818</v>
      </c>
      <c r="E2193" s="201">
        <v>500</v>
      </c>
      <c r="F2193" s="201">
        <v>75</v>
      </c>
      <c r="G2193" s="203">
        <v>44144</v>
      </c>
    </row>
    <row r="2194" spans="2:7">
      <c r="B2194" s="268" t="s">
        <v>3870</v>
      </c>
      <c r="C2194" s="273" t="s">
        <v>565</v>
      </c>
      <c r="D2194" s="273" t="s">
        <v>1819</v>
      </c>
      <c r="E2194" s="201">
        <v>820</v>
      </c>
      <c r="F2194" s="201">
        <f>600/6</f>
        <v>100</v>
      </c>
      <c r="G2194" s="203">
        <v>43223</v>
      </c>
    </row>
    <row r="2195" spans="2:7">
      <c r="B2195" s="268" t="s">
        <v>3871</v>
      </c>
      <c r="C2195" s="273" t="s">
        <v>565</v>
      </c>
      <c r="D2195" s="273" t="s">
        <v>1819</v>
      </c>
      <c r="E2195" s="201">
        <v>820</v>
      </c>
      <c r="F2195" s="201">
        <f>600/6</f>
        <v>100</v>
      </c>
      <c r="G2195" s="203">
        <v>43223</v>
      </c>
    </row>
    <row r="2196" spans="2:7">
      <c r="B2196" s="268" t="s">
        <v>3872</v>
      </c>
      <c r="C2196" s="273" t="s">
        <v>565</v>
      </c>
      <c r="D2196" s="273" t="s">
        <v>1819</v>
      </c>
      <c r="E2196" s="201">
        <v>820</v>
      </c>
      <c r="F2196" s="201">
        <f>600/6</f>
        <v>100</v>
      </c>
      <c r="G2196" s="203">
        <v>43223</v>
      </c>
    </row>
    <row r="2197" spans="2:7">
      <c r="B2197" s="268" t="s">
        <v>3873</v>
      </c>
      <c r="C2197" s="273" t="s">
        <v>565</v>
      </c>
      <c r="D2197" s="273" t="s">
        <v>1819</v>
      </c>
      <c r="E2197" s="201">
        <v>820</v>
      </c>
      <c r="F2197" s="201">
        <f>600/6</f>
        <v>100</v>
      </c>
      <c r="G2197" s="203">
        <v>43223</v>
      </c>
    </row>
    <row r="2198" spans="2:7">
      <c r="B2198" s="268"/>
      <c r="C2198" s="273" t="s">
        <v>565</v>
      </c>
      <c r="D2198" s="273" t="s">
        <v>1822</v>
      </c>
      <c r="E2198" s="201">
        <v>230</v>
      </c>
      <c r="F2198" s="201">
        <v>38</v>
      </c>
      <c r="G2198" s="203">
        <v>43923</v>
      </c>
    </row>
    <row r="2199" spans="2:7">
      <c r="B2199" s="268"/>
      <c r="C2199" s="273" t="s">
        <v>544</v>
      </c>
      <c r="D2199" s="273" t="s">
        <v>1828</v>
      </c>
      <c r="E2199" s="201">
        <v>102</v>
      </c>
      <c r="F2199" s="201">
        <v>8</v>
      </c>
      <c r="G2199" s="274">
        <v>43292</v>
      </c>
    </row>
    <row r="2200" spans="2:7">
      <c r="B2200" s="268"/>
      <c r="C2200" s="273"/>
      <c r="D2200" s="273"/>
      <c r="G2200" s="203"/>
    </row>
    <row r="2201" spans="2:7">
      <c r="B2201" s="268" t="s">
        <v>3874</v>
      </c>
      <c r="C2201" s="273" t="s">
        <v>565</v>
      </c>
      <c r="D2201" s="273" t="s">
        <v>1819</v>
      </c>
      <c r="E2201" s="201">
        <v>820</v>
      </c>
      <c r="F2201" s="201">
        <f>600/6</f>
        <v>100</v>
      </c>
      <c r="G2201" s="203">
        <v>43223</v>
      </c>
    </row>
    <row r="2202" spans="2:7">
      <c r="B2202" s="268" t="s">
        <v>3875</v>
      </c>
      <c r="C2202" s="273" t="s">
        <v>565</v>
      </c>
      <c r="D2202" s="273" t="s">
        <v>1819</v>
      </c>
      <c r="E2202" s="201">
        <v>820</v>
      </c>
      <c r="F2202" s="201">
        <f>600/6</f>
        <v>100</v>
      </c>
      <c r="G2202" s="203">
        <v>43223</v>
      </c>
    </row>
    <row r="2203" spans="2:7">
      <c r="B2203" s="268"/>
      <c r="C2203" s="273" t="s">
        <v>402</v>
      </c>
      <c r="D2203" s="273" t="s">
        <v>1819</v>
      </c>
      <c r="E2203" s="201">
        <v>100</v>
      </c>
      <c r="F2203" s="201">
        <v>50</v>
      </c>
      <c r="G2203" s="203">
        <v>42576</v>
      </c>
    </row>
    <row r="2204" spans="2:7">
      <c r="B2204" s="268" t="s">
        <v>3743</v>
      </c>
      <c r="C2204" s="273" t="s">
        <v>402</v>
      </c>
      <c r="D2204" s="273" t="s">
        <v>1819</v>
      </c>
      <c r="E2204" s="201">
        <v>100</v>
      </c>
      <c r="F2204" s="201">
        <v>25</v>
      </c>
      <c r="G2204" s="203">
        <v>42576</v>
      </c>
    </row>
    <row r="2205" spans="2:7">
      <c r="B2205" s="268"/>
      <c r="C2205" s="273" t="s">
        <v>544</v>
      </c>
      <c r="D2205" s="273" t="s">
        <v>1819</v>
      </c>
      <c r="E2205" s="201">
        <v>20</v>
      </c>
      <c r="F2205" s="201">
        <v>20</v>
      </c>
      <c r="G2205" s="203">
        <v>42339</v>
      </c>
    </row>
    <row r="2206" spans="2:7">
      <c r="B2206" s="268"/>
      <c r="C2206" s="273" t="s">
        <v>565</v>
      </c>
      <c r="D2206" s="273" t="s">
        <v>1821</v>
      </c>
      <c r="E2206" s="201">
        <v>100</v>
      </c>
      <c r="F2206" s="201">
        <v>20</v>
      </c>
      <c r="G2206" s="203">
        <v>42735</v>
      </c>
    </row>
    <row r="2207" spans="2:7">
      <c r="B2207" s="268"/>
      <c r="C2207" s="273" t="s">
        <v>402</v>
      </c>
      <c r="D2207" s="273" t="s">
        <v>1821</v>
      </c>
      <c r="E2207" s="201">
        <v>22</v>
      </c>
      <c r="F2207" s="201">
        <v>14</v>
      </c>
      <c r="G2207" s="203">
        <v>41821</v>
      </c>
    </row>
    <row r="2208" spans="2:7">
      <c r="B2208" s="268" t="s">
        <v>3913</v>
      </c>
      <c r="C2208" s="273" t="s">
        <v>402</v>
      </c>
      <c r="D2208" s="273" t="s">
        <v>1819</v>
      </c>
      <c r="E2208" s="201">
        <v>100</v>
      </c>
      <c r="F2208" s="201">
        <v>25</v>
      </c>
      <c r="G2208" s="203">
        <v>42576</v>
      </c>
    </row>
    <row r="2209" spans="2:7">
      <c r="B2209" s="268"/>
      <c r="C2209" s="273" t="s">
        <v>755</v>
      </c>
      <c r="D2209" s="273" t="s">
        <v>1822</v>
      </c>
      <c r="E2209" s="201">
        <v>700</v>
      </c>
      <c r="F2209" s="201">
        <v>33</v>
      </c>
      <c r="G2209" s="203">
        <v>44218</v>
      </c>
    </row>
    <row r="2210" spans="2:7">
      <c r="B2210" s="268"/>
      <c r="C2210" s="273" t="s">
        <v>565</v>
      </c>
      <c r="D2210" s="273" t="s">
        <v>1822</v>
      </c>
      <c r="E2210" s="201">
        <v>230</v>
      </c>
      <c r="F2210" s="201">
        <f>E2210/6</f>
        <v>38.333333333333336</v>
      </c>
      <c r="G2210" s="203">
        <v>43923</v>
      </c>
    </row>
    <row r="2211" spans="2:7">
      <c r="B2211" s="268"/>
      <c r="C2211" s="273" t="s">
        <v>565</v>
      </c>
      <c r="D2211" s="273" t="s">
        <v>1828</v>
      </c>
      <c r="E2211" s="201">
        <v>100</v>
      </c>
      <c r="F2211" s="201">
        <f>70/5</f>
        <v>14</v>
      </c>
      <c r="G2211" s="203">
        <v>44235</v>
      </c>
    </row>
    <row r="2212" spans="2:7">
      <c r="B2212" s="268"/>
      <c r="C2212" s="273"/>
      <c r="D2212" s="273"/>
      <c r="G2212" s="203"/>
    </row>
    <row r="2213" spans="2:7">
      <c r="B2213" s="268" t="s">
        <v>3884</v>
      </c>
      <c r="C2213" s="273" t="s">
        <v>755</v>
      </c>
      <c r="D2213" s="273" t="s">
        <v>1821</v>
      </c>
      <c r="E2213" s="201">
        <v>750</v>
      </c>
      <c r="F2213" s="201">
        <f>450/4</f>
        <v>112.5</v>
      </c>
      <c r="G2213" s="203">
        <v>43593</v>
      </c>
    </row>
    <row r="2214" spans="2:7">
      <c r="B2214" s="268" t="s">
        <v>3885</v>
      </c>
      <c r="C2214" s="273" t="s">
        <v>755</v>
      </c>
      <c r="D2214" s="273" t="s">
        <v>1821</v>
      </c>
      <c r="E2214" s="201">
        <v>750</v>
      </c>
      <c r="F2214" s="201">
        <v>300</v>
      </c>
      <c r="G2214" s="203">
        <v>43593</v>
      </c>
    </row>
    <row r="2215" spans="2:7">
      <c r="B2215" s="268" t="s">
        <v>3890</v>
      </c>
      <c r="C2215" s="273" t="s">
        <v>755</v>
      </c>
      <c r="D2215" s="273" t="s">
        <v>1821</v>
      </c>
      <c r="E2215" s="201">
        <v>750</v>
      </c>
      <c r="F2215" s="201">
        <f>450/4</f>
        <v>112.5</v>
      </c>
      <c r="G2215" s="203">
        <v>43593</v>
      </c>
    </row>
    <row r="2216" spans="2:7">
      <c r="B2216" s="268"/>
      <c r="C2216" s="273" t="s">
        <v>565</v>
      </c>
      <c r="D2216" s="273" t="s">
        <v>1821</v>
      </c>
      <c r="E2216" s="201">
        <v>460</v>
      </c>
      <c r="F2216" s="201">
        <v>150</v>
      </c>
      <c r="G2216" s="203">
        <v>43040</v>
      </c>
    </row>
    <row r="2217" spans="2:7">
      <c r="B2217" s="268" t="s">
        <v>3886</v>
      </c>
      <c r="C2217" s="273" t="s">
        <v>755</v>
      </c>
      <c r="D2217" s="273" t="s">
        <v>1821</v>
      </c>
      <c r="E2217" s="201">
        <v>750</v>
      </c>
      <c r="F2217" s="201">
        <f>450/4</f>
        <v>112.5</v>
      </c>
      <c r="G2217" s="203">
        <v>43593</v>
      </c>
    </row>
    <row r="2218" spans="2:7">
      <c r="B2218" s="268" t="s">
        <v>3889</v>
      </c>
      <c r="C2218" s="273" t="s">
        <v>565</v>
      </c>
      <c r="D2218" s="273" t="s">
        <v>1821</v>
      </c>
      <c r="E2218" s="201">
        <v>460</v>
      </c>
      <c r="F2218" s="201">
        <v>150</v>
      </c>
      <c r="G2218" s="203">
        <v>43040</v>
      </c>
    </row>
    <row r="2219" spans="2:7">
      <c r="B2219" s="268"/>
      <c r="C2219" s="273" t="s">
        <v>565</v>
      </c>
      <c r="D2219" s="273" t="s">
        <v>1821</v>
      </c>
      <c r="E2219" s="201">
        <v>100</v>
      </c>
      <c r="F2219" s="201">
        <v>20</v>
      </c>
      <c r="G2219" s="203">
        <v>42735</v>
      </c>
    </row>
    <row r="2220" spans="2:7">
      <c r="B2220" s="268" t="s">
        <v>3891</v>
      </c>
      <c r="C2220" s="273" t="s">
        <v>565</v>
      </c>
      <c r="D2220" s="273" t="s">
        <v>1821</v>
      </c>
      <c r="E2220" s="201">
        <v>460</v>
      </c>
      <c r="F2220" s="201">
        <f>160/4</f>
        <v>40</v>
      </c>
      <c r="G2220" s="203">
        <v>43040</v>
      </c>
    </row>
    <row r="2221" spans="2:7">
      <c r="B2221" s="268" t="s">
        <v>3893</v>
      </c>
      <c r="C2221" s="273" t="s">
        <v>565</v>
      </c>
      <c r="D2221" s="273" t="s">
        <v>1821</v>
      </c>
      <c r="E2221" s="201">
        <v>460</v>
      </c>
      <c r="F2221" s="201">
        <f>160/4</f>
        <v>40</v>
      </c>
      <c r="G2221" s="203">
        <v>43040</v>
      </c>
    </row>
    <row r="2222" spans="2:7">
      <c r="B2222" s="268" t="s">
        <v>3894</v>
      </c>
      <c r="C2222" s="273" t="s">
        <v>565</v>
      </c>
      <c r="D2222" s="273" t="s">
        <v>1821</v>
      </c>
      <c r="E2222" s="201">
        <v>460</v>
      </c>
      <c r="F2222" s="201">
        <f>160/4</f>
        <v>40</v>
      </c>
      <c r="G2222" s="203">
        <v>43040</v>
      </c>
    </row>
    <row r="2223" spans="2:7">
      <c r="B2223" s="268"/>
      <c r="C2223" s="273" t="s">
        <v>755</v>
      </c>
      <c r="D2223" s="273" t="s">
        <v>1822</v>
      </c>
      <c r="E2223" s="201">
        <v>700</v>
      </c>
      <c r="F2223" s="201">
        <f>400/12</f>
        <v>33.333333333333336</v>
      </c>
      <c r="G2223" s="203">
        <v>44218</v>
      </c>
    </row>
    <row r="2224" spans="2:7">
      <c r="B2224" s="268"/>
      <c r="C2224" s="273" t="s">
        <v>565</v>
      </c>
      <c r="D2224" s="273" t="s">
        <v>1822</v>
      </c>
      <c r="E2224" s="201">
        <v>140</v>
      </c>
      <c r="F2224" s="201">
        <f>E2224/9</f>
        <v>15.555555555555555</v>
      </c>
      <c r="G2224" s="203">
        <v>43453</v>
      </c>
    </row>
    <row r="2225" spans="2:7">
      <c r="B2225" s="268" t="s">
        <v>3896</v>
      </c>
      <c r="C2225" s="273" t="s">
        <v>565</v>
      </c>
      <c r="D2225" s="273" t="s">
        <v>1821</v>
      </c>
      <c r="E2225" s="201">
        <v>100</v>
      </c>
      <c r="F2225" s="201">
        <v>40</v>
      </c>
      <c r="G2225" s="203">
        <v>42735</v>
      </c>
    </row>
    <row r="2226" spans="2:7">
      <c r="B2226" s="268" t="s">
        <v>3897</v>
      </c>
      <c r="C2226" s="273" t="s">
        <v>565</v>
      </c>
      <c r="D2226" s="273" t="s">
        <v>1821</v>
      </c>
      <c r="E2226" s="201">
        <v>100</v>
      </c>
      <c r="F2226" s="201">
        <v>20</v>
      </c>
      <c r="G2226" s="203">
        <v>42735</v>
      </c>
    </row>
    <row r="2227" spans="2:7">
      <c r="B2227" s="268"/>
      <c r="C2227" s="273" t="s">
        <v>402</v>
      </c>
      <c r="D2227" s="273" t="s">
        <v>1821</v>
      </c>
      <c r="E2227" s="201">
        <v>22</v>
      </c>
      <c r="F2227" s="201">
        <v>8</v>
      </c>
      <c r="G2227" s="203">
        <v>41821</v>
      </c>
    </row>
    <row r="2228" spans="2:7">
      <c r="B2228" s="268"/>
      <c r="C2228" s="273" t="s">
        <v>402</v>
      </c>
      <c r="D2228" s="273" t="s">
        <v>1825</v>
      </c>
      <c r="E2228" s="201">
        <v>46</v>
      </c>
      <c r="F2228" s="201">
        <v>6</v>
      </c>
      <c r="G2228" s="203">
        <v>42941</v>
      </c>
    </row>
    <row r="2229" spans="2:7">
      <c r="B2229" s="268"/>
      <c r="C2229" s="273" t="s">
        <v>544</v>
      </c>
      <c r="D2229" s="273" t="s">
        <v>1825</v>
      </c>
      <c r="E2229" s="201">
        <v>5</v>
      </c>
      <c r="F2229" s="201">
        <f>E2229/3</f>
        <v>1.6666666666666667</v>
      </c>
      <c r="G2229" s="203">
        <v>42688</v>
      </c>
    </row>
    <row r="2230" spans="2:7">
      <c r="B2230" s="268" t="s">
        <v>3898</v>
      </c>
      <c r="C2230" s="273" t="s">
        <v>565</v>
      </c>
      <c r="D2230" s="273" t="s">
        <v>1821</v>
      </c>
      <c r="E2230" s="201">
        <v>100</v>
      </c>
      <c r="F2230" s="201">
        <v>20</v>
      </c>
      <c r="G2230" s="203">
        <v>42735</v>
      </c>
    </row>
    <row r="2231" spans="2:7">
      <c r="B2231" s="268"/>
      <c r="C2231" s="273" t="s">
        <v>402</v>
      </c>
      <c r="D2231" s="273" t="s">
        <v>1825</v>
      </c>
      <c r="E2231" s="201">
        <v>120</v>
      </c>
      <c r="F2231" s="201">
        <v>10</v>
      </c>
      <c r="G2231" s="203">
        <v>43391</v>
      </c>
    </row>
    <row r="2232" spans="2:7">
      <c r="B2232" s="268"/>
      <c r="C2232" s="273"/>
      <c r="D2232" s="273"/>
      <c r="G2232" s="203"/>
    </row>
    <row r="2233" spans="2:7">
      <c r="B2233" s="268" t="s">
        <v>3906</v>
      </c>
      <c r="C2233" s="273" t="s">
        <v>755</v>
      </c>
      <c r="D2233" s="273" t="s">
        <v>1822</v>
      </c>
      <c r="E2233" s="201">
        <v>700</v>
      </c>
      <c r="F2233" s="201">
        <v>100</v>
      </c>
      <c r="G2233" s="203">
        <v>44218</v>
      </c>
    </row>
    <row r="2234" spans="2:7">
      <c r="B2234" s="268" t="s">
        <v>3907</v>
      </c>
      <c r="C2234" s="273" t="s">
        <v>755</v>
      </c>
      <c r="D2234" s="273" t="s">
        <v>1822</v>
      </c>
      <c r="E2234" s="201">
        <v>700</v>
      </c>
      <c r="F2234" s="201">
        <v>100</v>
      </c>
      <c r="G2234" s="203">
        <v>44218</v>
      </c>
    </row>
    <row r="2235" spans="2:7">
      <c r="B2235" s="268" t="s">
        <v>3908</v>
      </c>
      <c r="C2235" s="273" t="s">
        <v>755</v>
      </c>
      <c r="D2235" s="273" t="s">
        <v>1822</v>
      </c>
      <c r="E2235" s="201">
        <v>700</v>
      </c>
      <c r="F2235" s="201">
        <v>100</v>
      </c>
      <c r="G2235" s="203">
        <v>44218</v>
      </c>
    </row>
    <row r="2236" spans="2:7">
      <c r="B2236" s="268" t="s">
        <v>3909</v>
      </c>
      <c r="C2236" s="273" t="s">
        <v>755</v>
      </c>
      <c r="D2236" s="273" t="s">
        <v>1822</v>
      </c>
      <c r="E2236" s="201">
        <v>700</v>
      </c>
      <c r="F2236" s="201">
        <f t="shared" ref="F2236:F2242" si="25">400/12</f>
        <v>33.333333333333336</v>
      </c>
      <c r="G2236" s="203">
        <v>44218</v>
      </c>
    </row>
    <row r="2237" spans="2:7">
      <c r="B2237" s="268" t="s">
        <v>3910</v>
      </c>
      <c r="C2237" s="273" t="s">
        <v>755</v>
      </c>
      <c r="D2237" s="273" t="s">
        <v>1822</v>
      </c>
      <c r="E2237" s="201">
        <v>700</v>
      </c>
      <c r="F2237" s="201">
        <f t="shared" si="25"/>
        <v>33.333333333333336</v>
      </c>
      <c r="G2237" s="203">
        <v>44218</v>
      </c>
    </row>
    <row r="2238" spans="2:7">
      <c r="B2238" s="268" t="s">
        <v>3911</v>
      </c>
      <c r="C2238" s="273" t="s">
        <v>755</v>
      </c>
      <c r="D2238" s="273" t="s">
        <v>1822</v>
      </c>
      <c r="E2238" s="201">
        <v>700</v>
      </c>
      <c r="F2238" s="201">
        <f t="shared" si="25"/>
        <v>33.333333333333336</v>
      </c>
      <c r="G2238" s="203">
        <v>44218</v>
      </c>
    </row>
    <row r="2239" spans="2:7">
      <c r="B2239" s="268" t="s">
        <v>3912</v>
      </c>
      <c r="C2239" s="273" t="s">
        <v>755</v>
      </c>
      <c r="D2239" s="273" t="s">
        <v>1822</v>
      </c>
      <c r="E2239" s="201">
        <v>700</v>
      </c>
      <c r="F2239" s="201">
        <f t="shared" si="25"/>
        <v>33.333333333333336</v>
      </c>
      <c r="G2239" s="203">
        <v>44218</v>
      </c>
    </row>
    <row r="2240" spans="2:7">
      <c r="B2240" s="268" t="s">
        <v>3914</v>
      </c>
      <c r="C2240" s="273" t="s">
        <v>755</v>
      </c>
      <c r="D2240" s="273" t="s">
        <v>1822</v>
      </c>
      <c r="E2240" s="201">
        <v>700</v>
      </c>
      <c r="F2240" s="201">
        <f t="shared" si="25"/>
        <v>33.333333333333336</v>
      </c>
      <c r="G2240" s="203">
        <v>44218</v>
      </c>
    </row>
    <row r="2241" spans="2:9">
      <c r="B2241" s="268" t="s">
        <v>3915</v>
      </c>
      <c r="C2241" s="273" t="s">
        <v>755</v>
      </c>
      <c r="D2241" s="273" t="s">
        <v>1822</v>
      </c>
      <c r="E2241" s="201">
        <v>700</v>
      </c>
      <c r="F2241" s="201">
        <f t="shared" si="25"/>
        <v>33.333333333333336</v>
      </c>
      <c r="G2241" s="203">
        <v>44218</v>
      </c>
    </row>
    <row r="2242" spans="2:9">
      <c r="B2242" s="268" t="s">
        <v>3916</v>
      </c>
      <c r="C2242" s="273" t="s">
        <v>755</v>
      </c>
      <c r="D2242" s="273" t="s">
        <v>1822</v>
      </c>
      <c r="E2242" s="201">
        <v>700</v>
      </c>
      <c r="F2242" s="201">
        <f t="shared" si="25"/>
        <v>33.333333333333336</v>
      </c>
      <c r="G2242" s="203">
        <v>44218</v>
      </c>
    </row>
    <row r="2243" spans="2:9">
      <c r="B2243" s="268" t="s">
        <v>3919</v>
      </c>
      <c r="C2243" s="273" t="s">
        <v>565</v>
      </c>
      <c r="D2243" s="273" t="s">
        <v>1822</v>
      </c>
      <c r="E2243" s="201">
        <v>230</v>
      </c>
      <c r="F2243" s="201">
        <f>E2243/6</f>
        <v>38.333333333333336</v>
      </c>
      <c r="G2243" s="203">
        <v>43923</v>
      </c>
    </row>
    <row r="2244" spans="2:9">
      <c r="B2244" s="268" t="s">
        <v>3920</v>
      </c>
      <c r="C2244" s="273" t="s">
        <v>565</v>
      </c>
      <c r="D2244" s="273" t="s">
        <v>1822</v>
      </c>
      <c r="E2244" s="201">
        <v>230</v>
      </c>
      <c r="F2244" s="201">
        <f>E2244/6</f>
        <v>38.333333333333336</v>
      </c>
      <c r="G2244" s="203">
        <v>43923</v>
      </c>
    </row>
    <row r="2245" spans="2:9">
      <c r="B2245" s="268" t="s">
        <v>3921</v>
      </c>
      <c r="C2245" s="273" t="s">
        <v>565</v>
      </c>
      <c r="D2245" s="273" t="s">
        <v>1822</v>
      </c>
      <c r="E2245" s="201">
        <v>230</v>
      </c>
      <c r="F2245" s="201">
        <f>E2245/6</f>
        <v>38.333333333333336</v>
      </c>
      <c r="G2245" s="203">
        <v>43923</v>
      </c>
    </row>
    <row r="2246" spans="2:9">
      <c r="B2246" s="268" t="s">
        <v>3923</v>
      </c>
      <c r="C2246" s="273" t="s">
        <v>565</v>
      </c>
      <c r="D2246" s="273" t="s">
        <v>1822</v>
      </c>
      <c r="E2246" s="201">
        <v>140</v>
      </c>
      <c r="F2246" s="201">
        <f>E2246/9</f>
        <v>15.555555555555555</v>
      </c>
      <c r="G2246" s="203">
        <v>43453</v>
      </c>
    </row>
    <row r="2247" spans="2:9">
      <c r="B2247" s="268" t="s">
        <v>3924</v>
      </c>
      <c r="C2247" s="273" t="s">
        <v>565</v>
      </c>
      <c r="D2247" s="273" t="s">
        <v>1822</v>
      </c>
      <c r="E2247" s="201">
        <v>140</v>
      </c>
      <c r="F2247" s="201">
        <f>E2247/9</f>
        <v>15.555555555555555</v>
      </c>
      <c r="G2247" s="203">
        <v>43453</v>
      </c>
    </row>
    <row r="2248" spans="2:9">
      <c r="B2248" s="268" t="s">
        <v>3925</v>
      </c>
      <c r="C2248" s="273" t="s">
        <v>565</v>
      </c>
      <c r="D2248" s="273" t="s">
        <v>1822</v>
      </c>
      <c r="E2248" s="201">
        <v>140</v>
      </c>
      <c r="F2248" s="201">
        <f>E2248/9</f>
        <v>15.555555555555555</v>
      </c>
      <c r="G2248" s="203">
        <v>43453</v>
      </c>
    </row>
    <row r="2249" spans="2:9">
      <c r="B2249" s="268" t="s">
        <v>3926</v>
      </c>
      <c r="C2249" s="273" t="s">
        <v>565</v>
      </c>
      <c r="D2249" s="273" t="s">
        <v>1822</v>
      </c>
      <c r="E2249" s="201">
        <v>140</v>
      </c>
      <c r="F2249" s="201">
        <f t="shared" ref="F2249:F2251" si="26">E2249/9</f>
        <v>15.555555555555555</v>
      </c>
      <c r="G2249" s="203">
        <v>43453</v>
      </c>
    </row>
    <row r="2250" spans="2:9">
      <c r="B2250" s="268" t="s">
        <v>3927</v>
      </c>
      <c r="C2250" s="273" t="s">
        <v>565</v>
      </c>
      <c r="D2250" s="273" t="s">
        <v>1822</v>
      </c>
      <c r="E2250" s="201">
        <v>140</v>
      </c>
      <c r="F2250" s="201">
        <f t="shared" si="26"/>
        <v>15.555555555555555</v>
      </c>
      <c r="G2250" s="203">
        <v>43453</v>
      </c>
    </row>
    <row r="2251" spans="2:9">
      <c r="B2251" s="268" t="s">
        <v>3928</v>
      </c>
      <c r="C2251" s="273" t="s">
        <v>565</v>
      </c>
      <c r="D2251" s="273" t="s">
        <v>1822</v>
      </c>
      <c r="E2251" s="201">
        <v>140</v>
      </c>
      <c r="F2251" s="201">
        <f t="shared" si="26"/>
        <v>15.555555555555555</v>
      </c>
      <c r="G2251" s="203">
        <v>43453</v>
      </c>
    </row>
    <row r="2252" spans="2:9">
      <c r="B2252" s="268" t="s">
        <v>3929</v>
      </c>
      <c r="C2252" s="273" t="s">
        <v>565</v>
      </c>
      <c r="D2252" s="273" t="s">
        <v>1822</v>
      </c>
      <c r="E2252" s="201">
        <v>140</v>
      </c>
      <c r="F2252" s="201">
        <f>E2252/9</f>
        <v>15.555555555555555</v>
      </c>
      <c r="G2252" s="203">
        <v>43453</v>
      </c>
    </row>
    <row r="2253" spans="2:9">
      <c r="B2253" s="268" t="s">
        <v>3936</v>
      </c>
      <c r="C2253" s="273" t="s">
        <v>755</v>
      </c>
      <c r="D2253" s="273" t="s">
        <v>1823</v>
      </c>
      <c r="E2253" s="201">
        <v>676</v>
      </c>
      <c r="F2253" s="201">
        <f>500/7</f>
        <v>71.428571428571431</v>
      </c>
      <c r="G2253" s="203">
        <v>44299</v>
      </c>
      <c r="I2253" s="199">
        <v>4400</v>
      </c>
    </row>
    <row r="2254" spans="2:9">
      <c r="B2254" s="268" t="s">
        <v>3937</v>
      </c>
      <c r="C2254" s="273" t="s">
        <v>755</v>
      </c>
      <c r="D2254" s="273" t="s">
        <v>1823</v>
      </c>
      <c r="E2254" s="201">
        <v>676</v>
      </c>
      <c r="F2254" s="201">
        <f>500/7</f>
        <v>71.428571428571431</v>
      </c>
      <c r="G2254" s="203">
        <v>44299</v>
      </c>
      <c r="I2254" s="199">
        <v>4400</v>
      </c>
    </row>
    <row r="2255" spans="2:9">
      <c r="B2255" s="268"/>
      <c r="C2255" s="273" t="s">
        <v>565</v>
      </c>
      <c r="D2255" s="273" t="s">
        <v>1823</v>
      </c>
      <c r="E2255" s="201">
        <v>250</v>
      </c>
      <c r="F2255" s="201">
        <f>170/5</f>
        <v>34</v>
      </c>
      <c r="G2255" s="203">
        <v>43886</v>
      </c>
      <c r="I2255" s="199">
        <v>2300</v>
      </c>
    </row>
    <row r="2256" spans="2:9">
      <c r="B2256" s="268"/>
      <c r="C2256" s="273" t="s">
        <v>402</v>
      </c>
      <c r="D2256" s="273" t="s">
        <v>1823</v>
      </c>
      <c r="E2256" s="201">
        <v>150</v>
      </c>
      <c r="F2256" s="201">
        <v>20</v>
      </c>
      <c r="G2256" s="203">
        <v>43556</v>
      </c>
    </row>
    <row r="2257" spans="2:9">
      <c r="B2257" s="268"/>
      <c r="C2257" s="273" t="s">
        <v>544</v>
      </c>
      <c r="D2257" s="273" t="s">
        <v>1823</v>
      </c>
      <c r="E2257" s="201">
        <v>7.3</v>
      </c>
      <c r="F2257" s="201">
        <v>7.3</v>
      </c>
      <c r="G2257" s="203">
        <v>43327</v>
      </c>
    </row>
    <row r="2258" spans="2:9">
      <c r="B2258" s="268"/>
      <c r="C2258" s="273" t="s">
        <v>549</v>
      </c>
      <c r="D2258" s="273" t="s">
        <v>1823</v>
      </c>
      <c r="E2258" s="201">
        <v>2</v>
      </c>
      <c r="F2258" s="201">
        <v>2</v>
      </c>
      <c r="G2258" s="203">
        <v>43047</v>
      </c>
    </row>
    <row r="2259" spans="2:9">
      <c r="B2259" s="268" t="s">
        <v>3938</v>
      </c>
      <c r="C2259" s="273" t="s">
        <v>565</v>
      </c>
      <c r="D2259" s="273" t="s">
        <v>1823</v>
      </c>
      <c r="E2259" s="201">
        <v>250</v>
      </c>
      <c r="F2259" s="201">
        <f>170/5</f>
        <v>34</v>
      </c>
      <c r="G2259" s="203">
        <v>43886</v>
      </c>
      <c r="I2259" s="199">
        <v>2300</v>
      </c>
    </row>
    <row r="2260" spans="2:9">
      <c r="C2260" s="273" t="s">
        <v>402</v>
      </c>
      <c r="D2260" s="273" t="s">
        <v>1823</v>
      </c>
      <c r="E2260" s="201">
        <v>150</v>
      </c>
      <c r="F2260" s="201">
        <v>20</v>
      </c>
      <c r="G2260" s="203">
        <v>43556</v>
      </c>
    </row>
    <row r="2261" spans="2:9">
      <c r="C2261" s="273" t="s">
        <v>544</v>
      </c>
      <c r="D2261" s="273" t="s">
        <v>1823</v>
      </c>
      <c r="E2261" s="201">
        <v>56</v>
      </c>
      <c r="F2261" s="201">
        <f>26/2</f>
        <v>13</v>
      </c>
      <c r="G2261" s="203">
        <v>43174</v>
      </c>
    </row>
    <row r="2262" spans="2:9">
      <c r="B2262" s="268" t="s">
        <v>3950</v>
      </c>
      <c r="C2262" s="273" t="s">
        <v>565</v>
      </c>
      <c r="D2262" s="273" t="s">
        <v>1825</v>
      </c>
      <c r="E2262" s="201">
        <v>500</v>
      </c>
      <c r="F2262" s="201">
        <v>100</v>
      </c>
      <c r="G2262" s="203">
        <v>44274</v>
      </c>
    </row>
    <row r="2263" spans="2:9">
      <c r="B2263" s="268" t="s">
        <v>3951</v>
      </c>
      <c r="C2263" s="273" t="s">
        <v>565</v>
      </c>
      <c r="D2263" s="273" t="s">
        <v>1825</v>
      </c>
      <c r="E2263" s="201">
        <v>500</v>
      </c>
      <c r="F2263" s="201">
        <f>200/9</f>
        <v>22.222222222222221</v>
      </c>
      <c r="G2263" s="203">
        <v>44274</v>
      </c>
    </row>
    <row r="2264" spans="2:9">
      <c r="B2264" s="268" t="s">
        <v>3952</v>
      </c>
      <c r="C2264" s="273" t="s">
        <v>565</v>
      </c>
      <c r="D2264" s="273" t="s">
        <v>1825</v>
      </c>
      <c r="E2264" s="201">
        <v>500</v>
      </c>
      <c r="F2264" s="201">
        <f>200/9</f>
        <v>22.222222222222221</v>
      </c>
      <c r="G2264" s="203">
        <v>44274</v>
      </c>
    </row>
    <row r="2265" spans="2:9">
      <c r="B2265" s="268"/>
      <c r="C2265" s="273" t="s">
        <v>402</v>
      </c>
      <c r="D2265" s="273" t="s">
        <v>1825</v>
      </c>
      <c r="E2265" s="201">
        <v>46</v>
      </c>
      <c r="F2265" s="201">
        <v>6</v>
      </c>
      <c r="G2265" s="203">
        <v>42941</v>
      </c>
    </row>
    <row r="2266" spans="2:9">
      <c r="B2266" s="268" t="s">
        <v>3953</v>
      </c>
      <c r="C2266" s="273" t="s">
        <v>565</v>
      </c>
      <c r="D2266" s="273" t="s">
        <v>1825</v>
      </c>
      <c r="E2266" s="201">
        <v>500</v>
      </c>
      <c r="F2266" s="201">
        <f>200/9</f>
        <v>22.222222222222221</v>
      </c>
      <c r="G2266" s="203">
        <v>44274</v>
      </c>
    </row>
    <row r="2267" spans="2:9">
      <c r="B2267" s="268"/>
      <c r="C2267" s="273" t="s">
        <v>402</v>
      </c>
      <c r="D2267" s="273" t="s">
        <v>1825</v>
      </c>
      <c r="E2267" s="201">
        <v>46</v>
      </c>
      <c r="F2267" s="201">
        <v>6</v>
      </c>
      <c r="G2267" s="203">
        <v>42941</v>
      </c>
    </row>
    <row r="2268" spans="2:9">
      <c r="B2268" s="268" t="s">
        <v>3955</v>
      </c>
      <c r="C2268" s="273" t="s">
        <v>565</v>
      </c>
      <c r="D2268" s="273" t="s">
        <v>1825</v>
      </c>
      <c r="E2268" s="201">
        <v>300</v>
      </c>
      <c r="F2268" s="201">
        <v>300</v>
      </c>
      <c r="G2268" s="203">
        <v>44462</v>
      </c>
    </row>
    <row r="2269" spans="2:9">
      <c r="B2269" s="268" t="s">
        <v>3956</v>
      </c>
      <c r="C2269" s="273" t="s">
        <v>565</v>
      </c>
      <c r="D2269" s="273" t="s">
        <v>1825</v>
      </c>
      <c r="E2269" s="201">
        <v>200</v>
      </c>
      <c r="F2269" s="201">
        <v>200</v>
      </c>
      <c r="G2269" s="203">
        <v>44504</v>
      </c>
    </row>
    <row r="2270" spans="2:9">
      <c r="B2270" s="268"/>
      <c r="C2270" s="273" t="s">
        <v>544</v>
      </c>
      <c r="D2270" s="273" t="s">
        <v>1828</v>
      </c>
      <c r="E2270" s="201">
        <v>112</v>
      </c>
      <c r="F2270" s="201">
        <v>9</v>
      </c>
      <c r="G2270" s="203">
        <v>43115</v>
      </c>
    </row>
    <row r="2271" spans="2:9">
      <c r="B2271" s="268"/>
      <c r="C2271" s="273"/>
      <c r="D2271" s="273"/>
      <c r="G2271" s="203"/>
    </row>
    <row r="2272" spans="2:9">
      <c r="B2272" s="268" t="s">
        <v>3960</v>
      </c>
      <c r="C2272" s="273" t="s">
        <v>402</v>
      </c>
      <c r="D2272" s="273" t="s">
        <v>1825</v>
      </c>
      <c r="E2272" s="201">
        <v>120</v>
      </c>
      <c r="F2272" s="201">
        <v>30</v>
      </c>
      <c r="G2272" s="203">
        <v>43391</v>
      </c>
    </row>
    <row r="2273" spans="2:7">
      <c r="B2273" s="268" t="s">
        <v>3961</v>
      </c>
      <c r="C2273" s="273" t="s">
        <v>402</v>
      </c>
      <c r="D2273" s="273" t="s">
        <v>1825</v>
      </c>
      <c r="E2273" s="201">
        <v>120</v>
      </c>
      <c r="F2273" s="201">
        <v>30</v>
      </c>
      <c r="G2273" s="203">
        <v>43391</v>
      </c>
    </row>
    <row r="2274" spans="2:7">
      <c r="B2274" s="268"/>
      <c r="C2274" s="273" t="s">
        <v>402</v>
      </c>
      <c r="D2274" s="273" t="s">
        <v>1825</v>
      </c>
      <c r="E2274" s="201">
        <v>46</v>
      </c>
      <c r="F2274" s="201">
        <v>16</v>
      </c>
      <c r="G2274" s="203">
        <v>42941</v>
      </c>
    </row>
    <row r="2275" spans="2:7">
      <c r="B2275" s="268" t="s">
        <v>3962</v>
      </c>
      <c r="C2275" s="273" t="s">
        <v>402</v>
      </c>
      <c r="D2275" s="273" t="s">
        <v>1825</v>
      </c>
      <c r="E2275" s="201">
        <v>120</v>
      </c>
      <c r="F2275" s="201">
        <v>30</v>
      </c>
      <c r="G2275" s="203">
        <v>43391</v>
      </c>
    </row>
    <row r="2276" spans="2:7">
      <c r="B2276" s="268" t="s">
        <v>3963</v>
      </c>
      <c r="C2276" s="273" t="s">
        <v>402</v>
      </c>
      <c r="D2276" s="273" t="s">
        <v>1825</v>
      </c>
      <c r="E2276" s="201">
        <v>120</v>
      </c>
      <c r="F2276" s="201">
        <v>30</v>
      </c>
      <c r="G2276" s="203">
        <v>43391</v>
      </c>
    </row>
    <row r="2277" spans="2:7">
      <c r="B2277" s="268"/>
      <c r="C2277" s="273" t="s">
        <v>544</v>
      </c>
      <c r="D2277" s="273" t="s">
        <v>1828</v>
      </c>
      <c r="E2277" s="201">
        <v>102</v>
      </c>
      <c r="F2277" s="201">
        <v>8</v>
      </c>
      <c r="G2277" s="203">
        <v>43292</v>
      </c>
    </row>
    <row r="2278" spans="2:7">
      <c r="B2278" s="268"/>
      <c r="C2278" s="273"/>
      <c r="D2278" s="273"/>
      <c r="G2278" s="203"/>
    </row>
    <row r="2279" spans="2:7">
      <c r="B2279" s="268" t="s">
        <v>3965</v>
      </c>
      <c r="C2279" s="273" t="s">
        <v>402</v>
      </c>
      <c r="D2279" s="273" t="s">
        <v>1825</v>
      </c>
      <c r="E2279" s="201">
        <v>46</v>
      </c>
      <c r="F2279" s="201">
        <f>30/5</f>
        <v>6</v>
      </c>
      <c r="G2279" s="203">
        <v>42941</v>
      </c>
    </row>
    <row r="2280" spans="2:7">
      <c r="B2280" s="268" t="s">
        <v>3967</v>
      </c>
      <c r="C2280" s="273" t="s">
        <v>544</v>
      </c>
      <c r="D2280" s="273" t="s">
        <v>1825</v>
      </c>
      <c r="E2280" s="201">
        <v>5</v>
      </c>
      <c r="F2280" s="201">
        <f>E2280/3</f>
        <v>1.6666666666666667</v>
      </c>
      <c r="G2280" s="274">
        <v>42688</v>
      </c>
    </row>
    <row r="2281" spans="2:7">
      <c r="B2281" s="268" t="s">
        <v>3973</v>
      </c>
      <c r="C2281" s="273" t="s">
        <v>813</v>
      </c>
      <c r="D2281" s="273" t="s">
        <v>1827</v>
      </c>
      <c r="E2281" s="201">
        <v>475</v>
      </c>
      <c r="F2281" s="201">
        <f>E2281/12</f>
        <v>39.583333333333336</v>
      </c>
      <c r="G2281" s="203">
        <v>44278</v>
      </c>
    </row>
    <row r="2282" spans="2:7">
      <c r="B2282" s="268" t="s">
        <v>3974</v>
      </c>
      <c r="C2282" s="273" t="s">
        <v>813</v>
      </c>
      <c r="D2282" s="273" t="s">
        <v>1827</v>
      </c>
      <c r="E2282" s="201">
        <v>475</v>
      </c>
      <c r="F2282" s="201">
        <f>E2282/12</f>
        <v>39.583333333333336</v>
      </c>
      <c r="G2282" s="203">
        <v>44278</v>
      </c>
    </row>
    <row r="2283" spans="2:7">
      <c r="B2283" s="268" t="s">
        <v>3975</v>
      </c>
      <c r="C2283" s="273" t="s">
        <v>813</v>
      </c>
      <c r="D2283" s="273" t="s">
        <v>1827</v>
      </c>
      <c r="E2283" s="201">
        <v>475</v>
      </c>
      <c r="F2283" s="201">
        <f>E2283/12</f>
        <v>39.583333333333336</v>
      </c>
      <c r="G2283" s="203">
        <v>44278</v>
      </c>
    </row>
    <row r="2284" spans="2:7">
      <c r="B2284" s="268" t="s">
        <v>3976</v>
      </c>
      <c r="C2284" s="273" t="s">
        <v>813</v>
      </c>
      <c r="D2284" s="273" t="s">
        <v>1827</v>
      </c>
      <c r="E2284" s="201">
        <v>475</v>
      </c>
      <c r="F2284" s="201">
        <f>E2284/12</f>
        <v>39.583333333333336</v>
      </c>
      <c r="G2284" s="203">
        <v>44278</v>
      </c>
    </row>
    <row r="2285" spans="2:7">
      <c r="B2285" s="268" t="s">
        <v>3977</v>
      </c>
      <c r="C2285" s="273" t="s">
        <v>813</v>
      </c>
      <c r="D2285" s="273" t="s">
        <v>1827</v>
      </c>
      <c r="E2285" s="201">
        <v>475</v>
      </c>
      <c r="F2285" s="201">
        <f>E2285/12</f>
        <v>39.583333333333336</v>
      </c>
      <c r="G2285" s="203">
        <v>44278</v>
      </c>
    </row>
    <row r="2286" spans="2:7">
      <c r="B2286" s="268" t="s">
        <v>3978</v>
      </c>
      <c r="C2286" s="273" t="s">
        <v>813</v>
      </c>
      <c r="D2286" s="273" t="s">
        <v>1827</v>
      </c>
      <c r="E2286" s="201">
        <v>475</v>
      </c>
      <c r="F2286" s="201">
        <f>E2286/12</f>
        <v>39.583333333333336</v>
      </c>
      <c r="G2286" s="203">
        <v>44278</v>
      </c>
    </row>
    <row r="2287" spans="2:7">
      <c r="B2287" s="268" t="s">
        <v>3979</v>
      </c>
      <c r="C2287" s="273" t="s">
        <v>813</v>
      </c>
      <c r="D2287" s="273" t="s">
        <v>1827</v>
      </c>
      <c r="E2287" s="201">
        <v>475</v>
      </c>
      <c r="F2287" s="201">
        <f>E2287/12</f>
        <v>39.583333333333336</v>
      </c>
      <c r="G2287" s="203">
        <v>44278</v>
      </c>
    </row>
    <row r="2288" spans="2:7">
      <c r="B2288" s="268" t="s">
        <v>3980</v>
      </c>
      <c r="C2288" s="273" t="s">
        <v>813</v>
      </c>
      <c r="D2288" s="273" t="s">
        <v>1827</v>
      </c>
      <c r="E2288" s="201">
        <v>475</v>
      </c>
      <c r="F2288" s="201">
        <f>E2288/12</f>
        <v>39.583333333333336</v>
      </c>
      <c r="G2288" s="203">
        <v>44278</v>
      </c>
    </row>
    <row r="2289" spans="2:9">
      <c r="B2289" s="268" t="s">
        <v>3983</v>
      </c>
      <c r="C2289" s="273" t="s">
        <v>738</v>
      </c>
      <c r="D2289" s="273" t="s">
        <v>1827</v>
      </c>
      <c r="E2289" s="201">
        <v>392</v>
      </c>
      <c r="F2289" s="201">
        <f>E2289/5</f>
        <v>78.400000000000006</v>
      </c>
      <c r="G2289" s="203">
        <v>43280</v>
      </c>
      <c r="I2289" s="199">
        <v>1200</v>
      </c>
    </row>
    <row r="2290" spans="2:9">
      <c r="B2290" s="268" t="s">
        <v>3984</v>
      </c>
      <c r="C2290" s="273" t="s">
        <v>738</v>
      </c>
      <c r="D2290" s="273" t="s">
        <v>1827</v>
      </c>
      <c r="E2290" s="201">
        <v>392</v>
      </c>
      <c r="F2290" s="201">
        <f>E2290/5</f>
        <v>78.400000000000006</v>
      </c>
      <c r="G2290" s="203">
        <v>43280</v>
      </c>
      <c r="I2290" s="199">
        <v>1200</v>
      </c>
    </row>
    <row r="2291" spans="2:9">
      <c r="B2291" s="268" t="s">
        <v>3985</v>
      </c>
      <c r="C2291" s="273" t="s">
        <v>738</v>
      </c>
      <c r="D2291" s="273" t="s">
        <v>1827</v>
      </c>
      <c r="E2291" s="201">
        <v>392</v>
      </c>
      <c r="F2291" s="201">
        <f>E2291/5</f>
        <v>78.400000000000006</v>
      </c>
      <c r="G2291" s="203">
        <v>43280</v>
      </c>
      <c r="I2291" s="199">
        <v>1200</v>
      </c>
    </row>
    <row r="2292" spans="2:9">
      <c r="B2292" s="268" t="s">
        <v>3986</v>
      </c>
      <c r="C2292" s="273" t="s">
        <v>738</v>
      </c>
      <c r="D2292" s="273" t="s">
        <v>1827</v>
      </c>
      <c r="E2292" s="201">
        <v>392</v>
      </c>
      <c r="F2292" s="201">
        <f>E2292/5</f>
        <v>78.400000000000006</v>
      </c>
      <c r="G2292" s="203">
        <v>43280</v>
      </c>
      <c r="I2292" s="199">
        <v>1200</v>
      </c>
    </row>
    <row r="2293" spans="2:9">
      <c r="B2293" s="268" t="s">
        <v>3989</v>
      </c>
      <c r="C2293" s="273" t="s">
        <v>755</v>
      </c>
      <c r="D2293" s="273" t="s">
        <v>1827</v>
      </c>
      <c r="E2293" s="201">
        <v>130</v>
      </c>
      <c r="F2293" s="201">
        <f>104/9</f>
        <v>11.555555555555555</v>
      </c>
      <c r="G2293" s="203">
        <v>42080</v>
      </c>
      <c r="I2293" s="199">
        <v>570</v>
      </c>
    </row>
    <row r="2294" spans="2:9">
      <c r="B2294" s="268" t="s">
        <v>3990</v>
      </c>
      <c r="C2294" s="273" t="s">
        <v>755</v>
      </c>
      <c r="D2294" s="273" t="s">
        <v>1827</v>
      </c>
      <c r="E2294" s="201">
        <v>130</v>
      </c>
      <c r="F2294" s="201">
        <f>104/9</f>
        <v>11.555555555555555</v>
      </c>
      <c r="G2294" s="203">
        <v>42080</v>
      </c>
      <c r="I2294" s="199">
        <v>570</v>
      </c>
    </row>
    <row r="2295" spans="2:9">
      <c r="B2295" s="268" t="s">
        <v>3991</v>
      </c>
      <c r="C2295" s="273" t="s">
        <v>755</v>
      </c>
      <c r="D2295" s="273" t="s">
        <v>1827</v>
      </c>
      <c r="E2295" s="201">
        <v>130</v>
      </c>
      <c r="F2295" s="201">
        <f>104/9</f>
        <v>11.555555555555555</v>
      </c>
      <c r="G2295" s="203">
        <v>42080</v>
      </c>
      <c r="I2295" s="199">
        <v>570</v>
      </c>
    </row>
    <row r="2296" spans="2:9">
      <c r="B2296" s="268" t="s">
        <v>3993</v>
      </c>
      <c r="C2296" s="273" t="s">
        <v>565</v>
      </c>
      <c r="D2296" s="273" t="s">
        <v>1827</v>
      </c>
      <c r="E2296" s="201">
        <v>34</v>
      </c>
      <c r="F2296" s="201">
        <f>14/3</f>
        <v>4.666666666666667</v>
      </c>
      <c r="G2296" s="203">
        <v>41437</v>
      </c>
    </row>
    <row r="2297" spans="2:9">
      <c r="B2297" s="268"/>
      <c r="C2297" s="273" t="s">
        <v>402</v>
      </c>
      <c r="D2297" s="273" t="s">
        <v>1827</v>
      </c>
      <c r="E2297" s="201">
        <v>16.5</v>
      </c>
      <c r="F2297" s="201">
        <f>E2297/5</f>
        <v>3.3</v>
      </c>
      <c r="G2297" s="203">
        <v>41176</v>
      </c>
    </row>
    <row r="2298" spans="2:9">
      <c r="B2298" s="268" t="s">
        <v>3994</v>
      </c>
      <c r="C2298" s="273" t="s">
        <v>565</v>
      </c>
      <c r="D2298" s="273" t="s">
        <v>1827</v>
      </c>
      <c r="E2298" s="201">
        <v>34</v>
      </c>
      <c r="F2298" s="201">
        <f>14/3</f>
        <v>4.666666666666667</v>
      </c>
      <c r="G2298" s="203">
        <v>41437</v>
      </c>
    </row>
    <row r="2299" spans="2:9">
      <c r="B2299" s="268"/>
      <c r="C2299" s="273" t="s">
        <v>402</v>
      </c>
      <c r="D2299" s="273" t="s">
        <v>1827</v>
      </c>
      <c r="E2299" s="201">
        <v>16.5</v>
      </c>
      <c r="F2299" s="201">
        <f>E2299/5</f>
        <v>3.3</v>
      </c>
      <c r="G2299" s="203">
        <v>41176</v>
      </c>
    </row>
    <row r="2300" spans="2:9">
      <c r="B2300" s="268" t="s">
        <v>3995</v>
      </c>
      <c r="C2300" s="273" t="s">
        <v>565</v>
      </c>
      <c r="D2300" s="273" t="s">
        <v>1827</v>
      </c>
      <c r="E2300" s="201">
        <v>34</v>
      </c>
      <c r="F2300" s="201">
        <f>14/3</f>
        <v>4.666666666666667</v>
      </c>
      <c r="G2300" s="203">
        <v>41437</v>
      </c>
    </row>
    <row r="2301" spans="2:9">
      <c r="B2301" s="268"/>
      <c r="C2301" s="273" t="s">
        <v>402</v>
      </c>
      <c r="D2301" s="273" t="s">
        <v>1827</v>
      </c>
      <c r="E2301" s="201">
        <v>16.5</v>
      </c>
      <c r="F2301" s="201">
        <f>E2301/5</f>
        <v>3.3</v>
      </c>
      <c r="G2301" s="203">
        <v>41176</v>
      </c>
    </row>
    <row r="2302" spans="2:9">
      <c r="B2302" s="268" t="s">
        <v>3997</v>
      </c>
      <c r="C2302" s="273" t="s">
        <v>402</v>
      </c>
      <c r="D2302" s="273" t="s">
        <v>1827</v>
      </c>
      <c r="E2302" s="201">
        <v>16.5</v>
      </c>
      <c r="F2302" s="201">
        <f>E2302/5</f>
        <v>3.3</v>
      </c>
      <c r="G2302" s="203">
        <v>41176</v>
      </c>
    </row>
    <row r="2303" spans="2:9">
      <c r="B2303" s="268" t="s">
        <v>3998</v>
      </c>
      <c r="C2303" s="273" t="s">
        <v>402</v>
      </c>
      <c r="D2303" s="273" t="s">
        <v>1827</v>
      </c>
      <c r="E2303" s="201">
        <v>16.5</v>
      </c>
      <c r="F2303" s="201">
        <f t="shared" ref="F2303" si="27">E2303/5</f>
        <v>3.3</v>
      </c>
      <c r="G2303" s="203">
        <v>41176</v>
      </c>
    </row>
    <row r="2304" spans="2:9">
      <c r="B2304" s="268" t="s">
        <v>4003</v>
      </c>
      <c r="C2304" s="273" t="s">
        <v>565</v>
      </c>
      <c r="D2304" s="273" t="s">
        <v>1828</v>
      </c>
      <c r="E2304" s="201">
        <v>100</v>
      </c>
      <c r="F2304" s="201">
        <v>30</v>
      </c>
      <c r="G2304" s="203">
        <v>44235</v>
      </c>
      <c r="I2304" s="199">
        <v>5200</v>
      </c>
    </row>
    <row r="2305" spans="2:9">
      <c r="B2305" s="268"/>
      <c r="C2305" s="273" t="s">
        <v>565</v>
      </c>
      <c r="D2305" s="273" t="s">
        <v>1828</v>
      </c>
      <c r="E2305" s="201">
        <v>267</v>
      </c>
      <c r="F2305" s="201">
        <v>100</v>
      </c>
      <c r="G2305" s="203">
        <v>44140</v>
      </c>
      <c r="I2305" s="199">
        <v>5000</v>
      </c>
    </row>
    <row r="2306" spans="2:9">
      <c r="B2306" s="268" t="s">
        <v>4004</v>
      </c>
      <c r="C2306" s="273" t="s">
        <v>565</v>
      </c>
      <c r="D2306" s="273" t="s">
        <v>1828</v>
      </c>
      <c r="E2306" s="201">
        <v>100</v>
      </c>
      <c r="F2306" s="201">
        <v>14</v>
      </c>
      <c r="G2306" s="203">
        <v>44235</v>
      </c>
      <c r="I2306" s="199">
        <v>5200</v>
      </c>
    </row>
    <row r="2307" spans="2:9">
      <c r="B2307" s="268"/>
      <c r="C2307" s="273" t="s">
        <v>565</v>
      </c>
      <c r="D2307" s="273" t="s">
        <v>1828</v>
      </c>
      <c r="E2307" s="201">
        <v>267</v>
      </c>
      <c r="F2307" s="201">
        <f>167/5</f>
        <v>33.4</v>
      </c>
      <c r="G2307" s="203">
        <v>44140</v>
      </c>
      <c r="I2307" s="199">
        <v>5000</v>
      </c>
    </row>
    <row r="2308" spans="2:9">
      <c r="B2308" s="268"/>
      <c r="C2308" s="273" t="s">
        <v>544</v>
      </c>
      <c r="D2308" s="273" t="s">
        <v>1828</v>
      </c>
      <c r="E2308" s="201">
        <v>102</v>
      </c>
      <c r="F2308" s="201">
        <v>16</v>
      </c>
      <c r="G2308" s="203">
        <v>43292</v>
      </c>
    </row>
    <row r="2309" spans="2:9">
      <c r="B2309" s="268" t="s">
        <v>4005</v>
      </c>
      <c r="C2309" s="273" t="s">
        <v>565</v>
      </c>
      <c r="D2309" s="273" t="s">
        <v>1828</v>
      </c>
      <c r="E2309" s="201">
        <v>100</v>
      </c>
      <c r="F2309" s="201">
        <v>14</v>
      </c>
      <c r="G2309" s="203">
        <v>44235</v>
      </c>
      <c r="I2309" s="199">
        <v>5200</v>
      </c>
    </row>
    <row r="2310" spans="2:9">
      <c r="B2310" s="268" t="s">
        <v>4006</v>
      </c>
      <c r="C2310" s="273" t="s">
        <v>565</v>
      </c>
      <c r="D2310" s="273" t="s">
        <v>1828</v>
      </c>
      <c r="E2310" s="201">
        <v>100</v>
      </c>
      <c r="F2310" s="201">
        <v>14</v>
      </c>
      <c r="G2310" s="203">
        <v>44235</v>
      </c>
      <c r="I2310" s="199">
        <v>5200</v>
      </c>
    </row>
    <row r="2311" spans="2:9">
      <c r="B2311" s="268"/>
      <c r="C2311" s="273" t="s">
        <v>565</v>
      </c>
      <c r="D2311" s="273" t="s">
        <v>1828</v>
      </c>
      <c r="E2311" s="201">
        <v>267</v>
      </c>
      <c r="F2311" s="201">
        <f>167/5</f>
        <v>33.4</v>
      </c>
      <c r="G2311" s="203">
        <v>44140</v>
      </c>
      <c r="I2311" s="199">
        <v>5000</v>
      </c>
    </row>
    <row r="2312" spans="2:9">
      <c r="B2312" s="268"/>
      <c r="C2312" s="273" t="s">
        <v>544</v>
      </c>
      <c r="D2312" s="273" t="s">
        <v>1828</v>
      </c>
      <c r="E2312" s="201">
        <v>102</v>
      </c>
      <c r="F2312" s="201">
        <v>8</v>
      </c>
      <c r="G2312" s="203">
        <v>43292</v>
      </c>
    </row>
    <row r="2313" spans="2:9">
      <c r="B2313" s="268"/>
      <c r="C2313" s="273" t="s">
        <v>544</v>
      </c>
      <c r="D2313" s="273" t="s">
        <v>1828</v>
      </c>
      <c r="E2313" s="201">
        <v>112</v>
      </c>
      <c r="F2313" s="201">
        <v>20</v>
      </c>
      <c r="G2313" s="203">
        <v>43115</v>
      </c>
    </row>
    <row r="2314" spans="2:9">
      <c r="B2314" s="268" t="s">
        <v>4008</v>
      </c>
      <c r="C2314" s="273" t="s">
        <v>565</v>
      </c>
      <c r="D2314" s="273" t="s">
        <v>1828</v>
      </c>
      <c r="E2314" s="201">
        <v>267</v>
      </c>
      <c r="F2314" s="201">
        <f>167/5</f>
        <v>33.4</v>
      </c>
      <c r="G2314" s="203">
        <v>44140</v>
      </c>
      <c r="I2314" s="199">
        <v>5000</v>
      </c>
    </row>
    <row r="2315" spans="2:9">
      <c r="B2315" s="268" t="s">
        <v>4013</v>
      </c>
      <c r="C2315" s="273" t="s">
        <v>402</v>
      </c>
      <c r="D2315" s="273" t="s">
        <v>1828</v>
      </c>
      <c r="E2315" s="201">
        <v>462</v>
      </c>
      <c r="F2315" s="201">
        <f>162/2</f>
        <v>81</v>
      </c>
      <c r="G2315" s="203">
        <v>43886</v>
      </c>
      <c r="I2315" s="199">
        <v>2500</v>
      </c>
    </row>
    <row r="2316" spans="2:9">
      <c r="C2316" s="273" t="s">
        <v>402</v>
      </c>
      <c r="D2316" s="273" t="s">
        <v>1828</v>
      </c>
      <c r="E2316" s="201">
        <v>50</v>
      </c>
      <c r="F2316" s="201">
        <v>50</v>
      </c>
      <c r="G2316" s="203">
        <v>43566</v>
      </c>
    </row>
    <row r="2317" spans="2:9">
      <c r="B2317" s="268" t="s">
        <v>4015</v>
      </c>
      <c r="C2317" s="273" t="s">
        <v>544</v>
      </c>
      <c r="D2317" s="273" t="s">
        <v>1828</v>
      </c>
      <c r="E2317" s="201">
        <v>102</v>
      </c>
      <c r="F2317" s="201">
        <v>8</v>
      </c>
      <c r="G2317" s="203">
        <v>43292</v>
      </c>
    </row>
    <row r="2318" spans="2:9">
      <c r="B2318" s="268" t="s">
        <v>4016</v>
      </c>
      <c r="C2318" s="273" t="s">
        <v>544</v>
      </c>
      <c r="D2318" s="273" t="s">
        <v>1828</v>
      </c>
      <c r="E2318" s="201">
        <v>102</v>
      </c>
      <c r="F2318" s="201">
        <v>8</v>
      </c>
      <c r="G2318" s="203">
        <v>43292</v>
      </c>
    </row>
    <row r="2319" spans="2:9">
      <c r="B2319" s="268" t="s">
        <v>4017</v>
      </c>
      <c r="C2319" s="273" t="s">
        <v>544</v>
      </c>
      <c r="D2319" s="273" t="s">
        <v>1828</v>
      </c>
      <c r="E2319" s="201">
        <v>102</v>
      </c>
      <c r="F2319" s="201">
        <v>8</v>
      </c>
      <c r="G2319" s="203">
        <v>43292</v>
      </c>
    </row>
    <row r="2320" spans="2:9">
      <c r="B2320" s="268"/>
      <c r="C2320" s="273" t="s">
        <v>544</v>
      </c>
      <c r="D2320" s="273" t="s">
        <v>1828</v>
      </c>
      <c r="E2320" s="201">
        <v>112</v>
      </c>
      <c r="F2320" s="201">
        <f>72/8</f>
        <v>9</v>
      </c>
      <c r="G2320" s="203">
        <v>43115</v>
      </c>
    </row>
    <row r="2321" spans="2:9">
      <c r="B2321" s="268" t="s">
        <v>4022</v>
      </c>
      <c r="C2321" s="273" t="s">
        <v>544</v>
      </c>
      <c r="D2321" s="273" t="s">
        <v>1828</v>
      </c>
      <c r="E2321" s="201">
        <v>112</v>
      </c>
      <c r="F2321" s="201">
        <v>20</v>
      </c>
      <c r="G2321" s="203">
        <v>43115</v>
      </c>
    </row>
    <row r="2322" spans="2:9">
      <c r="B2322" s="268" t="s">
        <v>4018</v>
      </c>
      <c r="C2322" s="273" t="s">
        <v>544</v>
      </c>
      <c r="D2322" s="273" t="s">
        <v>1828</v>
      </c>
      <c r="E2322" s="201">
        <v>112</v>
      </c>
      <c r="F2322" s="201">
        <f>72/8</f>
        <v>9</v>
      </c>
      <c r="G2322" s="203">
        <v>43115</v>
      </c>
    </row>
    <row r="2323" spans="2:9">
      <c r="B2323" s="268" t="s">
        <v>4019</v>
      </c>
      <c r="C2323" s="273" t="s">
        <v>544</v>
      </c>
      <c r="D2323" s="273" t="s">
        <v>1828</v>
      </c>
      <c r="E2323" s="201">
        <v>112</v>
      </c>
      <c r="F2323" s="201">
        <f>72/8</f>
        <v>9</v>
      </c>
      <c r="G2323" s="203">
        <v>43115</v>
      </c>
    </row>
    <row r="2324" spans="2:9">
      <c r="B2324" s="268" t="s">
        <v>4020</v>
      </c>
      <c r="C2324" s="273" t="s">
        <v>544</v>
      </c>
      <c r="D2324" s="273" t="s">
        <v>1828</v>
      </c>
      <c r="E2324" s="201">
        <v>112</v>
      </c>
      <c r="F2324" s="201">
        <f>72/8</f>
        <v>9</v>
      </c>
      <c r="G2324" s="203">
        <v>43115</v>
      </c>
    </row>
    <row r="2325" spans="2:9">
      <c r="B2325" s="268" t="s">
        <v>4021</v>
      </c>
      <c r="C2325" s="273" t="s">
        <v>544</v>
      </c>
      <c r="D2325" s="273" t="s">
        <v>1828</v>
      </c>
      <c r="E2325" s="201">
        <v>112</v>
      </c>
      <c r="F2325" s="201">
        <f>72/8</f>
        <v>9</v>
      </c>
      <c r="G2325" s="203">
        <v>43115</v>
      </c>
    </row>
    <row r="2326" spans="2:9">
      <c r="B2326" s="268" t="s">
        <v>4027</v>
      </c>
      <c r="C2326" s="273" t="s">
        <v>813</v>
      </c>
      <c r="D2326" s="273" t="s">
        <v>1829</v>
      </c>
      <c r="E2326" s="201">
        <v>200</v>
      </c>
      <c r="F2326" s="201">
        <v>50</v>
      </c>
      <c r="G2326" s="203">
        <v>44907</v>
      </c>
      <c r="I2326" s="199">
        <v>3500</v>
      </c>
    </row>
  </sheetData>
  <sortState xmlns:xlrd2="http://schemas.microsoft.com/office/spreadsheetml/2017/richdata2" ref="B1155:G1388">
    <sortCondition descending="1" ref="F1155:F1388"/>
  </sortState>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C89C9-C58C-431A-80D5-5C7D568EC13B}">
  <dimension ref="A1:AD1268"/>
  <sheetViews>
    <sheetView zoomScale="145" zoomScaleNormal="145" workbookViewId="0">
      <pane xSplit="2" ySplit="2" topLeftCell="K327" activePane="bottomRight" state="frozen"/>
      <selection pane="topRight" activeCell="C1" sqref="C1"/>
      <selection pane="bottomLeft" activeCell="A3" sqref="A3"/>
      <selection pane="bottomRight" activeCell="R336" sqref="R336"/>
    </sheetView>
  </sheetViews>
  <sheetFormatPr baseColWidth="10" defaultColWidth="9.1640625" defaultRowHeight="13"/>
  <cols>
    <col min="1" max="1" width="5" style="251" bestFit="1" customWidth="1"/>
    <col min="2" max="2" width="25.1640625" style="251" customWidth="1"/>
    <col min="3" max="3" width="10.83203125" style="255" customWidth="1"/>
    <col min="4" max="4" width="10.33203125" style="256" customWidth="1"/>
    <col min="5" max="5" width="11" style="251" customWidth="1"/>
    <col min="6" max="6" width="9.1640625" style="256"/>
    <col min="7" max="7" width="11.33203125" style="253" customWidth="1"/>
    <col min="8" max="8" width="23.5" style="251" customWidth="1"/>
    <col min="9" max="9" width="20.6640625" style="251" customWidth="1"/>
    <col min="10" max="10" width="10.1640625" style="251" bestFit="1" customWidth="1"/>
    <col min="11" max="11" width="11.5" style="251" customWidth="1"/>
    <col min="12" max="12" width="11.6640625" style="251" customWidth="1"/>
    <col min="13" max="13" width="14.83203125" style="251" customWidth="1"/>
    <col min="14" max="14" width="9.1640625" style="251"/>
    <col min="15" max="26" width="9.1640625" style="252"/>
    <col min="27" max="27" width="16" style="251" customWidth="1"/>
    <col min="28" max="28" width="9.1640625" style="251"/>
    <col min="29" max="29" width="10.33203125" style="251" customWidth="1"/>
    <col min="30" max="16384" width="9.1640625" style="251"/>
  </cols>
  <sheetData>
    <row r="1" spans="1:30">
      <c r="A1" s="5" t="s">
        <v>146</v>
      </c>
    </row>
    <row r="2" spans="1:30">
      <c r="B2" s="251" t="s">
        <v>0</v>
      </c>
      <c r="C2" s="255" t="s">
        <v>1</v>
      </c>
      <c r="D2" s="256" t="s">
        <v>3</v>
      </c>
      <c r="E2" s="251" t="s">
        <v>411</v>
      </c>
      <c r="F2" s="256" t="s">
        <v>412</v>
      </c>
      <c r="G2" s="253" t="s">
        <v>753</v>
      </c>
      <c r="H2" s="251" t="s">
        <v>413</v>
      </c>
      <c r="I2" s="251" t="s">
        <v>414</v>
      </c>
      <c r="J2" s="251" t="s">
        <v>612</v>
      </c>
      <c r="K2" s="251" t="s">
        <v>641</v>
      </c>
      <c r="L2" s="253" t="s">
        <v>222</v>
      </c>
      <c r="M2" s="251" t="s">
        <v>429</v>
      </c>
      <c r="N2" s="251" t="s">
        <v>248</v>
      </c>
      <c r="O2" s="252" t="s">
        <v>600</v>
      </c>
      <c r="P2" s="252" t="s">
        <v>412</v>
      </c>
      <c r="Q2" s="252" t="s">
        <v>248</v>
      </c>
      <c r="R2" s="252" t="s">
        <v>600</v>
      </c>
      <c r="S2" s="252" t="s">
        <v>412</v>
      </c>
      <c r="T2" s="252" t="s">
        <v>248</v>
      </c>
      <c r="U2" s="252" t="s">
        <v>600</v>
      </c>
      <c r="V2" s="252" t="s">
        <v>412</v>
      </c>
      <c r="W2" s="252" t="s">
        <v>248</v>
      </c>
      <c r="X2" s="252" t="s">
        <v>600</v>
      </c>
      <c r="Y2" s="252" t="s">
        <v>412</v>
      </c>
      <c r="Z2" s="252" t="s">
        <v>248</v>
      </c>
      <c r="AA2" s="251" t="s">
        <v>820</v>
      </c>
      <c r="AB2" s="268" t="s">
        <v>3798</v>
      </c>
    </row>
    <row r="3" spans="1:30" ht="14">
      <c r="A3" s="251">
        <v>3</v>
      </c>
      <c r="B3" s="251" t="s">
        <v>7</v>
      </c>
      <c r="C3" s="255" t="s">
        <v>8</v>
      </c>
      <c r="D3" s="256">
        <v>2000000</v>
      </c>
      <c r="E3" s="251" t="s">
        <v>496</v>
      </c>
      <c r="F3" s="256" t="s">
        <v>496</v>
      </c>
      <c r="G3" s="253" t="s">
        <v>496</v>
      </c>
      <c r="H3" s="251" t="s">
        <v>775</v>
      </c>
      <c r="I3" s="251" t="s">
        <v>736</v>
      </c>
      <c r="J3" s="251" t="s">
        <v>614</v>
      </c>
      <c r="K3" s="251" t="s">
        <v>636</v>
      </c>
      <c r="L3" s="251">
        <v>1975</v>
      </c>
      <c r="N3" s="251" t="s">
        <v>496</v>
      </c>
      <c r="O3" s="252" t="s">
        <v>496</v>
      </c>
      <c r="P3" s="252" t="s">
        <v>496</v>
      </c>
      <c r="Q3" s="252" t="s">
        <v>496</v>
      </c>
      <c r="R3" s="252" t="s">
        <v>496</v>
      </c>
      <c r="S3" s="252" t="s">
        <v>496</v>
      </c>
      <c r="T3" s="252" t="s">
        <v>496</v>
      </c>
      <c r="U3" s="252" t="s">
        <v>496</v>
      </c>
      <c r="V3" s="252" t="s">
        <v>496</v>
      </c>
      <c r="W3" s="252" t="s">
        <v>496</v>
      </c>
      <c r="X3" s="252" t="s">
        <v>496</v>
      </c>
      <c r="Y3" s="252" t="s">
        <v>496</v>
      </c>
      <c r="Z3" s="252" t="s">
        <v>496</v>
      </c>
      <c r="AA3" s="251" t="s">
        <v>843</v>
      </c>
      <c r="AC3" s="257" t="s">
        <v>3249</v>
      </c>
      <c r="AD3" s="251">
        <v>14000</v>
      </c>
    </row>
    <row r="4" spans="1:30" ht="14">
      <c r="A4" s="251">
        <v>4</v>
      </c>
      <c r="B4" s="251" t="s">
        <v>9</v>
      </c>
      <c r="C4" s="255" t="s">
        <v>10</v>
      </c>
      <c r="D4" s="256">
        <v>1000000</v>
      </c>
      <c r="E4" s="251" t="s">
        <v>496</v>
      </c>
      <c r="F4" s="256" t="s">
        <v>496</v>
      </c>
      <c r="G4" s="253" t="s">
        <v>496</v>
      </c>
      <c r="H4" s="251" t="s">
        <v>776</v>
      </c>
      <c r="I4" s="251" t="s">
        <v>737</v>
      </c>
      <c r="J4" s="251" t="s">
        <v>613</v>
      </c>
      <c r="K4" s="251" t="s">
        <v>459</v>
      </c>
      <c r="L4" s="251">
        <v>1998</v>
      </c>
      <c r="N4" s="251" t="s">
        <v>496</v>
      </c>
      <c r="O4" s="252" t="s">
        <v>496</v>
      </c>
      <c r="P4" s="252" t="s">
        <v>496</v>
      </c>
      <c r="Q4" s="252" t="s">
        <v>496</v>
      </c>
      <c r="R4" s="252" t="s">
        <v>496</v>
      </c>
      <c r="S4" s="252" t="s">
        <v>496</v>
      </c>
      <c r="T4" s="252" t="s">
        <v>496</v>
      </c>
      <c r="U4" s="252" t="s">
        <v>496</v>
      </c>
      <c r="V4" s="252" t="s">
        <v>496</v>
      </c>
      <c r="W4" s="252" t="s">
        <v>496</v>
      </c>
      <c r="X4" s="252" t="s">
        <v>496</v>
      </c>
      <c r="Y4" s="252" t="s">
        <v>496</v>
      </c>
      <c r="Z4" s="252" t="s">
        <v>496</v>
      </c>
      <c r="AA4" s="251" t="s">
        <v>837</v>
      </c>
      <c r="AC4" s="257" t="s">
        <v>3250</v>
      </c>
      <c r="AD4" s="251">
        <v>600</v>
      </c>
    </row>
    <row r="5" spans="1:30">
      <c r="A5" s="251">
        <v>6</v>
      </c>
      <c r="B5" s="251" t="s">
        <v>427</v>
      </c>
      <c r="C5" s="255" t="s">
        <v>494</v>
      </c>
      <c r="D5" s="256">
        <v>1000000</v>
      </c>
      <c r="E5" s="251" t="s">
        <v>496</v>
      </c>
      <c r="F5" s="256" t="s">
        <v>496</v>
      </c>
      <c r="G5" s="253" t="s">
        <v>496</v>
      </c>
      <c r="H5" s="251" t="s">
        <v>492</v>
      </c>
      <c r="J5" s="251" t="s">
        <v>613</v>
      </c>
      <c r="K5" s="251" t="s">
        <v>645</v>
      </c>
      <c r="L5" s="251">
        <v>2003</v>
      </c>
      <c r="N5" s="251" t="s">
        <v>496</v>
      </c>
      <c r="O5" s="252" t="s">
        <v>496</v>
      </c>
      <c r="P5" s="252" t="s">
        <v>496</v>
      </c>
      <c r="Q5" s="252" t="s">
        <v>496</v>
      </c>
      <c r="R5" s="252" t="s">
        <v>496</v>
      </c>
      <c r="S5" s="252" t="s">
        <v>496</v>
      </c>
      <c r="T5" s="252" t="s">
        <v>496</v>
      </c>
      <c r="U5" s="252" t="s">
        <v>496</v>
      </c>
      <c r="V5" s="252" t="s">
        <v>496</v>
      </c>
      <c r="W5" s="252" t="s">
        <v>496</v>
      </c>
      <c r="X5" s="252" t="s">
        <v>496</v>
      </c>
      <c r="Y5" s="252" t="s">
        <v>496</v>
      </c>
      <c r="Z5" s="252" t="s">
        <v>496</v>
      </c>
      <c r="AA5" s="251" t="s">
        <v>842</v>
      </c>
      <c r="AC5" s="251" t="s">
        <v>3251</v>
      </c>
      <c r="AD5" s="251">
        <v>250</v>
      </c>
    </row>
    <row r="6" spans="1:30">
      <c r="B6" s="251" t="s">
        <v>478</v>
      </c>
      <c r="C6" s="255" t="s">
        <v>12</v>
      </c>
      <c r="D6" s="256">
        <v>1000000</v>
      </c>
      <c r="E6" s="251" t="s">
        <v>496</v>
      </c>
      <c r="F6" s="256" t="s">
        <v>496</v>
      </c>
      <c r="G6" s="253" t="s">
        <v>496</v>
      </c>
      <c r="H6" s="251" t="s">
        <v>510</v>
      </c>
      <c r="J6" s="251" t="s">
        <v>614</v>
      </c>
      <c r="K6" s="251" t="s">
        <v>636</v>
      </c>
      <c r="L6" s="251">
        <v>2006</v>
      </c>
      <c r="N6" s="251" t="s">
        <v>496</v>
      </c>
      <c r="O6" s="252" t="s">
        <v>496</v>
      </c>
      <c r="P6" s="252" t="s">
        <v>496</v>
      </c>
      <c r="Q6" s="252" t="s">
        <v>496</v>
      </c>
      <c r="R6" s="252" t="s">
        <v>496</v>
      </c>
      <c r="S6" s="252" t="s">
        <v>496</v>
      </c>
      <c r="T6" s="252" t="s">
        <v>496</v>
      </c>
      <c r="U6" s="252" t="s">
        <v>496</v>
      </c>
      <c r="V6" s="252" t="s">
        <v>496</v>
      </c>
      <c r="W6" s="252" t="s">
        <v>496</v>
      </c>
      <c r="X6" s="252" t="s">
        <v>496</v>
      </c>
      <c r="Y6" s="252" t="s">
        <v>496</v>
      </c>
      <c r="Z6" s="252" t="s">
        <v>496</v>
      </c>
      <c r="AA6" s="251" t="s">
        <v>841</v>
      </c>
    </row>
    <row r="7" spans="1:30">
      <c r="A7" s="251">
        <v>5</v>
      </c>
      <c r="B7" s="251" t="s">
        <v>602</v>
      </c>
      <c r="C7" s="255" t="s">
        <v>603</v>
      </c>
      <c r="D7" s="256">
        <v>1000000</v>
      </c>
      <c r="E7" s="251" t="s">
        <v>496</v>
      </c>
      <c r="F7" s="256" t="s">
        <v>496</v>
      </c>
      <c r="G7" s="253" t="s">
        <v>496</v>
      </c>
      <c r="J7" s="251" t="s">
        <v>614</v>
      </c>
      <c r="K7" s="251" t="s">
        <v>646</v>
      </c>
      <c r="L7" s="251">
        <v>1993</v>
      </c>
      <c r="N7" s="251" t="s">
        <v>496</v>
      </c>
      <c r="O7" s="252" t="s">
        <v>496</v>
      </c>
      <c r="P7" s="252" t="s">
        <v>496</v>
      </c>
      <c r="Q7" s="252" t="s">
        <v>496</v>
      </c>
      <c r="R7" s="252" t="s">
        <v>496</v>
      </c>
      <c r="S7" s="252" t="s">
        <v>496</v>
      </c>
      <c r="T7" s="252" t="s">
        <v>496</v>
      </c>
      <c r="U7" s="252" t="s">
        <v>496</v>
      </c>
      <c r="V7" s="252" t="s">
        <v>496</v>
      </c>
      <c r="W7" s="252" t="s">
        <v>496</v>
      </c>
      <c r="X7" s="252" t="s">
        <v>496</v>
      </c>
      <c r="Y7" s="252" t="s">
        <v>496</v>
      </c>
      <c r="Z7" s="252" t="s">
        <v>496</v>
      </c>
      <c r="AA7" s="251" t="s">
        <v>840</v>
      </c>
    </row>
    <row r="8" spans="1:30">
      <c r="A8" s="251">
        <v>2</v>
      </c>
      <c r="B8" s="251" t="s">
        <v>13</v>
      </c>
      <c r="C8" s="255" t="s">
        <v>497</v>
      </c>
      <c r="D8" s="256">
        <v>500000</v>
      </c>
      <c r="E8" s="251" t="s">
        <v>496</v>
      </c>
      <c r="F8" s="256" t="s">
        <v>496</v>
      </c>
      <c r="G8" s="253" t="s">
        <v>496</v>
      </c>
      <c r="H8" s="251" t="s">
        <v>498</v>
      </c>
      <c r="I8" s="251" t="s">
        <v>499</v>
      </c>
      <c r="J8" s="251" t="s">
        <v>613</v>
      </c>
      <c r="K8" s="251" t="s">
        <v>619</v>
      </c>
      <c r="L8" s="251">
        <v>2004</v>
      </c>
      <c r="N8" s="251" t="s">
        <v>496</v>
      </c>
      <c r="O8" s="252" t="s">
        <v>496</v>
      </c>
      <c r="P8" s="252" t="s">
        <v>496</v>
      </c>
      <c r="Q8" s="252" t="s">
        <v>496</v>
      </c>
      <c r="R8" s="252" t="s">
        <v>496</v>
      </c>
      <c r="S8" s="252" t="s">
        <v>496</v>
      </c>
      <c r="T8" s="252" t="s">
        <v>496</v>
      </c>
      <c r="U8" s="252" t="s">
        <v>496</v>
      </c>
      <c r="V8" s="252" t="s">
        <v>496</v>
      </c>
      <c r="W8" s="252" t="s">
        <v>496</v>
      </c>
      <c r="X8" s="252" t="s">
        <v>496</v>
      </c>
      <c r="Y8" s="252" t="s">
        <v>496</v>
      </c>
      <c r="Z8" s="252" t="s">
        <v>496</v>
      </c>
      <c r="AA8" s="251" t="s">
        <v>839</v>
      </c>
    </row>
    <row r="9" spans="1:30">
      <c r="A9" s="251">
        <v>1</v>
      </c>
      <c r="B9" s="64" t="s">
        <v>401</v>
      </c>
      <c r="C9" s="190" t="s">
        <v>256</v>
      </c>
      <c r="D9" s="188">
        <v>35000</v>
      </c>
      <c r="E9" s="64"/>
      <c r="F9" s="256">
        <v>10000</v>
      </c>
      <c r="H9" s="251" t="s">
        <v>500</v>
      </c>
      <c r="I9" s="251" t="s">
        <v>3073</v>
      </c>
      <c r="J9" s="251" t="s">
        <v>615</v>
      </c>
      <c r="K9" s="251" t="s">
        <v>642</v>
      </c>
      <c r="L9" s="251">
        <v>2015</v>
      </c>
      <c r="AA9" s="251" t="s">
        <v>834</v>
      </c>
    </row>
    <row r="10" spans="1:30">
      <c r="B10" s="251" t="s">
        <v>426</v>
      </c>
      <c r="C10" s="255" t="s">
        <v>256</v>
      </c>
      <c r="D10" s="256">
        <v>25000</v>
      </c>
      <c r="F10" s="256">
        <v>1600</v>
      </c>
      <c r="H10" s="251" t="s">
        <v>1812</v>
      </c>
      <c r="J10" s="251" t="s">
        <v>614</v>
      </c>
      <c r="K10" s="251" t="s">
        <v>1813</v>
      </c>
      <c r="L10" s="251">
        <v>2013</v>
      </c>
      <c r="N10" s="251" t="s">
        <v>1814</v>
      </c>
      <c r="AA10" s="251" t="s">
        <v>834</v>
      </c>
    </row>
    <row r="11" spans="1:30">
      <c r="A11" s="251">
        <v>6</v>
      </c>
      <c r="B11" s="251" t="s">
        <v>425</v>
      </c>
      <c r="C11" s="255" t="s">
        <v>256</v>
      </c>
      <c r="D11" s="256">
        <v>21000</v>
      </c>
      <c r="F11" s="256" t="s">
        <v>2783</v>
      </c>
      <c r="H11" s="251" t="s">
        <v>492</v>
      </c>
      <c r="J11" s="251" t="s">
        <v>613</v>
      </c>
      <c r="K11" s="251" t="s">
        <v>645</v>
      </c>
      <c r="L11" s="251">
        <v>2013</v>
      </c>
      <c r="AA11" s="251" t="s">
        <v>834</v>
      </c>
    </row>
    <row r="12" spans="1:30">
      <c r="A12" s="251">
        <v>6</v>
      </c>
      <c r="B12" s="251" t="s">
        <v>676</v>
      </c>
      <c r="C12" s="255" t="s">
        <v>256</v>
      </c>
      <c r="D12" s="256">
        <v>30000</v>
      </c>
      <c r="E12" s="251" t="s">
        <v>402</v>
      </c>
      <c r="F12" s="256">
        <v>2500</v>
      </c>
      <c r="G12" s="254">
        <v>44363</v>
      </c>
      <c r="H12" s="251" t="s">
        <v>492</v>
      </c>
      <c r="I12" s="251" t="s">
        <v>950</v>
      </c>
      <c r="J12" s="251" t="s">
        <v>613</v>
      </c>
      <c r="K12" s="251" t="s">
        <v>728</v>
      </c>
      <c r="L12" s="251">
        <v>2009</v>
      </c>
      <c r="M12" s="251" t="s">
        <v>948</v>
      </c>
      <c r="N12" s="251" t="s">
        <v>938</v>
      </c>
      <c r="O12" s="252" t="s">
        <v>544</v>
      </c>
      <c r="P12" s="252">
        <v>3000</v>
      </c>
      <c r="Q12" s="252" t="s">
        <v>949</v>
      </c>
      <c r="R12" s="252" t="s">
        <v>496</v>
      </c>
      <c r="S12" s="252" t="s">
        <v>496</v>
      </c>
      <c r="T12" s="252" t="s">
        <v>496</v>
      </c>
      <c r="U12" s="252" t="s">
        <v>496</v>
      </c>
      <c r="V12" s="252" t="s">
        <v>496</v>
      </c>
      <c r="W12" s="252" t="s">
        <v>496</v>
      </c>
      <c r="X12" s="252" t="s">
        <v>496</v>
      </c>
      <c r="Y12" s="252" t="s">
        <v>496</v>
      </c>
      <c r="Z12" s="252" t="s">
        <v>496</v>
      </c>
      <c r="AA12" s="251" t="s">
        <v>837</v>
      </c>
    </row>
    <row r="13" spans="1:30">
      <c r="A13" s="251">
        <v>7</v>
      </c>
      <c r="B13" s="251" t="s">
        <v>519</v>
      </c>
      <c r="C13" s="255" t="s">
        <v>520</v>
      </c>
      <c r="D13" s="256">
        <v>20000</v>
      </c>
      <c r="E13" s="251" t="s">
        <v>811</v>
      </c>
      <c r="F13" s="256" t="s">
        <v>496</v>
      </c>
      <c r="G13" s="254">
        <v>39591</v>
      </c>
      <c r="H13" s="251" t="s">
        <v>904</v>
      </c>
      <c r="I13" s="251" t="s">
        <v>905</v>
      </c>
      <c r="J13" s="251" t="s">
        <v>613</v>
      </c>
      <c r="K13" s="251" t="s">
        <v>644</v>
      </c>
      <c r="L13" s="251">
        <v>1999</v>
      </c>
      <c r="M13" s="251" t="s">
        <v>606</v>
      </c>
      <c r="N13" s="251" t="s">
        <v>811</v>
      </c>
      <c r="O13" s="252" t="s">
        <v>496</v>
      </c>
      <c r="P13" s="252" t="s">
        <v>496</v>
      </c>
      <c r="Q13" s="252" t="s">
        <v>496</v>
      </c>
      <c r="R13" s="252" t="s">
        <v>496</v>
      </c>
      <c r="S13" s="252" t="s">
        <v>496</v>
      </c>
      <c r="T13" s="252" t="s">
        <v>496</v>
      </c>
      <c r="U13" s="252" t="s">
        <v>496</v>
      </c>
      <c r="V13" s="252" t="s">
        <v>496</v>
      </c>
      <c r="W13" s="252" t="s">
        <v>496</v>
      </c>
      <c r="X13" s="252" t="s">
        <v>496</v>
      </c>
      <c r="Y13" s="252" t="s">
        <v>496</v>
      </c>
      <c r="Z13" s="252" t="s">
        <v>496</v>
      </c>
      <c r="AA13" s="251" t="s">
        <v>836</v>
      </c>
    </row>
    <row r="14" spans="1:30">
      <c r="A14" s="251">
        <v>8</v>
      </c>
      <c r="B14" s="251" t="s">
        <v>530</v>
      </c>
      <c r="C14" s="255" t="s">
        <v>529</v>
      </c>
      <c r="D14" s="256">
        <v>11000</v>
      </c>
      <c r="E14" s="251" t="s">
        <v>811</v>
      </c>
      <c r="F14" s="256">
        <v>740</v>
      </c>
      <c r="G14" s="254">
        <v>44560</v>
      </c>
      <c r="H14" s="251" t="s">
        <v>643</v>
      </c>
      <c r="I14" s="251" t="s">
        <v>889</v>
      </c>
      <c r="J14" s="251" t="s">
        <v>614</v>
      </c>
      <c r="K14" s="251" t="s">
        <v>643</v>
      </c>
      <c r="L14" s="258">
        <v>41913</v>
      </c>
      <c r="M14" s="251" t="s">
        <v>606</v>
      </c>
      <c r="N14" s="251" t="s">
        <v>811</v>
      </c>
      <c r="O14" s="252" t="s">
        <v>884</v>
      </c>
      <c r="P14" s="252">
        <v>1000</v>
      </c>
      <c r="Q14" s="252" t="s">
        <v>883</v>
      </c>
      <c r="R14" s="252" t="s">
        <v>885</v>
      </c>
      <c r="S14" s="252">
        <v>320</v>
      </c>
      <c r="T14" s="252" t="s">
        <v>886</v>
      </c>
      <c r="U14" s="252" t="s">
        <v>565</v>
      </c>
      <c r="V14" s="252">
        <v>600</v>
      </c>
      <c r="W14" s="252" t="s">
        <v>887</v>
      </c>
      <c r="X14" s="252" t="s">
        <v>402</v>
      </c>
      <c r="Y14" s="252">
        <v>410</v>
      </c>
      <c r="Z14" s="252" t="s">
        <v>888</v>
      </c>
      <c r="AA14" s="251" t="s">
        <v>835</v>
      </c>
    </row>
    <row r="15" spans="1:30">
      <c r="B15" s="251" t="s">
        <v>1828</v>
      </c>
      <c r="C15" s="269" t="s">
        <v>256</v>
      </c>
      <c r="D15" s="256">
        <v>8500</v>
      </c>
      <c r="E15" s="268" t="s">
        <v>755</v>
      </c>
      <c r="F15" s="270" t="s">
        <v>496</v>
      </c>
      <c r="G15" s="254">
        <v>44626</v>
      </c>
      <c r="H15" s="251" t="s">
        <v>1826</v>
      </c>
      <c r="I15" s="268" t="s">
        <v>4001</v>
      </c>
      <c r="L15" s="251">
        <v>2016</v>
      </c>
      <c r="N15" s="268" t="s">
        <v>496</v>
      </c>
      <c r="O15" s="272" t="s">
        <v>565</v>
      </c>
      <c r="P15" s="272" t="s">
        <v>4010</v>
      </c>
      <c r="Q15" s="272" t="s">
        <v>4002</v>
      </c>
      <c r="R15" s="272" t="s">
        <v>565</v>
      </c>
      <c r="S15" s="272" t="s">
        <v>4009</v>
      </c>
      <c r="T15" s="272" t="s">
        <v>4007</v>
      </c>
      <c r="U15" s="272" t="s">
        <v>402</v>
      </c>
      <c r="V15" s="272" t="s">
        <v>4011</v>
      </c>
      <c r="W15" s="272" t="s">
        <v>4012</v>
      </c>
      <c r="X15" s="272" t="s">
        <v>544</v>
      </c>
      <c r="Y15" s="252">
        <v>102</v>
      </c>
      <c r="Z15" s="272" t="s">
        <v>4014</v>
      </c>
      <c r="AA15" s="268" t="s">
        <v>3999</v>
      </c>
      <c r="AB15" s="5" t="s">
        <v>4000</v>
      </c>
    </row>
    <row r="16" spans="1:30">
      <c r="B16" s="251" t="s">
        <v>1818</v>
      </c>
      <c r="C16" s="269" t="s">
        <v>256</v>
      </c>
      <c r="D16" s="270">
        <v>8000</v>
      </c>
      <c r="E16" s="268" t="s">
        <v>755</v>
      </c>
      <c r="F16" s="256">
        <v>600</v>
      </c>
      <c r="G16" s="254">
        <v>44502</v>
      </c>
      <c r="H16" s="268" t="s">
        <v>3851</v>
      </c>
      <c r="I16" s="268" t="s">
        <v>3850</v>
      </c>
      <c r="J16" s="268" t="s">
        <v>614</v>
      </c>
      <c r="K16" s="268" t="s">
        <v>728</v>
      </c>
      <c r="L16" s="251">
        <v>2016</v>
      </c>
      <c r="M16" s="268" t="s">
        <v>3862</v>
      </c>
      <c r="N16" s="268" t="s">
        <v>3852</v>
      </c>
      <c r="O16" s="272" t="s">
        <v>3856</v>
      </c>
      <c r="P16" s="252">
        <v>500</v>
      </c>
      <c r="Q16" s="272" t="s">
        <v>3857</v>
      </c>
      <c r="R16" s="272" t="s">
        <v>3859</v>
      </c>
      <c r="S16" s="252">
        <v>940</v>
      </c>
      <c r="T16" s="272" t="s">
        <v>3860</v>
      </c>
      <c r="U16" s="272" t="s">
        <v>544</v>
      </c>
      <c r="V16" s="252">
        <v>92</v>
      </c>
      <c r="W16" s="272" t="s">
        <v>3861</v>
      </c>
      <c r="X16" s="272" t="s">
        <v>544</v>
      </c>
      <c r="Y16" s="252">
        <v>1</v>
      </c>
      <c r="Z16" s="272" t="s">
        <v>1028</v>
      </c>
      <c r="AA16" s="268" t="s">
        <v>837</v>
      </c>
      <c r="AB16" s="5" t="s">
        <v>3849</v>
      </c>
    </row>
    <row r="17" spans="1:28">
      <c r="A17" s="251">
        <v>9</v>
      </c>
      <c r="B17" s="251" t="s">
        <v>677</v>
      </c>
      <c r="C17" s="255" t="s">
        <v>256</v>
      </c>
      <c r="D17" s="256">
        <v>7000</v>
      </c>
      <c r="E17" s="251" t="s">
        <v>738</v>
      </c>
      <c r="F17" s="256">
        <v>325</v>
      </c>
      <c r="G17" s="254">
        <v>44299</v>
      </c>
      <c r="H17" s="251" t="s">
        <v>739</v>
      </c>
      <c r="I17" s="251" t="s">
        <v>754</v>
      </c>
      <c r="J17" s="251" t="s">
        <v>615</v>
      </c>
      <c r="K17" s="251" t="s">
        <v>636</v>
      </c>
      <c r="L17" s="258">
        <v>42522</v>
      </c>
      <c r="M17" s="251" t="s">
        <v>757</v>
      </c>
      <c r="N17" s="251" t="s">
        <v>794</v>
      </c>
      <c r="O17" s="252" t="s">
        <v>758</v>
      </c>
      <c r="P17" s="252">
        <v>155</v>
      </c>
      <c r="Q17" s="252" t="s">
        <v>756</v>
      </c>
      <c r="R17" s="252" t="s">
        <v>565</v>
      </c>
      <c r="S17" s="252">
        <v>100</v>
      </c>
      <c r="T17" s="252" t="s">
        <v>760</v>
      </c>
      <c r="U17" s="252" t="s">
        <v>402</v>
      </c>
      <c r="V17" s="252">
        <v>18</v>
      </c>
      <c r="W17" s="252" t="s">
        <v>766</v>
      </c>
      <c r="X17" s="252" t="s">
        <v>544</v>
      </c>
      <c r="Y17" s="252">
        <v>4.5</v>
      </c>
      <c r="Z17" s="252" t="s">
        <v>767</v>
      </c>
      <c r="AA17" s="251" t="s">
        <v>834</v>
      </c>
    </row>
    <row r="18" spans="1:28">
      <c r="B18" s="64" t="s">
        <v>709</v>
      </c>
      <c r="C18" s="255" t="s">
        <v>256</v>
      </c>
      <c r="D18" s="256">
        <v>6000</v>
      </c>
      <c r="E18" s="251" t="s">
        <v>2439</v>
      </c>
      <c r="F18" s="256">
        <v>250</v>
      </c>
      <c r="G18" s="254">
        <v>44376</v>
      </c>
      <c r="H18" s="251" t="s">
        <v>916</v>
      </c>
      <c r="I18" s="251" t="s">
        <v>2438</v>
      </c>
      <c r="J18" s="251" t="s">
        <v>614</v>
      </c>
      <c r="K18" s="251" t="s">
        <v>636</v>
      </c>
      <c r="L18" s="251">
        <v>2012</v>
      </c>
      <c r="N18" s="251" t="s">
        <v>2440</v>
      </c>
      <c r="O18" s="252" t="s">
        <v>813</v>
      </c>
      <c r="P18" s="252">
        <v>270</v>
      </c>
      <c r="Q18" s="252" t="s">
        <v>2450</v>
      </c>
      <c r="R18" s="252" t="s">
        <v>738</v>
      </c>
      <c r="S18" s="252">
        <v>206</v>
      </c>
      <c r="T18" s="252" t="s">
        <v>2453</v>
      </c>
      <c r="U18" s="252" t="s">
        <v>755</v>
      </c>
      <c r="V18" s="252">
        <v>100</v>
      </c>
      <c r="W18" s="252" t="s">
        <v>2461</v>
      </c>
      <c r="X18" s="252" t="s">
        <v>565</v>
      </c>
      <c r="Y18" s="252">
        <v>67.2</v>
      </c>
      <c r="Z18" s="252" t="s">
        <v>2462</v>
      </c>
      <c r="AA18" s="251" t="s">
        <v>2389</v>
      </c>
    </row>
    <row r="19" spans="1:28">
      <c r="B19" s="251" t="s">
        <v>1823</v>
      </c>
      <c r="C19" s="269" t="s">
        <v>256</v>
      </c>
      <c r="D19" s="256">
        <v>4400</v>
      </c>
      <c r="E19" s="268" t="s">
        <v>755</v>
      </c>
      <c r="F19" s="256">
        <v>676</v>
      </c>
      <c r="G19" s="254">
        <v>44299</v>
      </c>
      <c r="H19" s="268" t="s">
        <v>3933</v>
      </c>
      <c r="I19" s="268" t="s">
        <v>3934</v>
      </c>
      <c r="J19" s="268" t="s">
        <v>614</v>
      </c>
      <c r="K19" s="268" t="s">
        <v>1008</v>
      </c>
      <c r="L19" s="251">
        <v>2017</v>
      </c>
      <c r="N19" s="268" t="s">
        <v>3935</v>
      </c>
      <c r="O19" s="272" t="s">
        <v>3939</v>
      </c>
      <c r="P19" s="252">
        <v>250</v>
      </c>
      <c r="Q19" s="272" t="s">
        <v>3940</v>
      </c>
      <c r="R19" s="272" t="s">
        <v>402</v>
      </c>
      <c r="S19" s="252">
        <v>150</v>
      </c>
      <c r="T19" s="272" t="s">
        <v>3941</v>
      </c>
      <c r="U19" s="272" t="s">
        <v>544</v>
      </c>
      <c r="V19" s="252">
        <v>56</v>
      </c>
      <c r="W19" s="272" t="s">
        <v>3943</v>
      </c>
      <c r="X19" s="272" t="s">
        <v>549</v>
      </c>
      <c r="Y19" s="252">
        <v>2</v>
      </c>
      <c r="Z19" s="272" t="s">
        <v>3937</v>
      </c>
      <c r="AA19" s="268" t="s">
        <v>844</v>
      </c>
      <c r="AB19" s="5" t="s">
        <v>3932</v>
      </c>
    </row>
    <row r="20" spans="1:28">
      <c r="B20" s="251" t="s">
        <v>1819</v>
      </c>
      <c r="C20" s="269" t="s">
        <v>256</v>
      </c>
      <c r="D20" s="256">
        <v>4200</v>
      </c>
      <c r="E20" s="268" t="s">
        <v>565</v>
      </c>
      <c r="F20" s="256">
        <v>820</v>
      </c>
      <c r="G20" s="274">
        <v>43223</v>
      </c>
      <c r="H20" s="251" t="s">
        <v>1820</v>
      </c>
      <c r="I20" s="268" t="s">
        <v>3868</v>
      </c>
      <c r="J20" s="268" t="s">
        <v>614</v>
      </c>
      <c r="K20" s="268" t="s">
        <v>658</v>
      </c>
      <c r="L20" s="251">
        <v>2012</v>
      </c>
      <c r="N20" s="268" t="s">
        <v>3869</v>
      </c>
      <c r="O20" s="272" t="s">
        <v>3876</v>
      </c>
      <c r="P20" s="252">
        <v>100</v>
      </c>
      <c r="Q20" s="272" t="s">
        <v>3877</v>
      </c>
      <c r="R20" s="272" t="s">
        <v>544</v>
      </c>
      <c r="S20" s="252">
        <v>20</v>
      </c>
      <c r="T20" s="272" t="s">
        <v>3743</v>
      </c>
      <c r="U20" s="272" t="s">
        <v>496</v>
      </c>
      <c r="V20" s="272" t="s">
        <v>496</v>
      </c>
      <c r="W20" s="272" t="s">
        <v>496</v>
      </c>
      <c r="X20" s="272" t="s">
        <v>496</v>
      </c>
      <c r="Y20" s="272" t="s">
        <v>496</v>
      </c>
      <c r="Z20" s="272" t="s">
        <v>496</v>
      </c>
      <c r="AA20" s="268" t="s">
        <v>3866</v>
      </c>
      <c r="AB20" s="5" t="s">
        <v>3865</v>
      </c>
    </row>
    <row r="21" spans="1:28">
      <c r="A21" s="251">
        <v>17</v>
      </c>
      <c r="B21" s="251" t="s">
        <v>144</v>
      </c>
      <c r="C21" s="255" t="s">
        <v>256</v>
      </c>
      <c r="D21" s="256">
        <v>4100</v>
      </c>
      <c r="E21" s="251" t="s">
        <v>565</v>
      </c>
      <c r="F21" s="256">
        <v>450</v>
      </c>
      <c r="G21" s="254">
        <v>45069</v>
      </c>
      <c r="H21" s="251" t="s">
        <v>403</v>
      </c>
      <c r="I21" s="251" t="s">
        <v>1412</v>
      </c>
      <c r="J21" s="251" t="s">
        <v>615</v>
      </c>
      <c r="K21" s="251" t="s">
        <v>642</v>
      </c>
      <c r="L21" s="251">
        <v>2021</v>
      </c>
      <c r="M21" s="251" t="s">
        <v>862</v>
      </c>
      <c r="N21" s="251" t="s">
        <v>769</v>
      </c>
      <c r="O21" s="252" t="s">
        <v>774</v>
      </c>
      <c r="P21" s="252">
        <v>300</v>
      </c>
      <c r="Q21" s="252" t="s">
        <v>9</v>
      </c>
      <c r="R21" s="252" t="s">
        <v>402</v>
      </c>
      <c r="S21" s="252">
        <v>580</v>
      </c>
      <c r="T21" s="252" t="s">
        <v>59</v>
      </c>
      <c r="U21" s="252" t="s">
        <v>544</v>
      </c>
      <c r="V21" s="252">
        <v>124</v>
      </c>
      <c r="W21" s="252" t="s">
        <v>777</v>
      </c>
      <c r="X21" s="252" t="s">
        <v>496</v>
      </c>
      <c r="Y21" s="252" t="s">
        <v>496</v>
      </c>
      <c r="Z21" s="252" t="s">
        <v>496</v>
      </c>
      <c r="AA21" s="251" t="s">
        <v>834</v>
      </c>
    </row>
    <row r="22" spans="1:28">
      <c r="B22" s="251" t="s">
        <v>1827</v>
      </c>
      <c r="C22" s="269" t="s">
        <v>256</v>
      </c>
      <c r="D22" s="256">
        <v>3600</v>
      </c>
      <c r="E22" s="268" t="s">
        <v>813</v>
      </c>
      <c r="F22" s="256">
        <v>475</v>
      </c>
      <c r="G22" s="254">
        <v>44278</v>
      </c>
      <c r="H22" s="268" t="s">
        <v>3970</v>
      </c>
      <c r="I22" s="268" t="s">
        <v>3968</v>
      </c>
      <c r="J22" s="268" t="s">
        <v>614</v>
      </c>
      <c r="K22" s="268" t="s">
        <v>3971</v>
      </c>
      <c r="L22" s="251">
        <v>2009</v>
      </c>
      <c r="N22" s="268" t="s">
        <v>3972</v>
      </c>
      <c r="O22" s="272" t="s">
        <v>3981</v>
      </c>
      <c r="P22" s="252">
        <v>392</v>
      </c>
      <c r="Q22" s="272" t="s">
        <v>3982</v>
      </c>
      <c r="R22" s="272" t="s">
        <v>3987</v>
      </c>
      <c r="S22" s="272">
        <v>130</v>
      </c>
      <c r="T22" s="272" t="s">
        <v>3988</v>
      </c>
      <c r="U22" s="272" t="s">
        <v>565</v>
      </c>
      <c r="V22" s="252">
        <v>34</v>
      </c>
      <c r="W22" s="272" t="s">
        <v>3992</v>
      </c>
      <c r="X22" s="272" t="s">
        <v>402</v>
      </c>
      <c r="Y22" s="252">
        <v>16.5</v>
      </c>
      <c r="Z22" s="272" t="s">
        <v>3996</v>
      </c>
      <c r="AA22" s="268" t="s">
        <v>1110</v>
      </c>
      <c r="AB22" s="5" t="s">
        <v>3969</v>
      </c>
    </row>
    <row r="23" spans="1:28">
      <c r="B23" s="251" t="s">
        <v>1821</v>
      </c>
      <c r="C23" s="269" t="s">
        <v>256</v>
      </c>
      <c r="D23" s="256">
        <v>3300</v>
      </c>
      <c r="E23" s="268" t="s">
        <v>755</v>
      </c>
      <c r="F23" s="256">
        <v>750</v>
      </c>
      <c r="G23" s="254">
        <v>43593</v>
      </c>
      <c r="H23" s="268" t="s">
        <v>3882</v>
      </c>
      <c r="I23" s="268" t="s">
        <v>3879</v>
      </c>
      <c r="J23" s="268" t="s">
        <v>614</v>
      </c>
      <c r="K23" s="268" t="s">
        <v>643</v>
      </c>
      <c r="L23" s="251">
        <v>2011</v>
      </c>
      <c r="M23" s="268" t="s">
        <v>3887</v>
      </c>
      <c r="N23" s="268" t="s">
        <v>3883</v>
      </c>
      <c r="O23" s="272" t="s">
        <v>565</v>
      </c>
      <c r="P23" s="252">
        <v>460</v>
      </c>
      <c r="Q23" s="272" t="s">
        <v>3888</v>
      </c>
      <c r="R23" s="272" t="s">
        <v>565</v>
      </c>
      <c r="S23" s="252">
        <v>100</v>
      </c>
      <c r="T23" s="272" t="s">
        <v>3895</v>
      </c>
      <c r="U23" s="272" t="s">
        <v>402</v>
      </c>
      <c r="V23" s="252">
        <v>22</v>
      </c>
      <c r="W23" s="272" t="s">
        <v>3899</v>
      </c>
      <c r="X23" s="272" t="s">
        <v>544</v>
      </c>
      <c r="Y23" s="272" t="s">
        <v>496</v>
      </c>
      <c r="Z23" s="272" t="s">
        <v>3900</v>
      </c>
      <c r="AA23" s="268" t="s">
        <v>1930</v>
      </c>
      <c r="AB23" s="5" t="s">
        <v>3878</v>
      </c>
    </row>
    <row r="24" spans="1:28">
      <c r="A24" s="251">
        <v>12</v>
      </c>
      <c r="B24" s="251" t="s">
        <v>416</v>
      </c>
      <c r="C24" s="255" t="s">
        <v>214</v>
      </c>
      <c r="D24" s="256">
        <v>3500</v>
      </c>
      <c r="E24" s="251" t="s">
        <v>811</v>
      </c>
      <c r="F24" s="256">
        <v>651</v>
      </c>
      <c r="G24" s="254">
        <v>44174</v>
      </c>
      <c r="H24" s="251" t="s">
        <v>614</v>
      </c>
      <c r="I24" s="251" t="s">
        <v>812</v>
      </c>
      <c r="J24" s="251" t="s">
        <v>614</v>
      </c>
      <c r="K24" s="251" t="s">
        <v>640</v>
      </c>
      <c r="L24" s="251">
        <v>2009</v>
      </c>
      <c r="N24" s="251" t="s">
        <v>811</v>
      </c>
      <c r="O24" s="252" t="s">
        <v>813</v>
      </c>
      <c r="P24" s="252">
        <v>106</v>
      </c>
      <c r="Q24" s="252" t="s">
        <v>814</v>
      </c>
      <c r="S24" s="252" t="s">
        <v>496</v>
      </c>
      <c r="T24" s="252" t="s">
        <v>496</v>
      </c>
      <c r="U24" s="252" t="s">
        <v>496</v>
      </c>
      <c r="V24" s="252" t="s">
        <v>496</v>
      </c>
      <c r="W24" s="252" t="s">
        <v>496</v>
      </c>
      <c r="X24" s="252" t="s">
        <v>496</v>
      </c>
      <c r="Y24" s="252" t="s">
        <v>496</v>
      </c>
      <c r="Z24" s="252" t="s">
        <v>496</v>
      </c>
      <c r="AA24" s="251" t="s">
        <v>838</v>
      </c>
    </row>
    <row r="25" spans="1:28">
      <c r="B25" s="251" t="s">
        <v>1822</v>
      </c>
      <c r="C25" s="269" t="s">
        <v>256</v>
      </c>
      <c r="D25" s="256">
        <v>3500</v>
      </c>
      <c r="E25" s="268" t="s">
        <v>755</v>
      </c>
      <c r="F25" s="256">
        <v>700</v>
      </c>
      <c r="G25" s="254">
        <v>44218</v>
      </c>
      <c r="H25" s="268" t="s">
        <v>3903</v>
      </c>
      <c r="I25" s="268" t="s">
        <v>3902</v>
      </c>
      <c r="L25" s="251">
        <v>2014</v>
      </c>
      <c r="M25" s="268" t="s">
        <v>3904</v>
      </c>
      <c r="N25" s="268" t="s">
        <v>3905</v>
      </c>
      <c r="O25" s="272" t="s">
        <v>565</v>
      </c>
      <c r="P25" s="272" t="s">
        <v>3917</v>
      </c>
      <c r="Q25" s="272" t="s">
        <v>3918</v>
      </c>
      <c r="R25" s="272" t="s">
        <v>565</v>
      </c>
      <c r="S25" s="252">
        <v>140</v>
      </c>
      <c r="T25" s="272" t="s">
        <v>3922</v>
      </c>
      <c r="U25" s="272" t="s">
        <v>402</v>
      </c>
      <c r="V25" s="272" t="s">
        <v>496</v>
      </c>
      <c r="W25" s="272" t="s">
        <v>3930</v>
      </c>
      <c r="X25" s="272" t="s">
        <v>544</v>
      </c>
      <c r="Y25" s="272" t="s">
        <v>496</v>
      </c>
      <c r="Z25" s="272" t="s">
        <v>3931</v>
      </c>
      <c r="AA25" s="268" t="s">
        <v>1930</v>
      </c>
      <c r="AB25" s="5" t="s">
        <v>3901</v>
      </c>
    </row>
    <row r="26" spans="1:28">
      <c r="A26" s="251">
        <v>11</v>
      </c>
      <c r="B26" s="251" t="s">
        <v>415</v>
      </c>
      <c r="C26" s="255" t="s">
        <v>256</v>
      </c>
      <c r="D26" s="256">
        <v>3000</v>
      </c>
      <c r="E26" s="251" t="s">
        <v>549</v>
      </c>
      <c r="F26" s="256">
        <v>100</v>
      </c>
      <c r="G26" s="254">
        <v>44846</v>
      </c>
      <c r="H26" s="251" t="s">
        <v>552</v>
      </c>
      <c r="I26" s="251" t="s">
        <v>553</v>
      </c>
      <c r="J26" s="251" t="s">
        <v>613</v>
      </c>
      <c r="K26" s="251" t="s">
        <v>619</v>
      </c>
      <c r="L26" s="251">
        <v>2019</v>
      </c>
      <c r="M26" s="251" t="s">
        <v>779</v>
      </c>
      <c r="N26" s="251" t="s">
        <v>778</v>
      </c>
      <c r="O26" s="252" t="s">
        <v>496</v>
      </c>
      <c r="P26" s="252" t="s">
        <v>496</v>
      </c>
      <c r="Q26" s="252" t="s">
        <v>496</v>
      </c>
      <c r="R26" s="252" t="s">
        <v>496</v>
      </c>
      <c r="S26" s="252" t="s">
        <v>496</v>
      </c>
      <c r="T26" s="252" t="s">
        <v>496</v>
      </c>
      <c r="U26" s="252" t="s">
        <v>496</v>
      </c>
      <c r="V26" s="252" t="s">
        <v>496</v>
      </c>
      <c r="W26" s="252" t="s">
        <v>496</v>
      </c>
      <c r="X26" s="252" t="s">
        <v>496</v>
      </c>
      <c r="Y26" s="252" t="s">
        <v>496</v>
      </c>
      <c r="Z26" s="252" t="s">
        <v>496</v>
      </c>
      <c r="AA26" s="251" t="s">
        <v>833</v>
      </c>
    </row>
    <row r="27" spans="1:28" s="268" customFormat="1" ht="14">
      <c r="B27" s="268" t="s">
        <v>1825</v>
      </c>
      <c r="C27" s="269" t="s">
        <v>256</v>
      </c>
      <c r="D27" s="270">
        <v>2500</v>
      </c>
      <c r="E27" s="268" t="s">
        <v>565</v>
      </c>
      <c r="F27" s="270">
        <v>500</v>
      </c>
      <c r="G27" s="274">
        <v>44274</v>
      </c>
      <c r="H27" s="268" t="s">
        <v>1826</v>
      </c>
      <c r="J27" s="268" t="s">
        <v>614</v>
      </c>
      <c r="K27" s="268" t="s">
        <v>728</v>
      </c>
      <c r="L27" s="268">
        <v>2016</v>
      </c>
      <c r="N27" s="268" t="s">
        <v>3957</v>
      </c>
      <c r="O27" s="272" t="s">
        <v>402</v>
      </c>
      <c r="P27" s="272" t="s">
        <v>3958</v>
      </c>
      <c r="Q27" s="272" t="s">
        <v>3959</v>
      </c>
      <c r="R27" s="272" t="s">
        <v>402</v>
      </c>
      <c r="S27" s="272">
        <v>32</v>
      </c>
      <c r="T27" s="272" t="s">
        <v>1192</v>
      </c>
      <c r="U27" s="272" t="s">
        <v>402</v>
      </c>
      <c r="V27" s="272">
        <v>46</v>
      </c>
      <c r="W27" s="272" t="s">
        <v>3964</v>
      </c>
      <c r="X27" s="272" t="s">
        <v>544</v>
      </c>
      <c r="Y27" s="272" t="s">
        <v>496</v>
      </c>
      <c r="Z27" s="272" t="s">
        <v>3966</v>
      </c>
      <c r="AA27" s="268" t="s">
        <v>1930</v>
      </c>
      <c r="AB27" s="257" t="s">
        <v>3949</v>
      </c>
    </row>
    <row r="28" spans="1:28" s="268" customFormat="1">
      <c r="B28" s="268" t="s">
        <v>2601</v>
      </c>
      <c r="C28" s="269" t="s">
        <v>256</v>
      </c>
      <c r="D28" s="270">
        <v>2100</v>
      </c>
      <c r="E28" s="268" t="s">
        <v>738</v>
      </c>
      <c r="F28" s="270">
        <v>400</v>
      </c>
      <c r="G28" s="274">
        <v>44608</v>
      </c>
      <c r="H28" s="268" t="s">
        <v>2809</v>
      </c>
      <c r="I28" s="268" t="s">
        <v>2807</v>
      </c>
      <c r="J28" s="268" t="s">
        <v>614</v>
      </c>
      <c r="K28" s="268" t="s">
        <v>644</v>
      </c>
      <c r="L28" s="268">
        <v>2008</v>
      </c>
      <c r="N28" s="268" t="s">
        <v>2808</v>
      </c>
      <c r="O28" s="272" t="s">
        <v>755</v>
      </c>
      <c r="P28" s="272">
        <v>140</v>
      </c>
      <c r="Q28" s="272" t="s">
        <v>2812</v>
      </c>
      <c r="R28" s="272" t="s">
        <v>565</v>
      </c>
      <c r="S28" s="272">
        <v>110</v>
      </c>
      <c r="T28" s="272" t="s">
        <v>2826</v>
      </c>
      <c r="U28" s="272" t="s">
        <v>402</v>
      </c>
      <c r="V28" s="272">
        <v>9.4</v>
      </c>
      <c r="W28" s="272" t="s">
        <v>2827</v>
      </c>
      <c r="X28" s="272" t="s">
        <v>544</v>
      </c>
      <c r="Y28" s="272">
        <v>5.5</v>
      </c>
      <c r="Z28" s="272" t="s">
        <v>2828</v>
      </c>
      <c r="AA28" s="268" t="s">
        <v>844</v>
      </c>
    </row>
    <row r="29" spans="1:28" s="64" customFormat="1">
      <c r="B29" s="64" t="s">
        <v>433</v>
      </c>
      <c r="C29" s="190" t="s">
        <v>256</v>
      </c>
      <c r="D29" s="188">
        <v>2100</v>
      </c>
      <c r="E29" s="64" t="s">
        <v>565</v>
      </c>
      <c r="F29" s="188">
        <v>200</v>
      </c>
      <c r="G29" s="209">
        <v>44377</v>
      </c>
      <c r="H29" s="64" t="s">
        <v>1476</v>
      </c>
      <c r="I29" s="64" t="s">
        <v>1654</v>
      </c>
      <c r="J29" s="64" t="s">
        <v>614</v>
      </c>
      <c r="K29" s="64" t="s">
        <v>1661</v>
      </c>
      <c r="L29" s="64">
        <v>2016</v>
      </c>
      <c r="N29" s="64" t="s">
        <v>1656</v>
      </c>
      <c r="O29" s="204" t="s">
        <v>402</v>
      </c>
      <c r="P29" s="204">
        <v>75</v>
      </c>
      <c r="Q29" s="204" t="s">
        <v>1658</v>
      </c>
      <c r="R29" s="204" t="s">
        <v>544</v>
      </c>
      <c r="S29" s="204">
        <v>30</v>
      </c>
      <c r="T29" s="204" t="s">
        <v>1660</v>
      </c>
      <c r="U29" s="204" t="s">
        <v>496</v>
      </c>
      <c r="V29" s="204" t="s">
        <v>496</v>
      </c>
      <c r="W29" s="204" t="s">
        <v>496</v>
      </c>
      <c r="X29" s="204" t="s">
        <v>496</v>
      </c>
      <c r="Y29" s="204" t="s">
        <v>496</v>
      </c>
      <c r="Z29" s="204" t="s">
        <v>496</v>
      </c>
      <c r="AA29" s="64" t="s">
        <v>834</v>
      </c>
    </row>
    <row r="30" spans="1:28">
      <c r="A30" s="251">
        <v>18</v>
      </c>
      <c r="B30" s="251" t="s">
        <v>404</v>
      </c>
      <c r="C30" s="255" t="s">
        <v>256</v>
      </c>
      <c r="D30" s="256">
        <v>2000</v>
      </c>
      <c r="E30" s="251" t="s">
        <v>565</v>
      </c>
      <c r="F30" s="256">
        <v>270</v>
      </c>
      <c r="G30" s="254">
        <v>45048</v>
      </c>
      <c r="H30" s="251" t="s">
        <v>493</v>
      </c>
      <c r="I30" s="251" t="s">
        <v>554</v>
      </c>
      <c r="J30" s="251" t="s">
        <v>615</v>
      </c>
      <c r="K30" s="251" t="s">
        <v>642</v>
      </c>
      <c r="L30" s="251">
        <v>2019</v>
      </c>
      <c r="M30" s="251" t="s">
        <v>863</v>
      </c>
      <c r="N30" s="251" t="s">
        <v>784</v>
      </c>
      <c r="O30" s="252" t="s">
        <v>402</v>
      </c>
      <c r="P30" s="252">
        <v>130</v>
      </c>
      <c r="Q30" s="252" t="s">
        <v>790</v>
      </c>
      <c r="R30" s="252" t="s">
        <v>544</v>
      </c>
      <c r="S30" s="252">
        <v>40</v>
      </c>
      <c r="T30" s="252" t="s">
        <v>793</v>
      </c>
      <c r="U30" s="252" t="s">
        <v>496</v>
      </c>
      <c r="V30" s="252" t="s">
        <v>496</v>
      </c>
      <c r="W30" s="252" t="s">
        <v>496</v>
      </c>
      <c r="X30" s="252" t="s">
        <v>496</v>
      </c>
      <c r="Y30" s="252" t="s">
        <v>496</v>
      </c>
      <c r="Z30" s="252" t="s">
        <v>496</v>
      </c>
      <c r="AA30" s="251" t="s">
        <v>832</v>
      </c>
    </row>
    <row r="31" spans="1:28">
      <c r="A31" s="251">
        <v>10</v>
      </c>
      <c r="B31" s="251" t="s">
        <v>419</v>
      </c>
      <c r="C31" s="255" t="s">
        <v>256</v>
      </c>
      <c r="D31" s="256">
        <v>2000</v>
      </c>
      <c r="E31" s="251" t="s">
        <v>565</v>
      </c>
      <c r="F31" s="256">
        <v>100</v>
      </c>
      <c r="G31" s="254">
        <v>44690</v>
      </c>
      <c r="H31" s="251" t="s">
        <v>507</v>
      </c>
      <c r="I31" s="251" t="s">
        <v>508</v>
      </c>
      <c r="J31" s="251" t="s">
        <v>615</v>
      </c>
      <c r="K31" s="251" t="s">
        <v>636</v>
      </c>
      <c r="L31" s="251">
        <v>2016</v>
      </c>
      <c r="M31" s="178" t="s">
        <v>509</v>
      </c>
      <c r="N31" s="251" t="s">
        <v>795</v>
      </c>
      <c r="O31" s="252" t="s">
        <v>402</v>
      </c>
      <c r="P31" s="252">
        <v>40</v>
      </c>
      <c r="Q31" s="252" t="s">
        <v>806</v>
      </c>
      <c r="R31" s="252" t="s">
        <v>544</v>
      </c>
      <c r="S31" s="252">
        <v>15</v>
      </c>
      <c r="T31" s="252" t="s">
        <v>807</v>
      </c>
      <c r="U31" s="252" t="s">
        <v>549</v>
      </c>
      <c r="V31" s="252">
        <v>4</v>
      </c>
      <c r="W31" s="252" t="s">
        <v>808</v>
      </c>
      <c r="X31" s="252" t="s">
        <v>669</v>
      </c>
      <c r="Y31" s="252">
        <v>1.2</v>
      </c>
      <c r="Z31" s="252" t="s">
        <v>809</v>
      </c>
      <c r="AA31" s="251" t="s">
        <v>1110</v>
      </c>
    </row>
    <row r="32" spans="1:28">
      <c r="B32" s="251" t="s">
        <v>2129</v>
      </c>
      <c r="C32" s="255" t="s">
        <v>256</v>
      </c>
      <c r="D32" s="256">
        <v>2000</v>
      </c>
      <c r="E32" s="251" t="s">
        <v>402</v>
      </c>
      <c r="F32" s="256">
        <v>138</v>
      </c>
      <c r="G32" s="254">
        <v>44872</v>
      </c>
      <c r="H32" s="251" t="s">
        <v>2130</v>
      </c>
      <c r="J32" s="251" t="s">
        <v>614</v>
      </c>
      <c r="K32" s="251" t="s">
        <v>628</v>
      </c>
      <c r="L32" s="251">
        <v>2014</v>
      </c>
      <c r="M32" s="251" t="s">
        <v>2132</v>
      </c>
      <c r="N32" s="251" t="s">
        <v>496</v>
      </c>
      <c r="O32" s="252" t="s">
        <v>544</v>
      </c>
      <c r="P32" s="252" t="s">
        <v>496</v>
      </c>
      <c r="Q32" s="252" t="s">
        <v>2131</v>
      </c>
      <c r="AA32" s="251" t="s">
        <v>1930</v>
      </c>
    </row>
    <row r="33" spans="1:27">
      <c r="B33" s="251" t="s">
        <v>1646</v>
      </c>
      <c r="C33" s="255" t="s">
        <v>256</v>
      </c>
      <c r="D33" s="256">
        <v>2000</v>
      </c>
      <c r="E33" s="251" t="s">
        <v>565</v>
      </c>
      <c r="F33" s="256">
        <v>50</v>
      </c>
      <c r="G33" s="254">
        <v>44380</v>
      </c>
      <c r="I33" s="251" t="s">
        <v>3222</v>
      </c>
      <c r="L33" s="251">
        <v>2014</v>
      </c>
      <c r="N33" s="251" t="s">
        <v>3223</v>
      </c>
      <c r="O33" s="252" t="s">
        <v>402</v>
      </c>
      <c r="P33" s="252">
        <v>150</v>
      </c>
      <c r="Q33" s="252" t="s">
        <v>3224</v>
      </c>
      <c r="R33" s="252" t="s">
        <v>544</v>
      </c>
      <c r="S33" s="252">
        <f>150/6</f>
        <v>25</v>
      </c>
      <c r="T33" s="252" t="s">
        <v>3225</v>
      </c>
      <c r="U33" s="252" t="s">
        <v>496</v>
      </c>
      <c r="V33" s="252" t="s">
        <v>496</v>
      </c>
      <c r="W33" s="252" t="s">
        <v>496</v>
      </c>
      <c r="X33" s="252" t="s">
        <v>496</v>
      </c>
      <c r="Y33" s="252" t="s">
        <v>496</v>
      </c>
      <c r="Z33" s="252" t="s">
        <v>496</v>
      </c>
      <c r="AA33" s="251" t="s">
        <v>3221</v>
      </c>
    </row>
    <row r="34" spans="1:27">
      <c r="A34" s="251">
        <f>A24+1</f>
        <v>13</v>
      </c>
      <c r="B34" s="251" t="s">
        <v>420</v>
      </c>
      <c r="C34" s="255" t="s">
        <v>256</v>
      </c>
      <c r="D34" s="256">
        <v>1500</v>
      </c>
      <c r="E34" s="251" t="s">
        <v>544</v>
      </c>
      <c r="F34" s="256">
        <v>125</v>
      </c>
      <c r="G34" s="254">
        <v>44852</v>
      </c>
      <c r="H34" s="251" t="s">
        <v>821</v>
      </c>
      <c r="I34" s="251" t="s">
        <v>815</v>
      </c>
      <c r="J34" s="251" t="s">
        <v>613</v>
      </c>
      <c r="K34" s="251" t="s">
        <v>619</v>
      </c>
      <c r="L34" s="251">
        <v>2021</v>
      </c>
      <c r="M34" s="251" t="s">
        <v>861</v>
      </c>
      <c r="N34" s="251" t="s">
        <v>816</v>
      </c>
      <c r="O34" s="252" t="s">
        <v>549</v>
      </c>
      <c r="P34" s="252">
        <v>6</v>
      </c>
      <c r="Q34" s="252" t="s">
        <v>818</v>
      </c>
      <c r="R34" s="252" t="s">
        <v>669</v>
      </c>
      <c r="S34" s="252">
        <v>1</v>
      </c>
      <c r="T34" s="252" t="s">
        <v>817</v>
      </c>
      <c r="U34" s="252" t="s">
        <v>496</v>
      </c>
      <c r="V34" s="252" t="s">
        <v>496</v>
      </c>
      <c r="W34" s="252" t="s">
        <v>496</v>
      </c>
      <c r="X34" s="252" t="s">
        <v>496</v>
      </c>
      <c r="Y34" s="252" t="s">
        <v>496</v>
      </c>
      <c r="Z34" s="252" t="s">
        <v>496</v>
      </c>
      <c r="AA34" s="251" t="s">
        <v>819</v>
      </c>
    </row>
    <row r="35" spans="1:27">
      <c r="A35" s="251">
        <v>20</v>
      </c>
      <c r="B35" s="251" t="s">
        <v>864</v>
      </c>
      <c r="C35" s="255" t="s">
        <v>256</v>
      </c>
      <c r="D35" s="256">
        <v>1400</v>
      </c>
      <c r="E35" s="251" t="s">
        <v>755</v>
      </c>
      <c r="F35" s="256">
        <v>100</v>
      </c>
      <c r="G35" s="254">
        <v>45051</v>
      </c>
      <c r="H35" s="251" t="s">
        <v>865</v>
      </c>
      <c r="I35" s="251" t="s">
        <v>899</v>
      </c>
      <c r="J35" s="251" t="s">
        <v>613</v>
      </c>
      <c r="K35" s="251" t="s">
        <v>639</v>
      </c>
      <c r="L35" s="258">
        <v>43101</v>
      </c>
      <c r="M35" s="251" t="s">
        <v>900</v>
      </c>
      <c r="N35" s="251" t="s">
        <v>890</v>
      </c>
      <c r="O35" s="252" t="s">
        <v>565</v>
      </c>
      <c r="P35" s="252">
        <v>50</v>
      </c>
      <c r="Q35" s="252" t="s">
        <v>895</v>
      </c>
      <c r="R35" s="252" t="s">
        <v>402</v>
      </c>
      <c r="S35" s="252">
        <v>35</v>
      </c>
      <c r="T35" s="252" t="s">
        <v>896</v>
      </c>
      <c r="U35" s="252" t="s">
        <v>544</v>
      </c>
      <c r="V35" s="252">
        <v>8.5</v>
      </c>
      <c r="W35" s="252" t="s">
        <v>898</v>
      </c>
      <c r="X35" s="252" t="s">
        <v>549</v>
      </c>
      <c r="Y35" s="252">
        <v>2</v>
      </c>
      <c r="Z35" s="252" t="s">
        <v>897</v>
      </c>
      <c r="AA35" s="251" t="s">
        <v>1110</v>
      </c>
    </row>
    <row r="36" spans="1:27">
      <c r="B36" s="251" t="s">
        <v>441</v>
      </c>
      <c r="C36" s="255" t="s">
        <v>256</v>
      </c>
      <c r="D36" s="256">
        <v>1300</v>
      </c>
      <c r="E36" s="251" t="s">
        <v>738</v>
      </c>
      <c r="F36" s="256">
        <v>132</v>
      </c>
      <c r="G36" s="254">
        <v>44215</v>
      </c>
      <c r="H36" s="251" t="s">
        <v>2135</v>
      </c>
      <c r="I36" s="251" t="s">
        <v>2134</v>
      </c>
      <c r="J36" s="251" t="s">
        <v>613</v>
      </c>
      <c r="K36" s="251" t="s">
        <v>430</v>
      </c>
      <c r="L36" s="251">
        <v>2016</v>
      </c>
      <c r="N36" s="251" t="s">
        <v>2136</v>
      </c>
      <c r="O36" s="252" t="s">
        <v>755</v>
      </c>
      <c r="P36" s="252">
        <v>42</v>
      </c>
      <c r="Q36" s="252" t="s">
        <v>2153</v>
      </c>
      <c r="R36" s="252" t="s">
        <v>565</v>
      </c>
      <c r="S36" s="252">
        <v>48</v>
      </c>
      <c r="T36" s="252" t="s">
        <v>2154</v>
      </c>
      <c r="U36" s="252" t="s">
        <v>402</v>
      </c>
      <c r="V36" s="252">
        <v>25</v>
      </c>
      <c r="W36" s="252" t="s">
        <v>2155</v>
      </c>
      <c r="X36" s="252" t="s">
        <v>544</v>
      </c>
      <c r="Y36" s="252">
        <v>5.8</v>
      </c>
      <c r="Z36" s="252" t="s">
        <v>2156</v>
      </c>
      <c r="AA36" s="251" t="s">
        <v>1110</v>
      </c>
    </row>
    <row r="37" spans="1:27">
      <c r="A37" s="251">
        <f>A34+1</f>
        <v>14</v>
      </c>
      <c r="B37" s="251" t="s">
        <v>432</v>
      </c>
      <c r="C37" s="255" t="s">
        <v>256</v>
      </c>
      <c r="D37" s="256">
        <v>4000</v>
      </c>
      <c r="E37" s="251" t="s">
        <v>544</v>
      </c>
      <c r="F37" s="256">
        <v>1300</v>
      </c>
      <c r="G37" s="254">
        <v>44694</v>
      </c>
      <c r="H37" s="251" t="s">
        <v>560</v>
      </c>
      <c r="I37" s="251" t="s">
        <v>845</v>
      </c>
      <c r="J37" s="251" t="s">
        <v>613</v>
      </c>
      <c r="K37" s="251" t="s">
        <v>561</v>
      </c>
      <c r="L37" s="251">
        <v>2022</v>
      </c>
      <c r="M37" s="251" t="s">
        <v>847</v>
      </c>
      <c r="N37" s="251" t="s">
        <v>2841</v>
      </c>
      <c r="O37" s="252" t="s">
        <v>544</v>
      </c>
      <c r="P37" s="252">
        <v>225</v>
      </c>
      <c r="Q37" s="251" t="s">
        <v>846</v>
      </c>
      <c r="R37" s="252" t="s">
        <v>496</v>
      </c>
      <c r="S37" s="252" t="s">
        <v>496</v>
      </c>
      <c r="T37" s="252" t="s">
        <v>496</v>
      </c>
      <c r="U37" s="252" t="s">
        <v>496</v>
      </c>
      <c r="V37" s="252" t="s">
        <v>496</v>
      </c>
      <c r="W37" s="252" t="s">
        <v>496</v>
      </c>
      <c r="X37" s="252" t="s">
        <v>496</v>
      </c>
      <c r="Y37" s="252" t="s">
        <v>496</v>
      </c>
      <c r="Z37" s="252" t="s">
        <v>496</v>
      </c>
      <c r="AA37" s="251" t="s">
        <v>844</v>
      </c>
    </row>
    <row r="38" spans="1:27">
      <c r="B38" s="251" t="s">
        <v>2862</v>
      </c>
      <c r="C38" s="255" t="s">
        <v>256</v>
      </c>
      <c r="D38" s="256">
        <v>1100</v>
      </c>
      <c r="E38" s="251" t="s">
        <v>565</v>
      </c>
      <c r="F38" s="256">
        <v>130</v>
      </c>
      <c r="G38" s="254">
        <v>44323</v>
      </c>
      <c r="H38" s="251" t="s">
        <v>2863</v>
      </c>
      <c r="I38" s="251" t="s">
        <v>2864</v>
      </c>
      <c r="J38" s="251" t="s">
        <v>614</v>
      </c>
      <c r="K38" s="251" t="s">
        <v>698</v>
      </c>
      <c r="L38" s="251">
        <v>2016</v>
      </c>
      <c r="N38" s="251" t="s">
        <v>2865</v>
      </c>
      <c r="O38" s="252" t="s">
        <v>402</v>
      </c>
      <c r="P38" s="252">
        <v>44</v>
      </c>
      <c r="Q38" s="252" t="s">
        <v>2872</v>
      </c>
      <c r="R38" s="252" t="s">
        <v>544</v>
      </c>
      <c r="S38" s="252">
        <v>15</v>
      </c>
      <c r="T38" s="252" t="s">
        <v>2873</v>
      </c>
      <c r="U38" s="252" t="s">
        <v>549</v>
      </c>
      <c r="V38" s="252">
        <v>2.5</v>
      </c>
      <c r="W38" s="252" t="s">
        <v>2875</v>
      </c>
      <c r="X38" s="252" t="s">
        <v>669</v>
      </c>
      <c r="Y38" s="252" t="s">
        <v>496</v>
      </c>
      <c r="Z38" s="252" t="s">
        <v>2876</v>
      </c>
      <c r="AA38" s="251" t="s">
        <v>832</v>
      </c>
    </row>
    <row r="39" spans="1:27">
      <c r="A39" s="251">
        <f>A37+1</f>
        <v>15</v>
      </c>
      <c r="B39" s="251" t="s">
        <v>422</v>
      </c>
      <c r="C39" s="255" t="s">
        <v>256</v>
      </c>
      <c r="D39" s="256">
        <v>1000</v>
      </c>
      <c r="E39" s="251" t="s">
        <v>565</v>
      </c>
      <c r="F39" s="256">
        <v>135</v>
      </c>
      <c r="G39" s="254">
        <v>44482</v>
      </c>
      <c r="H39" s="251" t="s">
        <v>848</v>
      </c>
      <c r="I39" s="251" t="s">
        <v>859</v>
      </c>
      <c r="J39" s="251" t="s">
        <v>615</v>
      </c>
      <c r="K39" s="251" t="s">
        <v>636</v>
      </c>
      <c r="L39" s="251">
        <v>2017</v>
      </c>
      <c r="M39" s="251" t="s">
        <v>860</v>
      </c>
      <c r="N39" s="251" t="s">
        <v>849</v>
      </c>
      <c r="O39" s="252" t="s">
        <v>402</v>
      </c>
      <c r="P39" s="252">
        <v>45</v>
      </c>
      <c r="Q39" s="252" t="s">
        <v>853</v>
      </c>
      <c r="R39" s="252" t="s">
        <v>544</v>
      </c>
      <c r="S39" s="252">
        <v>5</v>
      </c>
      <c r="T39" s="252" t="s">
        <v>856</v>
      </c>
      <c r="U39" s="252" t="s">
        <v>496</v>
      </c>
      <c r="V39" s="252" t="s">
        <v>496</v>
      </c>
      <c r="W39" s="252" t="s">
        <v>496</v>
      </c>
      <c r="X39" s="252" t="s">
        <v>496</v>
      </c>
      <c r="Y39" s="252" t="s">
        <v>496</v>
      </c>
      <c r="Z39" s="252" t="s">
        <v>496</v>
      </c>
      <c r="AA39" s="251" t="s">
        <v>834</v>
      </c>
    </row>
    <row r="40" spans="1:27">
      <c r="A40" s="64">
        <f>A39+1</f>
        <v>16</v>
      </c>
      <c r="B40" s="64" t="s">
        <v>418</v>
      </c>
      <c r="C40" s="190" t="s">
        <v>256</v>
      </c>
      <c r="D40" s="188">
        <v>1000</v>
      </c>
      <c r="E40" s="64" t="s">
        <v>544</v>
      </c>
      <c r="F40" s="188">
        <v>150</v>
      </c>
      <c r="G40" s="202">
        <v>45008</v>
      </c>
      <c r="H40" s="64" t="s">
        <v>601</v>
      </c>
      <c r="I40" s="64" t="s">
        <v>448</v>
      </c>
      <c r="J40" s="64" t="s">
        <v>613</v>
      </c>
      <c r="K40" s="64" t="s">
        <v>561</v>
      </c>
      <c r="L40" s="64">
        <v>2021</v>
      </c>
      <c r="M40" s="251" t="s">
        <v>867</v>
      </c>
      <c r="N40" s="251" t="s">
        <v>866</v>
      </c>
      <c r="O40" s="252" t="s">
        <v>549</v>
      </c>
      <c r="P40" s="252" t="s">
        <v>496</v>
      </c>
      <c r="Q40" s="252" t="s">
        <v>871</v>
      </c>
      <c r="R40" s="252" t="s">
        <v>496</v>
      </c>
      <c r="S40" s="252" t="s">
        <v>496</v>
      </c>
      <c r="T40" s="252" t="s">
        <v>496</v>
      </c>
      <c r="U40" s="252" t="s">
        <v>496</v>
      </c>
      <c r="V40" s="252" t="s">
        <v>496</v>
      </c>
      <c r="W40" s="252" t="s">
        <v>496</v>
      </c>
      <c r="X40" s="252" t="s">
        <v>496</v>
      </c>
      <c r="Y40" s="252" t="s">
        <v>496</v>
      </c>
      <c r="Z40" s="252" t="s">
        <v>496</v>
      </c>
      <c r="AA40" s="251" t="s">
        <v>839</v>
      </c>
    </row>
    <row r="41" spans="1:27">
      <c r="A41" s="251">
        <v>25</v>
      </c>
      <c r="B41" s="251" t="s">
        <v>431</v>
      </c>
      <c r="C41" s="255" t="s">
        <v>256</v>
      </c>
      <c r="D41" s="256">
        <v>1000</v>
      </c>
      <c r="E41" s="251" t="s">
        <v>402</v>
      </c>
      <c r="F41" s="256">
        <v>350</v>
      </c>
      <c r="G41" s="254">
        <v>44999</v>
      </c>
      <c r="H41" s="251" t="s">
        <v>496</v>
      </c>
      <c r="I41" s="251" t="s">
        <v>872</v>
      </c>
      <c r="J41" s="196" t="s">
        <v>614</v>
      </c>
      <c r="K41" s="196" t="s">
        <v>559</v>
      </c>
      <c r="L41" s="251">
        <v>2022</v>
      </c>
      <c r="M41" s="251" t="s">
        <v>873</v>
      </c>
      <c r="N41" s="251" t="s">
        <v>875</v>
      </c>
      <c r="O41" s="252" t="s">
        <v>544</v>
      </c>
      <c r="P41" s="252">
        <v>65</v>
      </c>
      <c r="Q41" s="252" t="s">
        <v>874</v>
      </c>
      <c r="R41" s="252" t="s">
        <v>496</v>
      </c>
      <c r="S41" s="252" t="s">
        <v>496</v>
      </c>
      <c r="T41" s="252" t="s">
        <v>496</v>
      </c>
      <c r="U41" s="252" t="s">
        <v>496</v>
      </c>
      <c r="V41" s="252" t="s">
        <v>496</v>
      </c>
      <c r="W41" s="252" t="s">
        <v>496</v>
      </c>
      <c r="X41" s="252" t="s">
        <v>496</v>
      </c>
      <c r="Y41" s="252" t="s">
        <v>496</v>
      </c>
      <c r="Z41" s="252" t="s">
        <v>496</v>
      </c>
      <c r="AA41" s="251" t="s">
        <v>834</v>
      </c>
    </row>
    <row r="42" spans="1:27">
      <c r="A42" s="251">
        <f t="shared" ref="A42" si="0">A41+1</f>
        <v>26</v>
      </c>
      <c r="B42" s="251" t="s">
        <v>495</v>
      </c>
      <c r="C42" s="255" t="s">
        <v>256</v>
      </c>
      <c r="D42" s="256">
        <v>1000</v>
      </c>
      <c r="E42" s="251" t="s">
        <v>501</v>
      </c>
      <c r="F42" s="256">
        <v>0</v>
      </c>
      <c r="G42" s="253" t="s">
        <v>496</v>
      </c>
      <c r="H42" s="251" t="s">
        <v>879</v>
      </c>
      <c r="I42" s="251" t="s">
        <v>880</v>
      </c>
      <c r="J42" s="251" t="s">
        <v>613</v>
      </c>
      <c r="K42" s="251" t="s">
        <v>619</v>
      </c>
      <c r="L42" s="258">
        <v>44754</v>
      </c>
      <c r="M42" s="251" t="s">
        <v>881</v>
      </c>
      <c r="N42" s="251" t="s">
        <v>496</v>
      </c>
      <c r="O42" s="252" t="s">
        <v>496</v>
      </c>
      <c r="P42" s="252" t="s">
        <v>496</v>
      </c>
      <c r="Q42" s="252" t="s">
        <v>496</v>
      </c>
      <c r="R42" s="252" t="s">
        <v>496</v>
      </c>
      <c r="S42" s="252" t="s">
        <v>496</v>
      </c>
      <c r="T42" s="252" t="s">
        <v>496</v>
      </c>
      <c r="U42" s="252" t="s">
        <v>496</v>
      </c>
      <c r="V42" s="252" t="s">
        <v>496</v>
      </c>
      <c r="W42" s="252" t="s">
        <v>496</v>
      </c>
      <c r="X42" s="252" t="s">
        <v>496</v>
      </c>
      <c r="Y42" s="252" t="s">
        <v>496</v>
      </c>
      <c r="Z42" s="252" t="s">
        <v>496</v>
      </c>
      <c r="AA42" s="251" t="s">
        <v>882</v>
      </c>
    </row>
    <row r="43" spans="1:27">
      <c r="B43" s="251" t="s">
        <v>604</v>
      </c>
      <c r="C43" s="255" t="s">
        <v>256</v>
      </c>
      <c r="D43" s="256">
        <v>1000</v>
      </c>
      <c r="E43" s="251" t="s">
        <v>402</v>
      </c>
      <c r="F43" s="256">
        <v>300</v>
      </c>
      <c r="G43" s="254">
        <v>44453</v>
      </c>
      <c r="H43" s="251" t="s">
        <v>605</v>
      </c>
      <c r="I43" s="251" t="s">
        <v>903</v>
      </c>
      <c r="J43" s="251" t="s">
        <v>613</v>
      </c>
      <c r="K43" s="251" t="s">
        <v>606</v>
      </c>
      <c r="L43" s="258">
        <v>43817</v>
      </c>
      <c r="M43" s="251" t="s">
        <v>606</v>
      </c>
      <c r="N43" s="251" t="s">
        <v>901</v>
      </c>
      <c r="O43" s="252" t="s">
        <v>496</v>
      </c>
      <c r="P43" s="252" t="s">
        <v>496</v>
      </c>
      <c r="Q43" s="252" t="s">
        <v>496</v>
      </c>
      <c r="R43" s="252" t="s">
        <v>496</v>
      </c>
      <c r="S43" s="252" t="s">
        <v>496</v>
      </c>
      <c r="T43" s="252" t="s">
        <v>496</v>
      </c>
      <c r="U43" s="252" t="s">
        <v>496</v>
      </c>
      <c r="V43" s="252" t="s">
        <v>496</v>
      </c>
      <c r="W43" s="252" t="s">
        <v>496</v>
      </c>
      <c r="X43" s="252" t="s">
        <v>496</v>
      </c>
      <c r="Y43" s="252" t="s">
        <v>496</v>
      </c>
      <c r="Z43" s="252" t="s">
        <v>496</v>
      </c>
      <c r="AA43" s="251" t="s">
        <v>902</v>
      </c>
    </row>
    <row r="44" spans="1:27">
      <c r="A44" s="251">
        <f>A58+1</f>
        <v>26</v>
      </c>
      <c r="B44" s="251" t="s">
        <v>423</v>
      </c>
      <c r="C44" s="255" t="s">
        <v>256</v>
      </c>
      <c r="D44" s="256">
        <v>1000</v>
      </c>
      <c r="E44" s="251" t="s">
        <v>565</v>
      </c>
      <c r="F44" s="256">
        <v>100</v>
      </c>
      <c r="G44" s="254">
        <v>44699</v>
      </c>
      <c r="H44" s="251" t="s">
        <v>959</v>
      </c>
      <c r="I44" s="251" t="s">
        <v>961</v>
      </c>
      <c r="J44" s="251" t="s">
        <v>614</v>
      </c>
      <c r="K44" s="251" t="s">
        <v>640</v>
      </c>
      <c r="L44" s="251">
        <v>2019</v>
      </c>
      <c r="M44" s="251" t="s">
        <v>967</v>
      </c>
      <c r="N44" s="251" t="s">
        <v>960</v>
      </c>
      <c r="O44" s="252" t="s">
        <v>402</v>
      </c>
      <c r="P44" s="252">
        <v>40</v>
      </c>
      <c r="Q44" s="252" t="s">
        <v>964</v>
      </c>
      <c r="R44" s="252" t="s">
        <v>544</v>
      </c>
      <c r="S44" s="252">
        <v>15</v>
      </c>
      <c r="T44" s="252" t="s">
        <v>965</v>
      </c>
      <c r="U44" s="252" t="s">
        <v>496</v>
      </c>
      <c r="V44" s="252" t="s">
        <v>496</v>
      </c>
      <c r="W44" s="252" t="s">
        <v>496</v>
      </c>
      <c r="X44" s="252" t="s">
        <v>496</v>
      </c>
      <c r="Y44" s="252" t="s">
        <v>496</v>
      </c>
      <c r="Z44" s="252" t="s">
        <v>496</v>
      </c>
      <c r="AA44" s="251" t="s">
        <v>844</v>
      </c>
    </row>
    <row r="45" spans="1:27">
      <c r="B45" s="251" t="s">
        <v>445</v>
      </c>
      <c r="C45" s="255" t="s">
        <v>256</v>
      </c>
      <c r="D45" s="256">
        <v>1000</v>
      </c>
      <c r="E45" s="251" t="s">
        <v>755</v>
      </c>
      <c r="F45" s="256">
        <v>100</v>
      </c>
      <c r="G45" s="254">
        <v>44419</v>
      </c>
      <c r="H45" s="251" t="s">
        <v>2339</v>
      </c>
      <c r="I45" s="251" t="s">
        <v>2338</v>
      </c>
      <c r="J45" s="251" t="s">
        <v>614</v>
      </c>
      <c r="K45" s="251" t="s">
        <v>22</v>
      </c>
      <c r="L45" s="251">
        <v>2016</v>
      </c>
      <c r="N45" s="251" t="s">
        <v>2340</v>
      </c>
      <c r="O45" s="252" t="s">
        <v>565</v>
      </c>
      <c r="P45" s="252">
        <v>60</v>
      </c>
      <c r="Q45" s="252" t="s">
        <v>2341</v>
      </c>
      <c r="R45" s="252" t="s">
        <v>402</v>
      </c>
      <c r="S45" s="252">
        <v>30</v>
      </c>
      <c r="T45" s="252" t="s">
        <v>2346</v>
      </c>
      <c r="U45" s="252" t="s">
        <v>544</v>
      </c>
      <c r="V45" s="252">
        <v>7</v>
      </c>
      <c r="W45" s="252" t="s">
        <v>2347</v>
      </c>
      <c r="X45" s="252" t="s">
        <v>549</v>
      </c>
      <c r="Y45" s="252">
        <v>3</v>
      </c>
      <c r="Z45" s="252" t="s">
        <v>2349</v>
      </c>
      <c r="AA45" s="251" t="s">
        <v>1853</v>
      </c>
    </row>
    <row r="46" spans="1:27">
      <c r="A46" s="251">
        <f>A44+1</f>
        <v>27</v>
      </c>
      <c r="B46" s="251" t="s">
        <v>611</v>
      </c>
      <c r="C46" s="255" t="s">
        <v>256</v>
      </c>
      <c r="D46" s="256">
        <v>1000</v>
      </c>
      <c r="E46" s="251" t="s">
        <v>565</v>
      </c>
      <c r="F46" s="256">
        <v>100</v>
      </c>
      <c r="G46" s="254">
        <v>44754</v>
      </c>
      <c r="H46" s="251" t="s">
        <v>968</v>
      </c>
      <c r="I46" s="251" t="s">
        <v>979</v>
      </c>
      <c r="J46" s="251" t="s">
        <v>615</v>
      </c>
      <c r="K46" s="251" t="s">
        <v>636</v>
      </c>
      <c r="L46" s="251">
        <v>2019</v>
      </c>
      <c r="M46" s="251" t="s">
        <v>970</v>
      </c>
      <c r="N46" s="251" t="s">
        <v>969</v>
      </c>
      <c r="O46" s="252" t="s">
        <v>402</v>
      </c>
      <c r="P46" s="252">
        <v>35</v>
      </c>
      <c r="Q46" s="252" t="s">
        <v>972</v>
      </c>
      <c r="R46" s="252" t="s">
        <v>544</v>
      </c>
      <c r="S46" s="252">
        <v>20</v>
      </c>
      <c r="T46" s="252" t="s">
        <v>973</v>
      </c>
      <c r="U46" s="252" t="s">
        <v>549</v>
      </c>
      <c r="V46" s="252">
        <v>5</v>
      </c>
      <c r="W46" s="252" t="s">
        <v>974</v>
      </c>
      <c r="X46" s="252" t="s">
        <v>496</v>
      </c>
      <c r="Y46" s="252" t="s">
        <v>496</v>
      </c>
      <c r="Z46" s="252" t="s">
        <v>496</v>
      </c>
      <c r="AA46" s="251" t="s">
        <v>834</v>
      </c>
    </row>
    <row r="47" spans="1:27">
      <c r="A47" s="64">
        <f>A46+1</f>
        <v>28</v>
      </c>
      <c r="B47" s="64" t="s">
        <v>444</v>
      </c>
      <c r="C47" s="190" t="s">
        <v>256</v>
      </c>
      <c r="D47" s="188">
        <v>1000</v>
      </c>
      <c r="E47" s="64" t="s">
        <v>402</v>
      </c>
      <c r="F47" s="188">
        <v>100</v>
      </c>
      <c r="G47" s="202">
        <v>44565</v>
      </c>
      <c r="H47" s="64" t="s">
        <v>977</v>
      </c>
      <c r="I47" s="64" t="s">
        <v>978</v>
      </c>
      <c r="J47" s="64" t="s">
        <v>613</v>
      </c>
      <c r="K47" s="64" t="s">
        <v>446</v>
      </c>
      <c r="L47" s="258">
        <v>43466</v>
      </c>
      <c r="M47" s="251" t="s">
        <v>606</v>
      </c>
      <c r="N47" s="196" t="s">
        <v>975</v>
      </c>
      <c r="O47" s="252" t="s">
        <v>544</v>
      </c>
      <c r="P47" s="252">
        <v>30</v>
      </c>
      <c r="Q47" s="252" t="s">
        <v>976</v>
      </c>
      <c r="R47" s="252" t="s">
        <v>496</v>
      </c>
      <c r="S47" s="252" t="s">
        <v>496</v>
      </c>
      <c r="T47" s="252" t="s">
        <v>496</v>
      </c>
      <c r="U47" s="252" t="s">
        <v>496</v>
      </c>
      <c r="V47" s="252" t="s">
        <v>496</v>
      </c>
      <c r="W47" s="252" t="s">
        <v>496</v>
      </c>
      <c r="X47" s="252" t="s">
        <v>496</v>
      </c>
      <c r="Y47" s="252" t="s">
        <v>496</v>
      </c>
      <c r="Z47" s="252" t="s">
        <v>496</v>
      </c>
      <c r="AA47" s="251" t="s">
        <v>902</v>
      </c>
    </row>
    <row r="48" spans="1:27">
      <c r="A48" s="251">
        <f>A47+1</f>
        <v>29</v>
      </c>
      <c r="B48" s="251" t="s">
        <v>616</v>
      </c>
      <c r="C48" s="255" t="s">
        <v>256</v>
      </c>
      <c r="D48" s="256">
        <v>1000</v>
      </c>
      <c r="E48" s="251" t="s">
        <v>565</v>
      </c>
      <c r="F48" s="256">
        <v>99</v>
      </c>
      <c r="G48" s="254">
        <v>44796</v>
      </c>
      <c r="H48" s="251" t="s">
        <v>1008</v>
      </c>
      <c r="I48" s="251" t="s">
        <v>986</v>
      </c>
      <c r="J48" s="251" t="s">
        <v>615</v>
      </c>
      <c r="K48" s="251" t="s">
        <v>636</v>
      </c>
      <c r="L48" s="251">
        <v>2019</v>
      </c>
      <c r="M48" s="251" t="s">
        <v>985</v>
      </c>
      <c r="N48" s="251" t="s">
        <v>987</v>
      </c>
      <c r="O48" s="252" t="s">
        <v>983</v>
      </c>
      <c r="P48" s="252">
        <v>100</v>
      </c>
      <c r="Q48" s="252" t="s">
        <v>988</v>
      </c>
      <c r="R48" s="252" t="s">
        <v>402</v>
      </c>
      <c r="S48" s="252">
        <v>40</v>
      </c>
      <c r="T48" s="252" t="s">
        <v>989</v>
      </c>
      <c r="U48" s="252" t="s">
        <v>544</v>
      </c>
      <c r="V48" s="252">
        <v>20</v>
      </c>
      <c r="W48" s="252" t="s">
        <v>990</v>
      </c>
      <c r="X48" s="252" t="s">
        <v>496</v>
      </c>
      <c r="Y48" s="252" t="s">
        <v>496</v>
      </c>
      <c r="Z48" s="252" t="s">
        <v>496</v>
      </c>
      <c r="AA48" s="251" t="s">
        <v>834</v>
      </c>
    </row>
    <row r="49" spans="1:28">
      <c r="A49" s="251">
        <v>19</v>
      </c>
      <c r="B49" s="251" t="s">
        <v>1991</v>
      </c>
      <c r="C49" s="255" t="s">
        <v>256</v>
      </c>
      <c r="D49" s="256">
        <v>1000</v>
      </c>
      <c r="E49" s="251" t="s">
        <v>565</v>
      </c>
      <c r="F49" s="256">
        <v>90</v>
      </c>
      <c r="G49" s="254">
        <v>45090</v>
      </c>
      <c r="I49" s="251" t="s">
        <v>2735</v>
      </c>
      <c r="J49" s="251" t="s">
        <v>614</v>
      </c>
      <c r="K49" s="251" t="s">
        <v>639</v>
      </c>
      <c r="L49" s="251">
        <v>2017</v>
      </c>
      <c r="N49" s="251" t="s">
        <v>2736</v>
      </c>
      <c r="O49" s="252" t="s">
        <v>402</v>
      </c>
      <c r="P49" s="252">
        <v>50</v>
      </c>
      <c r="Q49" s="252" t="s">
        <v>2739</v>
      </c>
      <c r="R49" s="252" t="s">
        <v>544</v>
      </c>
      <c r="S49" s="252">
        <v>12.5</v>
      </c>
      <c r="T49" s="252" t="s">
        <v>2743</v>
      </c>
      <c r="U49" s="252" t="s">
        <v>549</v>
      </c>
      <c r="V49" s="252">
        <v>3.1</v>
      </c>
      <c r="W49" s="252" t="s">
        <v>2744</v>
      </c>
      <c r="X49" s="252" t="s">
        <v>669</v>
      </c>
      <c r="Y49" s="252">
        <v>1</v>
      </c>
      <c r="Z49" s="252" t="s">
        <v>2747</v>
      </c>
      <c r="AA49" s="251" t="s">
        <v>2240</v>
      </c>
    </row>
    <row r="50" spans="1:28">
      <c r="A50" s="251">
        <v>23</v>
      </c>
      <c r="B50" s="251" t="s">
        <v>618</v>
      </c>
      <c r="C50" s="255" t="s">
        <v>256</v>
      </c>
      <c r="D50" s="256">
        <v>1000</v>
      </c>
      <c r="E50" s="251" t="s">
        <v>565</v>
      </c>
      <c r="F50" s="256">
        <v>85</v>
      </c>
      <c r="G50" s="254">
        <v>44417</v>
      </c>
      <c r="H50" s="251" t="s">
        <v>923</v>
      </c>
      <c r="I50" s="251" t="s">
        <v>921</v>
      </c>
      <c r="J50" s="251" t="s">
        <v>614</v>
      </c>
      <c r="K50" s="251" t="s">
        <v>636</v>
      </c>
      <c r="L50" s="251">
        <v>2019</v>
      </c>
      <c r="M50" s="251" t="s">
        <v>922</v>
      </c>
      <c r="N50" s="251" t="s">
        <v>920</v>
      </c>
      <c r="O50" s="252" t="s">
        <v>402</v>
      </c>
      <c r="P50" s="252">
        <v>35</v>
      </c>
      <c r="Q50" s="252" t="s">
        <v>928</v>
      </c>
      <c r="R50" s="252" t="s">
        <v>544</v>
      </c>
      <c r="S50" s="252">
        <v>12</v>
      </c>
      <c r="T50" s="252" t="s">
        <v>931</v>
      </c>
      <c r="U50" s="252" t="s">
        <v>549</v>
      </c>
      <c r="V50" s="252">
        <v>3.3</v>
      </c>
      <c r="W50" s="252" t="s">
        <v>932</v>
      </c>
      <c r="X50" s="252" t="s">
        <v>496</v>
      </c>
      <c r="Y50" s="252" t="s">
        <v>496</v>
      </c>
      <c r="Z50" s="252" t="s">
        <v>496</v>
      </c>
      <c r="AA50" s="251" t="s">
        <v>838</v>
      </c>
    </row>
    <row r="51" spans="1:28">
      <c r="A51" s="251">
        <f>A88+1</f>
        <v>35</v>
      </c>
      <c r="B51" s="251" t="s">
        <v>424</v>
      </c>
      <c r="C51" s="255" t="s">
        <v>256</v>
      </c>
      <c r="D51" s="256">
        <v>1000</v>
      </c>
      <c r="E51" s="251" t="s">
        <v>544</v>
      </c>
      <c r="F51" s="256">
        <v>100</v>
      </c>
      <c r="G51" s="254">
        <v>45106</v>
      </c>
      <c r="I51" s="251" t="s">
        <v>1032</v>
      </c>
      <c r="J51" s="251" t="s">
        <v>615</v>
      </c>
      <c r="K51" s="251" t="s">
        <v>619</v>
      </c>
      <c r="L51" s="251">
        <v>2022</v>
      </c>
      <c r="N51" s="251" t="s">
        <v>2840</v>
      </c>
      <c r="O51" s="252" t="s">
        <v>544</v>
      </c>
      <c r="P51" s="252">
        <v>65</v>
      </c>
      <c r="Q51" s="251" t="s">
        <v>557</v>
      </c>
      <c r="R51" s="252" t="s">
        <v>496</v>
      </c>
      <c r="S51" s="252" t="s">
        <v>496</v>
      </c>
      <c r="T51" s="252" t="s">
        <v>496</v>
      </c>
      <c r="U51" s="252" t="s">
        <v>496</v>
      </c>
      <c r="V51" s="252" t="s">
        <v>496</v>
      </c>
      <c r="W51" s="252" t="s">
        <v>496</v>
      </c>
      <c r="X51" s="252" t="s">
        <v>496</v>
      </c>
      <c r="Y51" s="252" t="s">
        <v>496</v>
      </c>
      <c r="Z51" s="252" t="s">
        <v>496</v>
      </c>
      <c r="AA51" s="251" t="s">
        <v>834</v>
      </c>
    </row>
    <row r="52" spans="1:28">
      <c r="B52" s="251" t="s">
        <v>442</v>
      </c>
      <c r="C52" s="255" t="s">
        <v>256</v>
      </c>
      <c r="D52" s="256">
        <v>800</v>
      </c>
      <c r="E52" s="251" t="s">
        <v>565</v>
      </c>
      <c r="F52" s="256">
        <v>125</v>
      </c>
      <c r="G52" s="254">
        <v>44663</v>
      </c>
      <c r="H52" s="251" t="s">
        <v>2157</v>
      </c>
      <c r="I52" s="251" t="s">
        <v>2159</v>
      </c>
      <c r="J52" s="251" t="s">
        <v>614</v>
      </c>
      <c r="K52" s="251" t="s">
        <v>2160</v>
      </c>
      <c r="L52" s="251">
        <v>2017</v>
      </c>
      <c r="N52" s="251" t="s">
        <v>2161</v>
      </c>
      <c r="O52" s="252" t="s">
        <v>402</v>
      </c>
      <c r="P52" s="252">
        <v>54</v>
      </c>
      <c r="Q52" s="252" t="s">
        <v>2167</v>
      </c>
      <c r="R52" s="252" t="s">
        <v>544</v>
      </c>
      <c r="S52" s="252">
        <v>26</v>
      </c>
      <c r="T52" s="252" t="s">
        <v>2168</v>
      </c>
      <c r="U52" s="252" t="s">
        <v>544</v>
      </c>
      <c r="V52" s="252">
        <v>8</v>
      </c>
      <c r="W52" s="252" t="s">
        <v>2170</v>
      </c>
      <c r="X52" s="252" t="s">
        <v>544</v>
      </c>
      <c r="Y52" s="252">
        <v>26</v>
      </c>
      <c r="Z52" s="252" t="s">
        <v>2173</v>
      </c>
      <c r="AA52" s="251" t="s">
        <v>1853</v>
      </c>
    </row>
    <row r="53" spans="1:28">
      <c r="B53" s="251" t="s">
        <v>1803</v>
      </c>
      <c r="C53" s="269" t="s">
        <v>256</v>
      </c>
      <c r="D53" s="256">
        <v>800</v>
      </c>
      <c r="E53" s="268" t="s">
        <v>755</v>
      </c>
      <c r="F53" s="256">
        <v>111</v>
      </c>
      <c r="G53" s="254">
        <v>44782</v>
      </c>
      <c r="H53" s="268" t="s">
        <v>3819</v>
      </c>
      <c r="I53" s="268" t="s">
        <v>3818</v>
      </c>
      <c r="J53" s="268" t="s">
        <v>614</v>
      </c>
      <c r="K53" s="268" t="s">
        <v>3756</v>
      </c>
      <c r="L53" s="251">
        <v>2017</v>
      </c>
      <c r="N53" s="268" t="s">
        <v>3820</v>
      </c>
      <c r="O53" s="272" t="s">
        <v>565</v>
      </c>
      <c r="P53" s="252">
        <v>55</v>
      </c>
      <c r="Q53" s="272" t="s">
        <v>3829</v>
      </c>
      <c r="R53" s="272" t="s">
        <v>402</v>
      </c>
      <c r="S53" s="252">
        <v>16</v>
      </c>
      <c r="T53" s="272" t="s">
        <v>3833</v>
      </c>
      <c r="U53" s="272" t="s">
        <v>544</v>
      </c>
      <c r="V53" s="252">
        <v>14</v>
      </c>
      <c r="W53" s="272" t="s">
        <v>3834</v>
      </c>
      <c r="X53" s="272" t="s">
        <v>549</v>
      </c>
      <c r="Y53" s="272">
        <v>3.5</v>
      </c>
      <c r="Z53" s="272" t="s">
        <v>3838</v>
      </c>
      <c r="AA53" s="268" t="s">
        <v>1853</v>
      </c>
      <c r="AB53" s="5" t="s">
        <v>3817</v>
      </c>
    </row>
    <row r="54" spans="1:28">
      <c r="A54" s="251">
        <f>A42+1</f>
        <v>27</v>
      </c>
      <c r="B54" s="251" t="s">
        <v>409</v>
      </c>
      <c r="C54" s="255" t="s">
        <v>256</v>
      </c>
      <c r="D54" s="256">
        <v>750</v>
      </c>
      <c r="E54" s="251" t="s">
        <v>402</v>
      </c>
      <c r="F54" s="256">
        <v>100</v>
      </c>
      <c r="G54" s="254">
        <v>45042</v>
      </c>
      <c r="H54" s="251" t="s">
        <v>906</v>
      </c>
      <c r="I54" s="251" t="s">
        <v>907</v>
      </c>
      <c r="J54" s="251" t="s">
        <v>615</v>
      </c>
      <c r="K54" s="251" t="s">
        <v>558</v>
      </c>
      <c r="L54" s="251">
        <v>2019</v>
      </c>
      <c r="M54" s="251" t="s">
        <v>908</v>
      </c>
      <c r="N54" s="251" t="s">
        <v>909</v>
      </c>
      <c r="O54" s="252" t="s">
        <v>544</v>
      </c>
      <c r="P54" s="252">
        <v>28</v>
      </c>
      <c r="Q54" s="252" t="s">
        <v>911</v>
      </c>
      <c r="R54" s="252" t="s">
        <v>549</v>
      </c>
      <c r="S54" s="252">
        <v>10</v>
      </c>
      <c r="T54" s="252" t="s">
        <v>912</v>
      </c>
      <c r="U54" s="252" t="s">
        <v>496</v>
      </c>
      <c r="V54" s="252" t="s">
        <v>496</v>
      </c>
      <c r="W54" s="252" t="s">
        <v>496</v>
      </c>
      <c r="X54" s="252" t="s">
        <v>496</v>
      </c>
      <c r="Y54" s="252" t="s">
        <v>496</v>
      </c>
      <c r="Z54" s="252" t="s">
        <v>496</v>
      </c>
      <c r="AA54" s="251" t="s">
        <v>1110</v>
      </c>
    </row>
    <row r="55" spans="1:28">
      <c r="A55" s="251">
        <v>22</v>
      </c>
      <c r="B55" s="251" t="s">
        <v>617</v>
      </c>
      <c r="C55" s="255" t="s">
        <v>256</v>
      </c>
      <c r="D55" s="256">
        <v>750</v>
      </c>
      <c r="E55" s="251" t="s">
        <v>565</v>
      </c>
      <c r="F55" s="256">
        <v>85</v>
      </c>
      <c r="G55" s="254">
        <v>44501</v>
      </c>
      <c r="H55" s="251" t="s">
        <v>916</v>
      </c>
      <c r="I55" s="251" t="s">
        <v>914</v>
      </c>
      <c r="J55" s="251" t="s">
        <v>615</v>
      </c>
      <c r="K55" s="251" t="s">
        <v>636</v>
      </c>
      <c r="L55" s="258">
        <v>43670</v>
      </c>
      <c r="M55" s="251" t="s">
        <v>915</v>
      </c>
      <c r="N55" s="251" t="s">
        <v>913</v>
      </c>
      <c r="O55" s="252" t="s">
        <v>402</v>
      </c>
      <c r="P55" s="252">
        <v>28</v>
      </c>
      <c r="Q55" s="252" t="s">
        <v>917</v>
      </c>
      <c r="R55" s="252" t="s">
        <v>544</v>
      </c>
      <c r="S55" s="252">
        <v>15</v>
      </c>
      <c r="T55" s="252" t="s">
        <v>918</v>
      </c>
      <c r="U55" s="252" t="s">
        <v>549</v>
      </c>
      <c r="V55" s="252">
        <v>3.9</v>
      </c>
      <c r="W55" s="252" t="s">
        <v>919</v>
      </c>
      <c r="X55" s="252" t="s">
        <v>496</v>
      </c>
      <c r="Y55" s="252" t="s">
        <v>496</v>
      </c>
      <c r="Z55" s="252" t="s">
        <v>496</v>
      </c>
      <c r="AA55" s="251" t="s">
        <v>841</v>
      </c>
    </row>
    <row r="56" spans="1:28">
      <c r="A56" s="251">
        <v>24</v>
      </c>
      <c r="B56" s="251" t="s">
        <v>405</v>
      </c>
      <c r="C56" s="255" t="s">
        <v>256</v>
      </c>
      <c r="D56" s="256">
        <v>600</v>
      </c>
      <c r="E56" s="251" t="s">
        <v>402</v>
      </c>
      <c r="F56" s="256">
        <v>64</v>
      </c>
      <c r="G56" s="254">
        <v>44754</v>
      </c>
      <c r="H56" s="251" t="s">
        <v>505</v>
      </c>
      <c r="I56" s="251" t="s">
        <v>934</v>
      </c>
      <c r="J56" s="251" t="s">
        <v>615</v>
      </c>
      <c r="K56" s="251" t="s">
        <v>642</v>
      </c>
      <c r="L56" s="251">
        <v>2017</v>
      </c>
      <c r="M56" s="5" t="s">
        <v>347</v>
      </c>
      <c r="N56" s="196" t="s">
        <v>935</v>
      </c>
      <c r="O56" s="252" t="s">
        <v>402</v>
      </c>
      <c r="P56" s="252">
        <v>20</v>
      </c>
      <c r="Q56" s="252" t="s">
        <v>936</v>
      </c>
      <c r="R56" s="252" t="s">
        <v>544</v>
      </c>
      <c r="S56" s="252">
        <v>34.5</v>
      </c>
      <c r="T56" s="252" t="s">
        <v>937</v>
      </c>
      <c r="U56" s="252" t="s">
        <v>549</v>
      </c>
      <c r="V56" s="252" t="s">
        <v>496</v>
      </c>
      <c r="W56" s="252" t="s">
        <v>937</v>
      </c>
      <c r="X56" s="252" t="s">
        <v>496</v>
      </c>
      <c r="Y56" s="252" t="s">
        <v>496</v>
      </c>
      <c r="Z56" s="252" t="s">
        <v>496</v>
      </c>
      <c r="AA56" s="251" t="s">
        <v>933</v>
      </c>
    </row>
    <row r="57" spans="1:28">
      <c r="B57" s="251" t="s">
        <v>545</v>
      </c>
      <c r="C57" s="255" t="s">
        <v>256</v>
      </c>
      <c r="D57" s="256">
        <v>550</v>
      </c>
      <c r="E57" s="251" t="s">
        <v>565</v>
      </c>
      <c r="F57" s="256">
        <v>50</v>
      </c>
      <c r="G57" s="254">
        <v>44861</v>
      </c>
      <c r="H57" s="251" t="s">
        <v>951</v>
      </c>
      <c r="I57" s="251" t="s">
        <v>566</v>
      </c>
      <c r="J57" s="251" t="s">
        <v>613</v>
      </c>
      <c r="K57" s="251" t="s">
        <v>639</v>
      </c>
      <c r="L57" s="251">
        <v>2017</v>
      </c>
      <c r="M57" s="251" t="s">
        <v>966</v>
      </c>
      <c r="N57" s="251" t="s">
        <v>952</v>
      </c>
      <c r="O57" s="252" t="s">
        <v>402</v>
      </c>
      <c r="P57" s="252">
        <v>30</v>
      </c>
      <c r="Q57" s="252" t="s">
        <v>953</v>
      </c>
      <c r="R57" s="252" t="s">
        <v>544</v>
      </c>
      <c r="S57" s="252">
        <v>15</v>
      </c>
      <c r="T57" s="252" t="s">
        <v>954</v>
      </c>
      <c r="U57" s="252" t="s">
        <v>549</v>
      </c>
      <c r="V57" s="252">
        <v>5</v>
      </c>
      <c r="W57" s="252" t="s">
        <v>868</v>
      </c>
      <c r="X57" s="252" t="s">
        <v>496</v>
      </c>
      <c r="Y57" s="252" t="s">
        <v>496</v>
      </c>
      <c r="Z57" s="252" t="s">
        <v>496</v>
      </c>
      <c r="AA57" s="251" t="s">
        <v>834</v>
      </c>
    </row>
    <row r="58" spans="1:28">
      <c r="A58" s="251">
        <v>25</v>
      </c>
      <c r="B58" s="251" t="s">
        <v>610</v>
      </c>
      <c r="C58" s="255" t="s">
        <v>256</v>
      </c>
      <c r="D58" s="256">
        <v>500</v>
      </c>
      <c r="E58" s="251" t="s">
        <v>402</v>
      </c>
      <c r="F58" s="256">
        <v>140</v>
      </c>
      <c r="G58" s="205">
        <v>44393</v>
      </c>
      <c r="H58" s="251" t="s">
        <v>955</v>
      </c>
      <c r="I58" s="251" t="s">
        <v>956</v>
      </c>
      <c r="J58" s="251" t="s">
        <v>614</v>
      </c>
      <c r="K58" s="251" t="s">
        <v>636</v>
      </c>
      <c r="L58" s="251">
        <v>2019</v>
      </c>
      <c r="M58" s="251" t="s">
        <v>958</v>
      </c>
      <c r="N58" s="251" t="s">
        <v>957</v>
      </c>
      <c r="O58" s="252" t="s">
        <v>549</v>
      </c>
      <c r="P58" s="252">
        <v>50</v>
      </c>
      <c r="Q58" s="252" t="s">
        <v>496</v>
      </c>
      <c r="R58" s="252" t="s">
        <v>496</v>
      </c>
      <c r="S58" s="252" t="s">
        <v>496</v>
      </c>
      <c r="T58" s="252" t="s">
        <v>496</v>
      </c>
      <c r="U58" s="252" t="s">
        <v>496</v>
      </c>
      <c r="V58" s="252" t="s">
        <v>496</v>
      </c>
      <c r="W58" s="252" t="s">
        <v>496</v>
      </c>
      <c r="X58" s="252" t="s">
        <v>496</v>
      </c>
      <c r="Y58" s="252" t="s">
        <v>496</v>
      </c>
      <c r="Z58" s="252" t="s">
        <v>496</v>
      </c>
      <c r="AA58" s="251" t="s">
        <v>844</v>
      </c>
    </row>
    <row r="59" spans="1:28">
      <c r="B59" s="251" t="s">
        <v>1332</v>
      </c>
      <c r="C59" s="255" t="s">
        <v>256</v>
      </c>
      <c r="D59" s="256">
        <v>500</v>
      </c>
      <c r="E59" s="251" t="s">
        <v>402</v>
      </c>
      <c r="F59" s="256">
        <v>93</v>
      </c>
      <c r="G59" s="205">
        <v>43018</v>
      </c>
      <c r="H59" s="251" t="s">
        <v>2653</v>
      </c>
      <c r="I59" s="251" t="s">
        <v>2652</v>
      </c>
      <c r="J59" s="251" t="s">
        <v>614</v>
      </c>
      <c r="K59" s="251" t="s">
        <v>2545</v>
      </c>
      <c r="L59" s="251">
        <v>2016</v>
      </c>
      <c r="M59" s="251" t="s">
        <v>2660</v>
      </c>
      <c r="N59" s="251" t="s">
        <v>2654</v>
      </c>
      <c r="O59" s="252" t="s">
        <v>544</v>
      </c>
      <c r="P59" s="252">
        <v>15</v>
      </c>
      <c r="Q59" s="252" t="s">
        <v>2656</v>
      </c>
      <c r="R59" s="252" t="s">
        <v>496</v>
      </c>
      <c r="S59" s="252" t="s">
        <v>496</v>
      </c>
      <c r="T59" s="252" t="s">
        <v>496</v>
      </c>
      <c r="U59" s="252" t="s">
        <v>496</v>
      </c>
      <c r="V59" s="252" t="s">
        <v>496</v>
      </c>
      <c r="W59" s="252" t="s">
        <v>496</v>
      </c>
      <c r="X59" s="252" t="s">
        <v>496</v>
      </c>
      <c r="Y59" s="252" t="s">
        <v>496</v>
      </c>
      <c r="Z59" s="252" t="s">
        <v>496</v>
      </c>
      <c r="AA59" s="251" t="s">
        <v>2651</v>
      </c>
    </row>
    <row r="60" spans="1:28">
      <c r="B60" s="251" t="s">
        <v>1603</v>
      </c>
      <c r="C60" s="255" t="s">
        <v>256</v>
      </c>
      <c r="D60" s="256">
        <v>500</v>
      </c>
      <c r="E60" s="251" t="s">
        <v>565</v>
      </c>
      <c r="F60" s="256">
        <v>91</v>
      </c>
      <c r="G60" s="254">
        <v>44867</v>
      </c>
      <c r="H60" s="251" t="s">
        <v>3175</v>
      </c>
      <c r="I60" s="251" t="s">
        <v>3174</v>
      </c>
      <c r="J60" s="251" t="s">
        <v>614</v>
      </c>
      <c r="K60" s="251" t="s">
        <v>3172</v>
      </c>
      <c r="L60" s="251">
        <v>2015</v>
      </c>
      <c r="N60" s="251" t="s">
        <v>3176</v>
      </c>
      <c r="O60" s="252" t="s">
        <v>402</v>
      </c>
      <c r="P60" s="252">
        <v>55</v>
      </c>
      <c r="Q60" s="252" t="s">
        <v>3184</v>
      </c>
      <c r="R60" s="252" t="s">
        <v>544</v>
      </c>
      <c r="S60" s="252">
        <v>16</v>
      </c>
      <c r="T60" s="252" t="s">
        <v>3185</v>
      </c>
      <c r="U60" s="252" t="s">
        <v>549</v>
      </c>
      <c r="V60" s="252">
        <v>3.2</v>
      </c>
      <c r="W60" s="252" t="s">
        <v>3186</v>
      </c>
      <c r="X60" s="252" t="s">
        <v>496</v>
      </c>
      <c r="Y60" s="252" t="s">
        <v>496</v>
      </c>
      <c r="Z60" s="252" t="s">
        <v>496</v>
      </c>
      <c r="AA60" s="251" t="s">
        <v>3173</v>
      </c>
    </row>
    <row r="61" spans="1:28">
      <c r="B61" s="251" t="s">
        <v>1257</v>
      </c>
      <c r="C61" s="255" t="s">
        <v>256</v>
      </c>
      <c r="D61" s="256">
        <v>500</v>
      </c>
      <c r="E61" s="251" t="s">
        <v>755</v>
      </c>
      <c r="F61" s="256">
        <v>90</v>
      </c>
      <c r="G61" s="254">
        <v>44776</v>
      </c>
      <c r="H61" s="251" t="s">
        <v>2584</v>
      </c>
      <c r="I61" s="251" t="s">
        <v>2582</v>
      </c>
      <c r="J61" s="251" t="s">
        <v>614</v>
      </c>
      <c r="K61" s="251" t="s">
        <v>2585</v>
      </c>
      <c r="L61" s="251">
        <v>2017</v>
      </c>
      <c r="N61" s="251" t="s">
        <v>2583</v>
      </c>
      <c r="O61" s="252" t="s">
        <v>565</v>
      </c>
      <c r="P61" s="252">
        <v>40</v>
      </c>
      <c r="Q61" s="252" t="s">
        <v>2593</v>
      </c>
      <c r="R61" s="252" t="s">
        <v>402</v>
      </c>
      <c r="S61" s="252">
        <v>20</v>
      </c>
      <c r="T61" s="252" t="s">
        <v>2594</v>
      </c>
      <c r="U61" s="252" t="s">
        <v>402</v>
      </c>
      <c r="V61" s="252">
        <v>14.5</v>
      </c>
      <c r="W61" s="252" t="s">
        <v>1593</v>
      </c>
      <c r="X61" s="252" t="s">
        <v>496</v>
      </c>
      <c r="Y61" s="252" t="s">
        <v>496</v>
      </c>
      <c r="Z61" s="252" t="s">
        <v>496</v>
      </c>
      <c r="AA61" s="251" t="s">
        <v>1853</v>
      </c>
    </row>
    <row r="62" spans="1:28">
      <c r="B62" s="251" t="s">
        <v>621</v>
      </c>
      <c r="C62" s="255" t="s">
        <v>256</v>
      </c>
      <c r="D62" s="256">
        <v>500</v>
      </c>
      <c r="E62" s="251" t="s">
        <v>565</v>
      </c>
      <c r="F62" s="256">
        <v>80</v>
      </c>
      <c r="G62" s="254">
        <v>44782</v>
      </c>
      <c r="J62" s="251" t="s">
        <v>614</v>
      </c>
      <c r="K62" s="251" t="s">
        <v>622</v>
      </c>
      <c r="L62" s="259">
        <v>43497</v>
      </c>
      <c r="M62" s="251" t="s">
        <v>606</v>
      </c>
      <c r="N62" s="251" t="s">
        <v>1685</v>
      </c>
      <c r="O62" s="252" t="s">
        <v>549</v>
      </c>
      <c r="P62" s="252">
        <v>14</v>
      </c>
      <c r="Q62" s="252" t="s">
        <v>1686</v>
      </c>
      <c r="R62" s="252" t="s">
        <v>810</v>
      </c>
      <c r="S62" s="252">
        <v>10</v>
      </c>
      <c r="T62" s="252" t="s">
        <v>1687</v>
      </c>
      <c r="U62" s="252" t="s">
        <v>496</v>
      </c>
      <c r="V62" s="252" t="s">
        <v>496</v>
      </c>
      <c r="W62" s="252" t="s">
        <v>496</v>
      </c>
      <c r="X62" s="252" t="s">
        <v>496</v>
      </c>
      <c r="Y62" s="252" t="s">
        <v>496</v>
      </c>
      <c r="Z62" s="252" t="s">
        <v>496</v>
      </c>
      <c r="AA62" s="251" t="s">
        <v>1684</v>
      </c>
    </row>
    <row r="63" spans="1:28">
      <c r="B63" s="251" t="s">
        <v>1690</v>
      </c>
      <c r="C63" s="255" t="s">
        <v>256</v>
      </c>
      <c r="D63" s="256">
        <v>500</v>
      </c>
      <c r="E63" s="251" t="s">
        <v>402</v>
      </c>
      <c r="F63" s="256" t="s">
        <v>496</v>
      </c>
      <c r="G63" s="254">
        <v>44616</v>
      </c>
      <c r="H63" s="251" t="s">
        <v>3744</v>
      </c>
      <c r="J63" s="251" t="s">
        <v>614</v>
      </c>
      <c r="K63" s="251" t="s">
        <v>1566</v>
      </c>
      <c r="L63" s="251">
        <v>2019</v>
      </c>
      <c r="M63" s="251" t="s">
        <v>3745</v>
      </c>
      <c r="N63" s="251" t="s">
        <v>3743</v>
      </c>
      <c r="O63" s="252" t="s">
        <v>496</v>
      </c>
      <c r="P63" s="252" t="s">
        <v>496</v>
      </c>
      <c r="Q63" s="252" t="s">
        <v>496</v>
      </c>
      <c r="R63" s="252" t="s">
        <v>496</v>
      </c>
      <c r="S63" s="252" t="s">
        <v>496</v>
      </c>
      <c r="T63" s="252" t="s">
        <v>496</v>
      </c>
      <c r="U63" s="252" t="s">
        <v>496</v>
      </c>
      <c r="V63" s="252" t="s">
        <v>496</v>
      </c>
      <c r="W63" s="252" t="s">
        <v>496</v>
      </c>
      <c r="X63" s="252" t="s">
        <v>496</v>
      </c>
      <c r="Y63" s="252" t="s">
        <v>496</v>
      </c>
      <c r="Z63" s="252" t="s">
        <v>496</v>
      </c>
      <c r="AA63" s="251" t="s">
        <v>1930</v>
      </c>
    </row>
    <row r="64" spans="1:28">
      <c r="B64" s="251" t="s">
        <v>1580</v>
      </c>
      <c r="C64" s="255" t="s">
        <v>256</v>
      </c>
      <c r="D64" s="256">
        <v>500</v>
      </c>
      <c r="E64" s="251" t="s">
        <v>565</v>
      </c>
      <c r="F64" s="256">
        <v>75</v>
      </c>
      <c r="G64" s="254">
        <v>45020</v>
      </c>
      <c r="H64" s="251" t="s">
        <v>2672</v>
      </c>
      <c r="I64" s="251" t="s">
        <v>2673</v>
      </c>
      <c r="J64" s="251" t="s">
        <v>614</v>
      </c>
      <c r="K64" s="251" t="s">
        <v>658</v>
      </c>
      <c r="L64" s="251">
        <v>2017</v>
      </c>
      <c r="N64" s="251" t="s">
        <v>2674</v>
      </c>
      <c r="O64" s="252" t="s">
        <v>565</v>
      </c>
      <c r="P64" s="252">
        <v>80</v>
      </c>
      <c r="Q64" s="252" t="s">
        <v>2677</v>
      </c>
      <c r="R64" s="252" t="s">
        <v>402</v>
      </c>
      <c r="S64" s="252">
        <v>40</v>
      </c>
      <c r="T64" s="252" t="s">
        <v>2679</v>
      </c>
      <c r="U64" s="252" t="s">
        <v>544</v>
      </c>
      <c r="V64" s="252">
        <v>20</v>
      </c>
      <c r="W64" s="252" t="s">
        <v>2680</v>
      </c>
      <c r="X64" s="252" t="s">
        <v>549</v>
      </c>
      <c r="Y64" s="252">
        <v>7</v>
      </c>
      <c r="Z64" s="252" t="s">
        <v>2681</v>
      </c>
      <c r="AA64" s="251" t="s">
        <v>2671</v>
      </c>
    </row>
    <row r="65" spans="1:27">
      <c r="B65" s="251" t="s">
        <v>1632</v>
      </c>
      <c r="C65" s="255" t="s">
        <v>256</v>
      </c>
      <c r="D65" s="256">
        <v>500</v>
      </c>
      <c r="E65" s="251" t="s">
        <v>755</v>
      </c>
      <c r="F65" s="256">
        <v>69</v>
      </c>
      <c r="G65" s="254">
        <v>45091</v>
      </c>
      <c r="H65" s="251" t="s">
        <v>3213</v>
      </c>
      <c r="I65" s="251" t="s">
        <v>3211</v>
      </c>
      <c r="J65" s="251" t="s">
        <v>614</v>
      </c>
      <c r="K65" s="251" t="s">
        <v>3212</v>
      </c>
      <c r="L65" s="251">
        <v>2015</v>
      </c>
      <c r="N65" s="251" t="s">
        <v>3214</v>
      </c>
      <c r="O65" s="252" t="s">
        <v>565</v>
      </c>
      <c r="P65" s="252">
        <v>110</v>
      </c>
      <c r="Q65" s="252" t="s">
        <v>3215</v>
      </c>
      <c r="R65" s="252" t="s">
        <v>402</v>
      </c>
      <c r="S65" s="252">
        <v>40</v>
      </c>
      <c r="T65" s="252" t="s">
        <v>3218</v>
      </c>
      <c r="U65" s="252" t="s">
        <v>544</v>
      </c>
      <c r="V65" s="252">
        <v>14.7</v>
      </c>
      <c r="W65" s="252" t="s">
        <v>3219</v>
      </c>
      <c r="X65" s="252" t="s">
        <v>549</v>
      </c>
      <c r="Y65" s="252" t="s">
        <v>496</v>
      </c>
      <c r="Z65" s="252" t="s">
        <v>3220</v>
      </c>
      <c r="AA65" s="251" t="s">
        <v>1853</v>
      </c>
    </row>
    <row r="66" spans="1:27">
      <c r="B66" s="251" t="s">
        <v>1333</v>
      </c>
      <c r="C66" s="255" t="s">
        <v>256</v>
      </c>
      <c r="D66" s="256">
        <v>400</v>
      </c>
      <c r="E66" s="251" t="s">
        <v>565</v>
      </c>
      <c r="F66" s="256">
        <v>65</v>
      </c>
      <c r="G66" s="254">
        <v>43789</v>
      </c>
      <c r="H66" s="251" t="s">
        <v>739</v>
      </c>
      <c r="I66" s="251" t="s">
        <v>2712</v>
      </c>
      <c r="J66" s="251" t="s">
        <v>614</v>
      </c>
      <c r="K66" s="251" t="s">
        <v>739</v>
      </c>
      <c r="L66" s="251">
        <v>2010</v>
      </c>
      <c r="N66" s="251" t="s">
        <v>2715</v>
      </c>
      <c r="O66" s="252" t="s">
        <v>402</v>
      </c>
      <c r="P66" s="252">
        <v>7.3</v>
      </c>
      <c r="Q66" s="252" t="s">
        <v>2717</v>
      </c>
      <c r="R66" s="252" t="s">
        <v>544</v>
      </c>
      <c r="S66" s="252">
        <v>2</v>
      </c>
      <c r="T66" s="260" t="s">
        <v>2718</v>
      </c>
      <c r="U66" s="252" t="s">
        <v>496</v>
      </c>
      <c r="V66" s="252" t="s">
        <v>496</v>
      </c>
      <c r="W66" s="252" t="s">
        <v>496</v>
      </c>
      <c r="X66" s="252" t="s">
        <v>496</v>
      </c>
      <c r="Y66" s="252" t="s">
        <v>496</v>
      </c>
      <c r="Z66" s="252" t="s">
        <v>496</v>
      </c>
      <c r="AA66" s="251" t="s">
        <v>2711</v>
      </c>
    </row>
    <row r="67" spans="1:27">
      <c r="B67" s="251" t="s">
        <v>2331</v>
      </c>
      <c r="C67" s="255" t="s">
        <v>256</v>
      </c>
      <c r="D67" s="256">
        <v>400</v>
      </c>
      <c r="E67" s="251" t="s">
        <v>544</v>
      </c>
      <c r="F67" s="256">
        <v>90</v>
      </c>
      <c r="G67" s="254">
        <v>45006</v>
      </c>
      <c r="H67" s="251" t="s">
        <v>2333</v>
      </c>
      <c r="I67" s="251" t="s">
        <v>2332</v>
      </c>
      <c r="J67" s="251" t="s">
        <v>614</v>
      </c>
      <c r="K67" s="251" t="s">
        <v>430</v>
      </c>
      <c r="L67" s="251">
        <v>2021</v>
      </c>
      <c r="N67" s="251" t="s">
        <v>2334</v>
      </c>
      <c r="O67" s="252" t="s">
        <v>496</v>
      </c>
      <c r="P67" s="252" t="s">
        <v>496</v>
      </c>
      <c r="Q67" s="252" t="s">
        <v>496</v>
      </c>
      <c r="R67" s="252" t="s">
        <v>496</v>
      </c>
      <c r="S67" s="252" t="s">
        <v>496</v>
      </c>
      <c r="T67" s="252" t="s">
        <v>496</v>
      </c>
      <c r="U67" s="252" t="s">
        <v>496</v>
      </c>
      <c r="V67" s="252" t="s">
        <v>496</v>
      </c>
      <c r="W67" s="252" t="s">
        <v>496</v>
      </c>
      <c r="X67" s="252" t="s">
        <v>496</v>
      </c>
      <c r="Y67" s="252" t="s">
        <v>496</v>
      </c>
      <c r="Z67" s="252" t="s">
        <v>496</v>
      </c>
      <c r="AA67" s="251" t="s">
        <v>2276</v>
      </c>
    </row>
    <row r="68" spans="1:27">
      <c r="B68" s="251" t="s">
        <v>3022</v>
      </c>
      <c r="C68" s="255" t="s">
        <v>256</v>
      </c>
      <c r="D68" s="256">
        <v>300</v>
      </c>
      <c r="E68" s="251" t="s">
        <v>402</v>
      </c>
      <c r="F68" s="256">
        <v>120</v>
      </c>
      <c r="G68" s="254">
        <v>44602</v>
      </c>
      <c r="H68" s="251" t="s">
        <v>3026</v>
      </c>
      <c r="I68" s="251" t="s">
        <v>3023</v>
      </c>
      <c r="J68" s="251" t="s">
        <v>614</v>
      </c>
      <c r="K68" s="251" t="s">
        <v>567</v>
      </c>
      <c r="L68" s="251">
        <v>2011</v>
      </c>
      <c r="N68" s="251" t="s">
        <v>3024</v>
      </c>
      <c r="O68" s="252" t="s">
        <v>544</v>
      </c>
      <c r="P68" s="252">
        <v>50</v>
      </c>
      <c r="Q68" s="252" t="s">
        <v>3025</v>
      </c>
      <c r="R68" s="252" t="s">
        <v>549</v>
      </c>
      <c r="S68" s="252">
        <v>20</v>
      </c>
      <c r="T68" s="252" t="s">
        <v>496</v>
      </c>
      <c r="U68" s="252" t="s">
        <v>496</v>
      </c>
      <c r="V68" s="252" t="s">
        <v>496</v>
      </c>
      <c r="W68" s="252" t="s">
        <v>496</v>
      </c>
      <c r="X68" s="252" t="s">
        <v>496</v>
      </c>
      <c r="Y68" s="252" t="s">
        <v>496</v>
      </c>
      <c r="Z68" s="252" t="s">
        <v>496</v>
      </c>
      <c r="AA68" s="251" t="s">
        <v>1183</v>
      </c>
    </row>
    <row r="69" spans="1:27">
      <c r="B69" s="251" t="s">
        <v>443</v>
      </c>
      <c r="C69" s="255" t="s">
        <v>256</v>
      </c>
      <c r="D69" s="256">
        <v>300</v>
      </c>
      <c r="E69" s="251" t="s">
        <v>544</v>
      </c>
      <c r="F69" s="256">
        <v>100</v>
      </c>
      <c r="G69" s="205">
        <v>44349</v>
      </c>
      <c r="H69" s="251" t="s">
        <v>2178</v>
      </c>
      <c r="I69" s="251" t="s">
        <v>2176</v>
      </c>
      <c r="J69" s="251" t="s">
        <v>614</v>
      </c>
      <c r="K69" s="251" t="s">
        <v>2175</v>
      </c>
      <c r="L69" s="251">
        <v>2020</v>
      </c>
      <c r="N69" s="251" t="s">
        <v>2177</v>
      </c>
      <c r="O69" s="252" t="s">
        <v>496</v>
      </c>
      <c r="P69" s="252" t="s">
        <v>496</v>
      </c>
      <c r="Q69" s="252" t="s">
        <v>496</v>
      </c>
      <c r="R69" s="252" t="s">
        <v>496</v>
      </c>
      <c r="S69" s="252" t="s">
        <v>496</v>
      </c>
      <c r="T69" s="252" t="s">
        <v>496</v>
      </c>
      <c r="U69" s="252" t="s">
        <v>496</v>
      </c>
      <c r="V69" s="252" t="s">
        <v>496</v>
      </c>
      <c r="W69" s="252" t="s">
        <v>496</v>
      </c>
      <c r="X69" s="252" t="s">
        <v>496</v>
      </c>
      <c r="Y69" s="252" t="s">
        <v>496</v>
      </c>
      <c r="Z69" s="252" t="s">
        <v>496</v>
      </c>
      <c r="AA69" s="251" t="s">
        <v>2174</v>
      </c>
    </row>
    <row r="70" spans="1:27">
      <c r="B70" s="251" t="s">
        <v>1464</v>
      </c>
      <c r="C70" s="255" t="s">
        <v>256</v>
      </c>
      <c r="D70" s="256">
        <v>300</v>
      </c>
      <c r="E70" s="251" t="s">
        <v>544</v>
      </c>
      <c r="F70" s="256">
        <f>72*1.2</f>
        <v>86.399999999999991</v>
      </c>
      <c r="G70" s="254">
        <v>44488</v>
      </c>
      <c r="H70" s="251" t="s">
        <v>2852</v>
      </c>
      <c r="I70" s="251" t="s">
        <v>2849</v>
      </c>
      <c r="J70" s="251" t="s">
        <v>614</v>
      </c>
      <c r="K70" s="251" t="s">
        <v>2853</v>
      </c>
      <c r="L70" s="251">
        <v>2017</v>
      </c>
      <c r="M70" s="251" t="s">
        <v>2854</v>
      </c>
      <c r="N70" s="251" t="s">
        <v>2851</v>
      </c>
      <c r="O70" s="252" t="s">
        <v>549</v>
      </c>
      <c r="P70" s="252">
        <v>8.5</v>
      </c>
      <c r="Q70" s="252" t="s">
        <v>2858</v>
      </c>
      <c r="R70" s="252" t="s">
        <v>549</v>
      </c>
      <c r="S70" s="252">
        <v>0.75</v>
      </c>
      <c r="T70" s="252" t="s">
        <v>2860</v>
      </c>
      <c r="U70" s="252" t="s">
        <v>496</v>
      </c>
      <c r="V70" s="252" t="s">
        <v>496</v>
      </c>
      <c r="W70" s="252" t="s">
        <v>496</v>
      </c>
      <c r="X70" s="252" t="s">
        <v>496</v>
      </c>
      <c r="Y70" s="252" t="s">
        <v>496</v>
      </c>
      <c r="Z70" s="252" t="s">
        <v>496</v>
      </c>
      <c r="AA70" s="251" t="s">
        <v>833</v>
      </c>
    </row>
    <row r="71" spans="1:27">
      <c r="B71" s="251" t="s">
        <v>1525</v>
      </c>
      <c r="C71" s="255" t="s">
        <v>256</v>
      </c>
      <c r="D71" s="256">
        <v>260</v>
      </c>
      <c r="E71" s="251" t="s">
        <v>544</v>
      </c>
      <c r="F71" s="256">
        <v>40</v>
      </c>
      <c r="G71" s="254">
        <v>44811</v>
      </c>
      <c r="H71" s="251" t="s">
        <v>698</v>
      </c>
      <c r="J71" s="251" t="s">
        <v>614</v>
      </c>
      <c r="K71" s="251" t="s">
        <v>698</v>
      </c>
      <c r="L71" s="251">
        <v>2017</v>
      </c>
      <c r="N71" s="251" t="s">
        <v>2308</v>
      </c>
      <c r="O71" s="252" t="s">
        <v>544</v>
      </c>
      <c r="P71" s="252">
        <v>14</v>
      </c>
      <c r="Q71" s="252" t="s">
        <v>2310</v>
      </c>
      <c r="R71" s="252" t="s">
        <v>544</v>
      </c>
      <c r="S71" s="252">
        <v>12</v>
      </c>
      <c r="T71" s="252" t="s">
        <v>2313</v>
      </c>
      <c r="U71" s="252" t="s">
        <v>549</v>
      </c>
      <c r="V71" s="252" t="s">
        <v>496</v>
      </c>
      <c r="W71" s="252" t="s">
        <v>2311</v>
      </c>
      <c r="X71" s="252" t="s">
        <v>496</v>
      </c>
      <c r="Y71" s="252" t="s">
        <v>496</v>
      </c>
      <c r="Z71" s="252" t="s">
        <v>496</v>
      </c>
      <c r="AA71" s="251" t="s">
        <v>2240</v>
      </c>
    </row>
    <row r="72" spans="1:27">
      <c r="A72" s="251">
        <f>A97+1</f>
        <v>38</v>
      </c>
      <c r="B72" s="251" t="s">
        <v>647</v>
      </c>
      <c r="C72" s="255" t="s">
        <v>256</v>
      </c>
      <c r="D72" s="256">
        <v>257</v>
      </c>
      <c r="E72" s="251" t="s">
        <v>402</v>
      </c>
      <c r="F72" s="256">
        <v>43</v>
      </c>
      <c r="G72" s="254">
        <v>44978</v>
      </c>
      <c r="H72" s="251" t="s">
        <v>1061</v>
      </c>
      <c r="J72" s="251" t="s">
        <v>614</v>
      </c>
      <c r="K72" s="251" t="s">
        <v>619</v>
      </c>
      <c r="L72" s="261" t="s">
        <v>648</v>
      </c>
      <c r="N72" s="251" t="s">
        <v>1056</v>
      </c>
      <c r="O72" s="252" t="s">
        <v>544</v>
      </c>
      <c r="P72" s="252">
        <v>26</v>
      </c>
      <c r="Q72" s="252" t="s">
        <v>1059</v>
      </c>
      <c r="R72" s="252" t="s">
        <v>549</v>
      </c>
      <c r="S72" s="252" t="s">
        <v>496</v>
      </c>
      <c r="T72" s="252" t="s">
        <v>1060</v>
      </c>
      <c r="U72" s="252" t="s">
        <v>496</v>
      </c>
      <c r="V72" s="252" t="s">
        <v>496</v>
      </c>
      <c r="W72" s="252" t="s">
        <v>496</v>
      </c>
      <c r="X72" s="252" t="s">
        <v>496</v>
      </c>
      <c r="Y72" s="252" t="s">
        <v>496</v>
      </c>
      <c r="Z72" s="252" t="s">
        <v>496</v>
      </c>
      <c r="AA72" s="251" t="s">
        <v>834</v>
      </c>
    </row>
    <row r="73" spans="1:27">
      <c r="A73" s="251">
        <f>A74+1</f>
        <v>32</v>
      </c>
      <c r="B73" s="251" t="s">
        <v>635</v>
      </c>
      <c r="C73" s="255" t="s">
        <v>256</v>
      </c>
      <c r="D73" s="256">
        <v>250</v>
      </c>
      <c r="E73" s="251" t="s">
        <v>544</v>
      </c>
      <c r="F73" s="256">
        <v>50</v>
      </c>
      <c r="G73" s="254">
        <v>44655</v>
      </c>
      <c r="H73" s="251" t="s">
        <v>1010</v>
      </c>
      <c r="J73" s="196" t="s">
        <v>614</v>
      </c>
      <c r="K73" s="196" t="s">
        <v>637</v>
      </c>
      <c r="L73" s="259">
        <v>44075</v>
      </c>
      <c r="N73" s="251" t="s">
        <v>1012</v>
      </c>
      <c r="O73" s="252" t="s">
        <v>549</v>
      </c>
      <c r="P73" s="252">
        <v>6</v>
      </c>
      <c r="Q73" s="252" t="s">
        <v>1013</v>
      </c>
      <c r="R73" s="252" t="s">
        <v>496</v>
      </c>
      <c r="S73" s="252" t="s">
        <v>496</v>
      </c>
      <c r="T73" s="252" t="s">
        <v>496</v>
      </c>
      <c r="U73" s="252" t="s">
        <v>496</v>
      </c>
      <c r="V73" s="252" t="s">
        <v>496</v>
      </c>
      <c r="W73" s="252" t="s">
        <v>496</v>
      </c>
      <c r="X73" s="252" t="s">
        <v>496</v>
      </c>
      <c r="Y73" s="252" t="s">
        <v>496</v>
      </c>
      <c r="Z73" s="252" t="s">
        <v>496</v>
      </c>
      <c r="AA73" s="251" t="s">
        <v>1011</v>
      </c>
    </row>
    <row r="74" spans="1:27">
      <c r="A74" s="251">
        <f>A85+1</f>
        <v>31</v>
      </c>
      <c r="B74" s="251" t="s">
        <v>626</v>
      </c>
      <c r="C74" s="255" t="s">
        <v>256</v>
      </c>
      <c r="D74" s="256">
        <v>250</v>
      </c>
      <c r="E74" s="251" t="s">
        <v>565</v>
      </c>
      <c r="F74" s="256">
        <v>50</v>
      </c>
      <c r="G74" s="205">
        <v>44496</v>
      </c>
      <c r="H74" s="251" t="s">
        <v>1006</v>
      </c>
      <c r="I74" s="251" t="s">
        <v>997</v>
      </c>
      <c r="J74" s="251" t="s">
        <v>615</v>
      </c>
      <c r="K74" s="251" t="s">
        <v>636</v>
      </c>
      <c r="L74" s="259">
        <v>43556</v>
      </c>
      <c r="N74" s="251" t="s">
        <v>998</v>
      </c>
      <c r="O74" s="252" t="s">
        <v>402</v>
      </c>
      <c r="P74" s="252">
        <v>22</v>
      </c>
      <c r="Q74" s="252" t="s">
        <v>1000</v>
      </c>
      <c r="R74" s="252" t="s">
        <v>1002</v>
      </c>
      <c r="S74" s="252">
        <v>13</v>
      </c>
      <c r="T74" s="252" t="s">
        <v>1003</v>
      </c>
      <c r="U74" s="252" t="s">
        <v>1004</v>
      </c>
      <c r="V74" s="252">
        <v>5.3</v>
      </c>
      <c r="W74" s="252" t="s">
        <v>1005</v>
      </c>
      <c r="X74" s="252" t="s">
        <v>496</v>
      </c>
      <c r="Y74" s="252" t="s">
        <v>496</v>
      </c>
      <c r="Z74" s="252" t="s">
        <v>496</v>
      </c>
      <c r="AA74" s="251" t="s">
        <v>834</v>
      </c>
    </row>
    <row r="75" spans="1:27">
      <c r="B75" s="251" t="s">
        <v>421</v>
      </c>
      <c r="C75" s="255" t="s">
        <v>256</v>
      </c>
      <c r="D75" s="256">
        <v>250</v>
      </c>
      <c r="E75" s="251" t="s">
        <v>544</v>
      </c>
      <c r="F75" s="256">
        <v>40</v>
      </c>
      <c r="G75" s="254">
        <v>45014</v>
      </c>
      <c r="H75" s="251" t="s">
        <v>2432</v>
      </c>
      <c r="I75" s="251" t="s">
        <v>2433</v>
      </c>
      <c r="J75" s="251" t="s">
        <v>613</v>
      </c>
      <c r="K75" s="251" t="s">
        <v>555</v>
      </c>
      <c r="L75" s="251">
        <v>2017</v>
      </c>
      <c r="M75" s="251" t="s">
        <v>2436</v>
      </c>
      <c r="N75" s="251" t="s">
        <v>556</v>
      </c>
      <c r="O75" s="252" t="s">
        <v>549</v>
      </c>
      <c r="P75" s="252">
        <v>5</v>
      </c>
      <c r="Q75" s="252" t="s">
        <v>2434</v>
      </c>
      <c r="R75" s="252" t="s">
        <v>549</v>
      </c>
      <c r="S75" s="252">
        <v>15</v>
      </c>
      <c r="T75" s="252" t="s">
        <v>2435</v>
      </c>
      <c r="U75" s="252" t="s">
        <v>496</v>
      </c>
      <c r="V75" s="252" t="s">
        <v>496</v>
      </c>
      <c r="W75" s="252" t="s">
        <v>496</v>
      </c>
      <c r="X75" s="252" t="s">
        <v>496</v>
      </c>
      <c r="Y75" s="252" t="s">
        <v>496</v>
      </c>
      <c r="Z75" s="252" t="s">
        <v>496</v>
      </c>
      <c r="AA75" s="251" t="s">
        <v>2431</v>
      </c>
    </row>
    <row r="76" spans="1:27">
      <c r="B76" s="251" t="s">
        <v>1160</v>
      </c>
      <c r="C76" s="255" t="s">
        <v>256</v>
      </c>
      <c r="D76" s="256">
        <v>245</v>
      </c>
      <c r="E76" s="251" t="s">
        <v>402</v>
      </c>
      <c r="F76" s="256">
        <v>30</v>
      </c>
      <c r="G76" s="205">
        <v>44510</v>
      </c>
      <c r="H76" s="251" t="s">
        <v>1161</v>
      </c>
      <c r="J76" s="251" t="s">
        <v>614</v>
      </c>
      <c r="K76" s="197" t="s">
        <v>430</v>
      </c>
      <c r="L76" s="198">
        <v>43497</v>
      </c>
      <c r="M76" s="196" t="s">
        <v>430</v>
      </c>
      <c r="N76" s="251" t="s">
        <v>1162</v>
      </c>
      <c r="O76" s="252" t="s">
        <v>544</v>
      </c>
      <c r="P76" s="252">
        <v>21.4</v>
      </c>
      <c r="Q76" s="252" t="s">
        <v>1164</v>
      </c>
      <c r="R76" s="252" t="s">
        <v>1170</v>
      </c>
      <c r="S76" s="252" t="s">
        <v>496</v>
      </c>
      <c r="T76" s="252" t="s">
        <v>1168</v>
      </c>
      <c r="U76" s="252" t="s">
        <v>496</v>
      </c>
      <c r="V76" s="252" t="s">
        <v>496</v>
      </c>
      <c r="W76" s="252" t="s">
        <v>496</v>
      </c>
      <c r="X76" s="252" t="s">
        <v>496</v>
      </c>
      <c r="Y76" s="252" t="s">
        <v>496</v>
      </c>
      <c r="Z76" s="252" t="s">
        <v>496</v>
      </c>
      <c r="AA76" s="251" t="s">
        <v>834</v>
      </c>
    </row>
    <row r="77" spans="1:27">
      <c r="B77" s="251" t="s">
        <v>1151</v>
      </c>
      <c r="C77" s="255" t="s">
        <v>256</v>
      </c>
      <c r="D77" s="256">
        <v>240</v>
      </c>
      <c r="E77" s="251" t="s">
        <v>549</v>
      </c>
      <c r="F77" s="256">
        <v>120</v>
      </c>
      <c r="G77" s="254">
        <v>45090</v>
      </c>
      <c r="H77" s="251" t="s">
        <v>1566</v>
      </c>
      <c r="I77" s="251" t="s">
        <v>1568</v>
      </c>
      <c r="J77" s="251" t="s">
        <v>615</v>
      </c>
      <c r="K77" s="251" t="s">
        <v>642</v>
      </c>
      <c r="L77" s="262" t="s">
        <v>1565</v>
      </c>
      <c r="M77" s="251" t="s">
        <v>1569</v>
      </c>
      <c r="N77" s="251" t="s">
        <v>1567</v>
      </c>
      <c r="O77" s="252" t="s">
        <v>496</v>
      </c>
      <c r="P77" s="252" t="s">
        <v>496</v>
      </c>
      <c r="Q77" s="252" t="s">
        <v>496</v>
      </c>
      <c r="R77" s="252" t="s">
        <v>496</v>
      </c>
      <c r="S77" s="252" t="s">
        <v>496</v>
      </c>
      <c r="T77" s="252" t="s">
        <v>496</v>
      </c>
      <c r="U77" s="252" t="s">
        <v>496</v>
      </c>
      <c r="V77" s="252" t="s">
        <v>496</v>
      </c>
      <c r="W77" s="252" t="s">
        <v>496</v>
      </c>
      <c r="X77" s="252" t="s">
        <v>496</v>
      </c>
      <c r="Y77" s="252" t="s">
        <v>496</v>
      </c>
      <c r="Z77" s="252" t="s">
        <v>496</v>
      </c>
      <c r="AA77" s="251" t="s">
        <v>1305</v>
      </c>
    </row>
    <row r="78" spans="1:27" s="64" customFormat="1">
      <c r="B78" s="64" t="s">
        <v>1521</v>
      </c>
      <c r="C78" s="190" t="s">
        <v>256</v>
      </c>
      <c r="D78" s="188">
        <v>200</v>
      </c>
      <c r="E78" s="64" t="s">
        <v>402</v>
      </c>
      <c r="F78" s="188">
        <v>90</v>
      </c>
      <c r="G78" s="202">
        <v>44398</v>
      </c>
      <c r="H78" s="64" t="s">
        <v>1800</v>
      </c>
      <c r="I78" s="64" t="s">
        <v>2491</v>
      </c>
      <c r="J78" s="64" t="s">
        <v>613</v>
      </c>
      <c r="K78" s="64" t="s">
        <v>430</v>
      </c>
      <c r="L78" s="64">
        <v>2017</v>
      </c>
      <c r="N78" s="64" t="s">
        <v>2494</v>
      </c>
      <c r="O78" s="204" t="s">
        <v>2492</v>
      </c>
      <c r="P78" s="204">
        <v>9.5</v>
      </c>
      <c r="Q78" s="204" t="s">
        <v>2493</v>
      </c>
      <c r="R78" s="204" t="s">
        <v>544</v>
      </c>
      <c r="S78" s="204">
        <v>22.8</v>
      </c>
      <c r="T78" s="204" t="s">
        <v>2499</v>
      </c>
      <c r="U78" s="204" t="s">
        <v>496</v>
      </c>
      <c r="V78" s="204" t="s">
        <v>496</v>
      </c>
      <c r="W78" s="204" t="s">
        <v>496</v>
      </c>
      <c r="X78" s="204" t="s">
        <v>496</v>
      </c>
      <c r="Y78" s="204" t="s">
        <v>496</v>
      </c>
      <c r="Z78" s="204" t="s">
        <v>496</v>
      </c>
      <c r="AA78" s="64" t="s">
        <v>1853</v>
      </c>
    </row>
    <row r="79" spans="1:27">
      <c r="B79" s="251" t="s">
        <v>447</v>
      </c>
      <c r="C79" s="255" t="s">
        <v>256</v>
      </c>
      <c r="D79" s="256">
        <v>200</v>
      </c>
      <c r="E79" s="251" t="s">
        <v>549</v>
      </c>
      <c r="F79" s="256">
        <v>100</v>
      </c>
      <c r="G79" s="254">
        <v>44663</v>
      </c>
      <c r="H79" s="251" t="s">
        <v>2358</v>
      </c>
      <c r="J79" s="251" t="s">
        <v>614</v>
      </c>
      <c r="K79" s="251" t="s">
        <v>430</v>
      </c>
      <c r="L79" s="251">
        <v>2022</v>
      </c>
      <c r="N79" s="251" t="s">
        <v>2357</v>
      </c>
      <c r="O79" s="252" t="s">
        <v>496</v>
      </c>
      <c r="P79" s="252" t="s">
        <v>496</v>
      </c>
      <c r="Q79" s="252" t="s">
        <v>496</v>
      </c>
      <c r="R79" s="252" t="s">
        <v>496</v>
      </c>
      <c r="S79" s="252" t="s">
        <v>496</v>
      </c>
      <c r="T79" s="252" t="s">
        <v>496</v>
      </c>
      <c r="U79" s="252" t="s">
        <v>496</v>
      </c>
      <c r="V79" s="252" t="s">
        <v>496</v>
      </c>
      <c r="W79" s="252" t="s">
        <v>496</v>
      </c>
      <c r="X79" s="252" t="s">
        <v>496</v>
      </c>
      <c r="Y79" s="252" t="s">
        <v>496</v>
      </c>
      <c r="Z79" s="252" t="s">
        <v>496</v>
      </c>
      <c r="AA79" s="251" t="s">
        <v>1110</v>
      </c>
    </row>
    <row r="80" spans="1:27">
      <c r="B80" s="251" t="s">
        <v>2283</v>
      </c>
      <c r="C80" s="255" t="s">
        <v>256</v>
      </c>
      <c r="D80" s="256">
        <v>200</v>
      </c>
      <c r="E80" s="251" t="s">
        <v>544</v>
      </c>
      <c r="F80" s="256">
        <v>58</v>
      </c>
      <c r="G80" s="254">
        <v>45104</v>
      </c>
      <c r="H80" s="251" t="s">
        <v>2307</v>
      </c>
      <c r="J80" s="251" t="s">
        <v>614</v>
      </c>
      <c r="K80" s="251" t="s">
        <v>642</v>
      </c>
      <c r="L80" s="253" t="s">
        <v>2304</v>
      </c>
      <c r="N80" s="251" t="s">
        <v>2301</v>
      </c>
      <c r="O80" s="252" t="s">
        <v>496</v>
      </c>
      <c r="P80" s="252" t="s">
        <v>496</v>
      </c>
      <c r="Q80" s="252" t="s">
        <v>496</v>
      </c>
      <c r="R80" s="252" t="s">
        <v>496</v>
      </c>
      <c r="S80" s="252" t="s">
        <v>496</v>
      </c>
      <c r="T80" s="252" t="s">
        <v>496</v>
      </c>
      <c r="U80" s="252" t="s">
        <v>496</v>
      </c>
      <c r="V80" s="252" t="s">
        <v>496</v>
      </c>
      <c r="W80" s="252" t="s">
        <v>496</v>
      </c>
      <c r="X80" s="252" t="s">
        <v>496</v>
      </c>
      <c r="Y80" s="252" t="s">
        <v>496</v>
      </c>
      <c r="Z80" s="252" t="s">
        <v>496</v>
      </c>
      <c r="AA80" s="251" t="s">
        <v>1671</v>
      </c>
    </row>
    <row r="81" spans="1:28">
      <c r="B81" s="251" t="s">
        <v>2328</v>
      </c>
      <c r="C81" s="255" t="s">
        <v>256</v>
      </c>
      <c r="D81" s="256">
        <v>200</v>
      </c>
      <c r="E81" s="251" t="s">
        <v>565</v>
      </c>
      <c r="F81" s="256">
        <v>45</v>
      </c>
      <c r="G81" s="205">
        <v>44159</v>
      </c>
      <c r="H81" s="251" t="s">
        <v>2315</v>
      </c>
      <c r="I81" s="251" t="s">
        <v>2329</v>
      </c>
      <c r="J81" s="251" t="s">
        <v>614</v>
      </c>
      <c r="K81" s="251" t="s">
        <v>430</v>
      </c>
      <c r="L81" s="251">
        <v>2015</v>
      </c>
      <c r="N81" s="251" t="s">
        <v>2316</v>
      </c>
      <c r="O81" s="252" t="s">
        <v>402</v>
      </c>
      <c r="P81" s="252" t="s">
        <v>496</v>
      </c>
      <c r="Q81" s="252" t="s">
        <v>2324</v>
      </c>
      <c r="R81" s="252" t="s">
        <v>544</v>
      </c>
      <c r="S81" s="252" t="s">
        <v>496</v>
      </c>
      <c r="T81" s="252" t="s">
        <v>2325</v>
      </c>
      <c r="U81" s="252" t="s">
        <v>549</v>
      </c>
      <c r="V81" s="252" t="s">
        <v>496</v>
      </c>
      <c r="W81" s="252" t="s">
        <v>2326</v>
      </c>
      <c r="X81" s="252" t="s">
        <v>549</v>
      </c>
      <c r="Y81" s="252" t="s">
        <v>496</v>
      </c>
      <c r="Z81" s="252" t="s">
        <v>2327</v>
      </c>
      <c r="AA81" s="251" t="s">
        <v>2330</v>
      </c>
    </row>
    <row r="82" spans="1:28">
      <c r="B82" s="251" t="s">
        <v>1759</v>
      </c>
      <c r="C82" s="269" t="s">
        <v>256</v>
      </c>
      <c r="D82" s="256">
        <v>200</v>
      </c>
      <c r="E82" s="268" t="s">
        <v>565</v>
      </c>
      <c r="F82" s="256">
        <v>40</v>
      </c>
      <c r="G82" s="253">
        <v>2016</v>
      </c>
      <c r="H82" s="268" t="s">
        <v>3791</v>
      </c>
      <c r="I82" s="268" t="s">
        <v>3790</v>
      </c>
      <c r="J82" s="268" t="s">
        <v>614</v>
      </c>
      <c r="K82" s="268" t="s">
        <v>430</v>
      </c>
      <c r="L82" s="251">
        <v>2016</v>
      </c>
      <c r="M82" s="268" t="s">
        <v>3114</v>
      </c>
      <c r="N82" s="268" t="s">
        <v>3793</v>
      </c>
      <c r="O82" s="272" t="s">
        <v>402</v>
      </c>
      <c r="P82" s="272">
        <v>28</v>
      </c>
      <c r="Q82" s="272" t="s">
        <v>3795</v>
      </c>
      <c r="R82" s="272" t="s">
        <v>544</v>
      </c>
      <c r="S82" s="252">
        <v>9.6999999999999993</v>
      </c>
      <c r="T82" s="272" t="s">
        <v>549</v>
      </c>
      <c r="U82" s="272">
        <v>4.3</v>
      </c>
      <c r="V82" s="272" t="s">
        <v>3796</v>
      </c>
      <c r="W82" s="272" t="s">
        <v>496</v>
      </c>
      <c r="X82" s="272" t="s">
        <v>496</v>
      </c>
      <c r="Y82" s="272" t="s">
        <v>496</v>
      </c>
      <c r="Z82" s="272" t="s">
        <v>496</v>
      </c>
      <c r="AA82" s="268" t="s">
        <v>1671</v>
      </c>
      <c r="AB82" s="5" t="s">
        <v>3792</v>
      </c>
    </row>
    <row r="83" spans="1:28">
      <c r="B83" s="251" t="s">
        <v>1760</v>
      </c>
      <c r="C83" s="269" t="s">
        <v>256</v>
      </c>
      <c r="D83" s="256">
        <v>200</v>
      </c>
      <c r="E83" s="268" t="s">
        <v>544</v>
      </c>
      <c r="F83" s="256">
        <v>32</v>
      </c>
      <c r="G83" s="254">
        <v>44851</v>
      </c>
      <c r="H83" s="268" t="s">
        <v>3800</v>
      </c>
      <c r="I83" s="268" t="s">
        <v>3799</v>
      </c>
      <c r="L83" s="251">
        <v>2018</v>
      </c>
      <c r="N83" s="268" t="s">
        <v>3801</v>
      </c>
      <c r="O83" s="272" t="s">
        <v>544</v>
      </c>
      <c r="P83" s="252">
        <v>26</v>
      </c>
      <c r="Q83" s="272" t="s">
        <v>3803</v>
      </c>
      <c r="R83" s="272" t="s">
        <v>549</v>
      </c>
      <c r="S83" s="252">
        <v>6.2</v>
      </c>
      <c r="T83" s="272" t="s">
        <v>3804</v>
      </c>
      <c r="U83" s="272" t="s">
        <v>669</v>
      </c>
      <c r="V83" s="272" t="s">
        <v>496</v>
      </c>
      <c r="W83" s="272" t="s">
        <v>3805</v>
      </c>
      <c r="X83" s="272" t="s">
        <v>496</v>
      </c>
      <c r="Y83" s="272" t="s">
        <v>496</v>
      </c>
      <c r="Z83" s="272" t="s">
        <v>496</v>
      </c>
      <c r="AA83" s="268" t="s">
        <v>1122</v>
      </c>
      <c r="AB83" s="5" t="s">
        <v>3806</v>
      </c>
    </row>
    <row r="84" spans="1:28" s="64" customFormat="1">
      <c r="B84" s="64" t="s">
        <v>1294</v>
      </c>
      <c r="C84" s="190" t="s">
        <v>256</v>
      </c>
      <c r="D84" s="188" t="s">
        <v>496</v>
      </c>
      <c r="E84" s="188" t="s">
        <v>2640</v>
      </c>
      <c r="F84" s="188" t="s">
        <v>496</v>
      </c>
      <c r="G84" s="188" t="s">
        <v>2640</v>
      </c>
      <c r="H84" s="64" t="s">
        <v>1076</v>
      </c>
      <c r="I84" s="64" t="s">
        <v>496</v>
      </c>
      <c r="J84" s="64" t="s">
        <v>614</v>
      </c>
      <c r="K84" s="64" t="s">
        <v>430</v>
      </c>
      <c r="L84" s="64">
        <v>2015</v>
      </c>
      <c r="M84" s="231" t="s">
        <v>2641</v>
      </c>
      <c r="N84" s="64" t="s">
        <v>496</v>
      </c>
      <c r="O84" s="64" t="s">
        <v>496</v>
      </c>
      <c r="P84" s="64" t="s">
        <v>496</v>
      </c>
      <c r="Q84" s="64" t="s">
        <v>496</v>
      </c>
      <c r="R84" s="64" t="s">
        <v>496</v>
      </c>
      <c r="S84" s="64" t="s">
        <v>496</v>
      </c>
      <c r="T84" s="64" t="s">
        <v>496</v>
      </c>
      <c r="U84" s="64" t="s">
        <v>496</v>
      </c>
      <c r="V84" s="64" t="s">
        <v>496</v>
      </c>
      <c r="W84" s="64" t="s">
        <v>496</v>
      </c>
      <c r="X84" s="64" t="s">
        <v>496</v>
      </c>
      <c r="Y84" s="64" t="s">
        <v>496</v>
      </c>
      <c r="Z84" s="64" t="s">
        <v>496</v>
      </c>
      <c r="AA84" s="64" t="s">
        <v>2639</v>
      </c>
    </row>
    <row r="85" spans="1:28">
      <c r="A85" s="251">
        <v>30</v>
      </c>
      <c r="B85" s="251" t="s">
        <v>410</v>
      </c>
      <c r="C85" s="255" t="s">
        <v>256</v>
      </c>
      <c r="D85" s="256">
        <v>200</v>
      </c>
      <c r="E85" s="251" t="s">
        <v>549</v>
      </c>
      <c r="F85" s="256">
        <v>10</v>
      </c>
      <c r="G85" s="254">
        <v>45005</v>
      </c>
      <c r="H85" s="251" t="s">
        <v>1007</v>
      </c>
      <c r="I85" s="251" t="s">
        <v>996</v>
      </c>
      <c r="J85" s="251" t="s">
        <v>615</v>
      </c>
      <c r="K85" s="251" t="s">
        <v>638</v>
      </c>
      <c r="L85" s="258">
        <v>41275</v>
      </c>
      <c r="M85" s="251" t="s">
        <v>995</v>
      </c>
      <c r="N85" s="251" t="s">
        <v>994</v>
      </c>
      <c r="O85" s="252" t="s">
        <v>496</v>
      </c>
      <c r="P85" s="252" t="s">
        <v>496</v>
      </c>
      <c r="Q85" s="252" t="s">
        <v>496</v>
      </c>
      <c r="R85" s="252" t="s">
        <v>496</v>
      </c>
      <c r="S85" s="252" t="s">
        <v>496</v>
      </c>
      <c r="T85" s="252" t="s">
        <v>496</v>
      </c>
      <c r="U85" s="252" t="s">
        <v>496</v>
      </c>
      <c r="V85" s="252" t="s">
        <v>496</v>
      </c>
      <c r="W85" s="252" t="s">
        <v>496</v>
      </c>
      <c r="X85" s="252" t="s">
        <v>496</v>
      </c>
      <c r="Y85" s="252" t="s">
        <v>496</v>
      </c>
      <c r="Z85" s="252" t="s">
        <v>496</v>
      </c>
      <c r="AA85" s="251" t="s">
        <v>834</v>
      </c>
    </row>
    <row r="86" spans="1:28">
      <c r="A86" s="64">
        <f>A73+1</f>
        <v>33</v>
      </c>
      <c r="B86" s="64" t="s">
        <v>417</v>
      </c>
      <c r="C86" s="190" t="s">
        <v>256</v>
      </c>
      <c r="D86" s="188">
        <v>150</v>
      </c>
      <c r="E86" s="64" t="s">
        <v>544</v>
      </c>
      <c r="F86" s="188">
        <v>26</v>
      </c>
      <c r="G86" s="202">
        <v>45013</v>
      </c>
      <c r="H86" s="64" t="s">
        <v>1015</v>
      </c>
      <c r="I86" s="64" t="s">
        <v>1014</v>
      </c>
      <c r="J86" s="197" t="s">
        <v>613</v>
      </c>
      <c r="K86" s="197" t="s">
        <v>459</v>
      </c>
      <c r="L86" s="64">
        <v>2022</v>
      </c>
      <c r="M86" s="64"/>
      <c r="N86" s="64" t="s">
        <v>1016</v>
      </c>
      <c r="O86" s="204" t="s">
        <v>549</v>
      </c>
      <c r="P86" s="204">
        <v>3.1</v>
      </c>
      <c r="Q86" s="204" t="s">
        <v>1018</v>
      </c>
      <c r="R86" s="204" t="s">
        <v>496</v>
      </c>
      <c r="S86" s="204" t="s">
        <v>496</v>
      </c>
      <c r="T86" s="204" t="s">
        <v>496</v>
      </c>
      <c r="U86" s="204" t="s">
        <v>496</v>
      </c>
      <c r="V86" s="204" t="s">
        <v>496</v>
      </c>
      <c r="W86" s="204" t="s">
        <v>496</v>
      </c>
      <c r="X86" s="204" t="s">
        <v>496</v>
      </c>
      <c r="Y86" s="204" t="s">
        <v>496</v>
      </c>
      <c r="Z86" s="204" t="s">
        <v>496</v>
      </c>
      <c r="AA86" s="64" t="s">
        <v>834</v>
      </c>
    </row>
    <row r="87" spans="1:28">
      <c r="A87" s="251">
        <v>36</v>
      </c>
      <c r="B87" s="251" t="s">
        <v>623</v>
      </c>
      <c r="C87" s="255" t="s">
        <v>256</v>
      </c>
      <c r="D87" s="256">
        <v>150</v>
      </c>
      <c r="E87" s="251" t="s">
        <v>402</v>
      </c>
      <c r="F87" s="256">
        <v>60</v>
      </c>
      <c r="G87" s="254">
        <v>45036</v>
      </c>
      <c r="H87" s="251" t="s">
        <v>906</v>
      </c>
      <c r="J87" s="251" t="s">
        <v>615</v>
      </c>
      <c r="K87" s="251" t="s">
        <v>558</v>
      </c>
      <c r="L87" s="261" t="s">
        <v>624</v>
      </c>
      <c r="N87" s="251" t="s">
        <v>1038</v>
      </c>
      <c r="O87" s="252" t="s">
        <v>544</v>
      </c>
      <c r="P87" s="252">
        <v>16.5</v>
      </c>
      <c r="Q87" s="252" t="s">
        <v>1043</v>
      </c>
      <c r="R87" s="252" t="s">
        <v>549</v>
      </c>
      <c r="S87" s="252">
        <v>1.2</v>
      </c>
      <c r="T87" s="252" t="s">
        <v>1046</v>
      </c>
      <c r="U87" s="252" t="s">
        <v>496</v>
      </c>
      <c r="V87" s="252" t="s">
        <v>496</v>
      </c>
      <c r="W87" s="252" t="s">
        <v>496</v>
      </c>
      <c r="X87" s="252" t="s">
        <v>496</v>
      </c>
      <c r="Y87" s="252" t="s">
        <v>496</v>
      </c>
      <c r="Z87" s="252" t="s">
        <v>496</v>
      </c>
      <c r="AA87" s="251" t="s">
        <v>1037</v>
      </c>
    </row>
    <row r="88" spans="1:28">
      <c r="A88" s="251">
        <f>A86+1</f>
        <v>34</v>
      </c>
      <c r="B88" s="251" t="s">
        <v>630</v>
      </c>
      <c r="C88" s="255" t="s">
        <v>256</v>
      </c>
      <c r="D88" s="256">
        <v>150</v>
      </c>
      <c r="E88" s="251" t="s">
        <v>402</v>
      </c>
      <c r="F88" s="256">
        <v>50</v>
      </c>
      <c r="G88" s="254">
        <v>44628</v>
      </c>
      <c r="H88" s="251" t="s">
        <v>1019</v>
      </c>
      <c r="J88" s="251" t="s">
        <v>615</v>
      </c>
      <c r="K88" s="251" t="s">
        <v>631</v>
      </c>
      <c r="L88" s="261">
        <v>43647</v>
      </c>
      <c r="N88" s="251" t="s">
        <v>1020</v>
      </c>
      <c r="O88" s="252" t="s">
        <v>544</v>
      </c>
      <c r="P88" s="252">
        <v>10</v>
      </c>
      <c r="Q88" s="252" t="s">
        <v>1025</v>
      </c>
      <c r="R88" s="252" t="s">
        <v>549</v>
      </c>
      <c r="S88" s="252" t="s">
        <v>496</v>
      </c>
      <c r="T88" s="252" t="s">
        <v>1030</v>
      </c>
      <c r="U88" s="252" t="s">
        <v>496</v>
      </c>
      <c r="V88" s="252" t="s">
        <v>496</v>
      </c>
      <c r="W88" s="252" t="s">
        <v>496</v>
      </c>
      <c r="X88" s="252" t="s">
        <v>496</v>
      </c>
      <c r="Y88" s="252" t="s">
        <v>496</v>
      </c>
      <c r="Z88" s="252" t="s">
        <v>496</v>
      </c>
      <c r="AA88" s="251" t="s">
        <v>1031</v>
      </c>
    </row>
    <row r="89" spans="1:28">
      <c r="A89" s="251">
        <v>54</v>
      </c>
      <c r="B89" s="251" t="s">
        <v>542</v>
      </c>
      <c r="C89" s="255" t="s">
        <v>256</v>
      </c>
      <c r="D89" s="188">
        <v>150</v>
      </c>
      <c r="E89" s="251" t="s">
        <v>544</v>
      </c>
      <c r="F89" s="256">
        <v>21</v>
      </c>
      <c r="G89" s="254">
        <v>45027</v>
      </c>
      <c r="H89" s="251" t="s">
        <v>1144</v>
      </c>
      <c r="I89" s="251" t="s">
        <v>1155</v>
      </c>
      <c r="J89" s="196" t="s">
        <v>614</v>
      </c>
      <c r="K89" s="196" t="s">
        <v>543</v>
      </c>
      <c r="L89" s="259">
        <v>44562</v>
      </c>
      <c r="M89" s="251" t="s">
        <v>1157</v>
      </c>
      <c r="N89" s="251" t="s">
        <v>1156</v>
      </c>
      <c r="O89" s="252" t="s">
        <v>549</v>
      </c>
      <c r="P89" s="252">
        <v>5</v>
      </c>
      <c r="Q89" s="252" t="s">
        <v>1171</v>
      </c>
      <c r="R89" s="252" t="s">
        <v>496</v>
      </c>
      <c r="S89" s="252" t="s">
        <v>496</v>
      </c>
      <c r="T89" s="252" t="s">
        <v>496</v>
      </c>
      <c r="U89" s="252" t="s">
        <v>496</v>
      </c>
      <c r="V89" s="252" t="s">
        <v>496</v>
      </c>
      <c r="W89" s="252" t="s">
        <v>496</v>
      </c>
      <c r="X89" s="252" t="s">
        <v>496</v>
      </c>
      <c r="Y89" s="252" t="s">
        <v>496</v>
      </c>
      <c r="Z89" s="252" t="s">
        <v>496</v>
      </c>
      <c r="AA89" s="251" t="s">
        <v>834</v>
      </c>
    </row>
    <row r="90" spans="1:28">
      <c r="B90" s="251" t="s">
        <v>577</v>
      </c>
      <c r="C90" s="255" t="s">
        <v>256</v>
      </c>
      <c r="D90" s="256">
        <v>150</v>
      </c>
      <c r="E90" s="251" t="s">
        <v>402</v>
      </c>
      <c r="F90" s="256">
        <v>18</v>
      </c>
      <c r="G90" s="254">
        <v>44831</v>
      </c>
      <c r="H90" s="251" t="s">
        <v>2405</v>
      </c>
      <c r="I90" s="251" t="s">
        <v>2413</v>
      </c>
      <c r="J90" s="251" t="s">
        <v>614</v>
      </c>
      <c r="K90" s="251" t="s">
        <v>640</v>
      </c>
      <c r="L90" s="251">
        <v>2021</v>
      </c>
      <c r="N90" s="251" t="s">
        <v>2404</v>
      </c>
      <c r="O90" s="252" t="s">
        <v>544</v>
      </c>
      <c r="P90" s="252">
        <v>18.5</v>
      </c>
      <c r="Q90" s="252" t="s">
        <v>2408</v>
      </c>
      <c r="R90" s="252" t="s">
        <v>496</v>
      </c>
      <c r="S90" s="252" t="s">
        <v>496</v>
      </c>
      <c r="T90" s="252" t="s">
        <v>496</v>
      </c>
      <c r="U90" s="252" t="s">
        <v>496</v>
      </c>
      <c r="V90" s="252" t="s">
        <v>496</v>
      </c>
      <c r="W90" s="252" t="s">
        <v>496</v>
      </c>
      <c r="X90" s="252" t="s">
        <v>496</v>
      </c>
      <c r="Y90" s="252" t="s">
        <v>496</v>
      </c>
      <c r="Z90" s="252" t="s">
        <v>496</v>
      </c>
      <c r="AA90" s="251" t="s">
        <v>837</v>
      </c>
    </row>
    <row r="91" spans="1:28">
      <c r="B91" s="251" t="s">
        <v>1527</v>
      </c>
      <c r="C91" s="255" t="s">
        <v>256</v>
      </c>
      <c r="D91" s="256">
        <v>150</v>
      </c>
      <c r="E91" s="251" t="s">
        <v>402</v>
      </c>
      <c r="F91" s="256">
        <v>30</v>
      </c>
      <c r="G91" s="254">
        <v>44756</v>
      </c>
      <c r="H91" s="251" t="s">
        <v>2595</v>
      </c>
      <c r="I91" s="251" t="s">
        <v>2596</v>
      </c>
      <c r="J91" s="251" t="s">
        <v>614</v>
      </c>
      <c r="K91" s="251" t="s">
        <v>2417</v>
      </c>
      <c r="L91" s="251">
        <v>2017</v>
      </c>
      <c r="N91" s="251" t="s">
        <v>2597</v>
      </c>
      <c r="O91" s="252" t="s">
        <v>544</v>
      </c>
      <c r="P91" s="252">
        <v>28</v>
      </c>
      <c r="Q91" s="252" t="s">
        <v>2599</v>
      </c>
      <c r="R91" s="252" t="s">
        <v>549</v>
      </c>
      <c r="S91" s="252">
        <v>5</v>
      </c>
      <c r="T91" s="252" t="s">
        <v>2600</v>
      </c>
      <c r="U91" s="252" t="s">
        <v>549</v>
      </c>
      <c r="V91" s="252">
        <v>0.12</v>
      </c>
      <c r="W91" s="252" t="s">
        <v>740</v>
      </c>
      <c r="X91" s="252" t="s">
        <v>496</v>
      </c>
      <c r="Y91" s="252" t="s">
        <v>496</v>
      </c>
      <c r="Z91" s="252" t="s">
        <v>496</v>
      </c>
      <c r="AA91" s="251" t="s">
        <v>1853</v>
      </c>
    </row>
    <row r="92" spans="1:28">
      <c r="A92" s="251">
        <f>A72+1</f>
        <v>39</v>
      </c>
      <c r="B92" s="251" t="s">
        <v>649</v>
      </c>
      <c r="C92" s="255" t="s">
        <v>256</v>
      </c>
      <c r="D92" s="256">
        <v>150</v>
      </c>
      <c r="E92" s="251" t="s">
        <v>402</v>
      </c>
      <c r="F92" s="256">
        <v>40</v>
      </c>
      <c r="G92" s="254">
        <v>44728</v>
      </c>
      <c r="H92" s="251" t="s">
        <v>1062</v>
      </c>
      <c r="J92" s="251" t="s">
        <v>615</v>
      </c>
      <c r="K92" s="251" t="s">
        <v>636</v>
      </c>
      <c r="L92" s="261" t="s">
        <v>624</v>
      </c>
      <c r="N92" s="251" t="s">
        <v>1063</v>
      </c>
      <c r="O92" s="252" t="s">
        <v>544</v>
      </c>
      <c r="P92" s="252">
        <v>18.600000000000001</v>
      </c>
      <c r="Q92" s="252" t="s">
        <v>1066</v>
      </c>
      <c r="R92" s="252" t="s">
        <v>549</v>
      </c>
      <c r="S92" s="252" t="s">
        <v>496</v>
      </c>
      <c r="T92" s="252" t="s">
        <v>1067</v>
      </c>
      <c r="U92" s="252" t="s">
        <v>496</v>
      </c>
      <c r="V92" s="252" t="s">
        <v>496</v>
      </c>
      <c r="W92" s="252" t="s">
        <v>496</v>
      </c>
      <c r="X92" s="251" t="s">
        <v>496</v>
      </c>
      <c r="Y92" s="252" t="s">
        <v>496</v>
      </c>
      <c r="Z92" s="252" t="s">
        <v>496</v>
      </c>
      <c r="AA92" s="251" t="s">
        <v>1110</v>
      </c>
    </row>
    <row r="93" spans="1:28">
      <c r="A93" s="251">
        <f>A92+1</f>
        <v>40</v>
      </c>
      <c r="B93" s="251" t="s">
        <v>650</v>
      </c>
      <c r="C93" s="255" t="s">
        <v>256</v>
      </c>
      <c r="D93" s="256">
        <v>150</v>
      </c>
      <c r="E93" s="251" t="s">
        <v>402</v>
      </c>
      <c r="F93" s="256">
        <v>40</v>
      </c>
      <c r="G93" s="254">
        <v>44650</v>
      </c>
      <c r="J93" s="251" t="s">
        <v>614</v>
      </c>
      <c r="K93" s="251" t="s">
        <v>640</v>
      </c>
      <c r="L93" s="261">
        <v>43361</v>
      </c>
      <c r="N93" s="251" t="s">
        <v>1068</v>
      </c>
      <c r="O93" s="252" t="s">
        <v>544</v>
      </c>
      <c r="P93" s="252">
        <v>14</v>
      </c>
      <c r="Q93" s="252" t="s">
        <v>1074</v>
      </c>
      <c r="R93" s="252" t="s">
        <v>496</v>
      </c>
      <c r="S93" s="252" t="s">
        <v>496</v>
      </c>
      <c r="T93" s="252" t="s">
        <v>496</v>
      </c>
      <c r="U93" s="252" t="s">
        <v>496</v>
      </c>
      <c r="V93" s="252" t="s">
        <v>496</v>
      </c>
      <c r="W93" s="252" t="s">
        <v>496</v>
      </c>
      <c r="X93" s="252" t="s">
        <v>496</v>
      </c>
      <c r="Y93" s="252" t="s">
        <v>496</v>
      </c>
      <c r="Z93" s="252" t="s">
        <v>496</v>
      </c>
      <c r="AA93" s="251" t="s">
        <v>834</v>
      </c>
    </row>
    <row r="94" spans="1:28">
      <c r="B94" s="251" t="s">
        <v>653</v>
      </c>
      <c r="C94" s="255" t="s">
        <v>256</v>
      </c>
      <c r="D94" s="256">
        <v>150</v>
      </c>
      <c r="E94" s="251" t="s">
        <v>402</v>
      </c>
      <c r="F94" s="256">
        <v>13</v>
      </c>
      <c r="G94" s="254">
        <v>45090</v>
      </c>
      <c r="H94" s="251" t="s">
        <v>1130</v>
      </c>
      <c r="I94" s="251" t="s">
        <v>2779</v>
      </c>
      <c r="J94" s="251" t="s">
        <v>646</v>
      </c>
      <c r="K94" s="251" t="s">
        <v>633</v>
      </c>
      <c r="L94" s="261">
        <v>43405</v>
      </c>
      <c r="N94" s="251" t="s">
        <v>2780</v>
      </c>
      <c r="O94" s="252" t="s">
        <v>402</v>
      </c>
      <c r="P94" s="252">
        <v>37</v>
      </c>
      <c r="Q94" s="252" t="s">
        <v>2781</v>
      </c>
      <c r="R94" s="252" t="s">
        <v>402</v>
      </c>
      <c r="S94" s="252">
        <v>30</v>
      </c>
      <c r="T94" s="252" t="s">
        <v>2782</v>
      </c>
      <c r="U94" s="252" t="s">
        <v>402</v>
      </c>
      <c r="V94" s="252">
        <v>80</v>
      </c>
      <c r="W94" s="252" t="s">
        <v>2797</v>
      </c>
      <c r="X94" s="252" t="s">
        <v>544</v>
      </c>
      <c r="Y94" s="252">
        <v>30</v>
      </c>
      <c r="Z94" s="252" t="s">
        <v>2798</v>
      </c>
      <c r="AA94" s="251" t="s">
        <v>2193</v>
      </c>
    </row>
    <row r="95" spans="1:28">
      <c r="B95" s="251" t="s">
        <v>1034</v>
      </c>
      <c r="C95" s="255" t="s">
        <v>256</v>
      </c>
      <c r="D95" s="256">
        <v>125</v>
      </c>
      <c r="E95" s="251" t="s">
        <v>544</v>
      </c>
      <c r="F95" s="256">
        <v>65</v>
      </c>
      <c r="G95" s="205">
        <v>44287</v>
      </c>
      <c r="H95" s="251" t="s">
        <v>1015</v>
      </c>
      <c r="I95" s="251" t="s">
        <v>1036</v>
      </c>
      <c r="J95" s="251" t="s">
        <v>613</v>
      </c>
      <c r="K95" s="251" t="s">
        <v>459</v>
      </c>
      <c r="L95" s="259">
        <v>44228</v>
      </c>
      <c r="N95" s="251" t="s">
        <v>496</v>
      </c>
      <c r="O95" s="251" t="s">
        <v>496</v>
      </c>
      <c r="P95" s="251" t="s">
        <v>496</v>
      </c>
      <c r="Q95" s="251" t="s">
        <v>496</v>
      </c>
      <c r="R95" s="251" t="s">
        <v>496</v>
      </c>
      <c r="S95" s="251" t="s">
        <v>496</v>
      </c>
      <c r="T95" s="252" t="s">
        <v>496</v>
      </c>
      <c r="U95" s="252" t="s">
        <v>496</v>
      </c>
      <c r="V95" s="252" t="s">
        <v>496</v>
      </c>
      <c r="W95" s="252" t="s">
        <v>496</v>
      </c>
      <c r="X95" s="251" t="s">
        <v>496</v>
      </c>
      <c r="Y95" s="252" t="s">
        <v>496</v>
      </c>
      <c r="Z95" s="252" t="s">
        <v>496</v>
      </c>
      <c r="AA95" s="251" t="s">
        <v>1035</v>
      </c>
    </row>
    <row r="96" spans="1:28">
      <c r="B96" s="251" t="s">
        <v>1613</v>
      </c>
      <c r="C96" s="255" t="s">
        <v>256</v>
      </c>
      <c r="D96" s="256">
        <v>150</v>
      </c>
      <c r="E96" s="251" t="s">
        <v>544</v>
      </c>
      <c r="F96" s="256">
        <v>57</v>
      </c>
      <c r="G96" s="254">
        <v>44508</v>
      </c>
      <c r="H96" s="251" t="s">
        <v>3202</v>
      </c>
      <c r="I96" s="251" t="s">
        <v>2879</v>
      </c>
      <c r="J96" s="251" t="s">
        <v>614</v>
      </c>
      <c r="K96" s="251" t="s">
        <v>1582</v>
      </c>
      <c r="L96" s="251">
        <v>2017</v>
      </c>
      <c r="N96" s="251" t="s">
        <v>3203</v>
      </c>
      <c r="O96" s="252" t="s">
        <v>549</v>
      </c>
      <c r="P96" s="252" t="s">
        <v>496</v>
      </c>
      <c r="Q96" s="252" t="s">
        <v>3209</v>
      </c>
      <c r="R96" s="252" t="s">
        <v>496</v>
      </c>
      <c r="S96" s="252" t="s">
        <v>496</v>
      </c>
      <c r="T96" s="252" t="s">
        <v>496</v>
      </c>
      <c r="U96" s="252" t="s">
        <v>496</v>
      </c>
      <c r="V96" s="252" t="s">
        <v>496</v>
      </c>
      <c r="W96" s="252" t="s">
        <v>496</v>
      </c>
      <c r="X96" s="252" t="s">
        <v>496</v>
      </c>
      <c r="Y96" s="252" t="s">
        <v>496</v>
      </c>
      <c r="Z96" s="252" t="s">
        <v>496</v>
      </c>
      <c r="AA96" s="251" t="s">
        <v>844</v>
      </c>
    </row>
    <row r="97" spans="1:27">
      <c r="A97" s="251">
        <f>A87+1</f>
        <v>37</v>
      </c>
      <c r="B97" s="251" t="s">
        <v>632</v>
      </c>
      <c r="C97" s="255" t="s">
        <v>256</v>
      </c>
      <c r="D97" s="256">
        <v>125</v>
      </c>
      <c r="E97" s="251" t="s">
        <v>544</v>
      </c>
      <c r="F97" s="256">
        <v>44</v>
      </c>
      <c r="G97" s="254">
        <v>44671</v>
      </c>
      <c r="H97" s="251" t="s">
        <v>1054</v>
      </c>
      <c r="I97" s="251" t="s">
        <v>1055</v>
      </c>
      <c r="J97" s="251" t="s">
        <v>615</v>
      </c>
      <c r="K97" s="251" t="s">
        <v>633</v>
      </c>
      <c r="L97" s="261" t="s">
        <v>624</v>
      </c>
      <c r="M97" s="251" t="s">
        <v>1054</v>
      </c>
      <c r="N97" s="251" t="s">
        <v>1047</v>
      </c>
      <c r="O97" s="252" t="s">
        <v>1052</v>
      </c>
      <c r="P97" s="251" t="s">
        <v>496</v>
      </c>
      <c r="Q97" s="252" t="s">
        <v>1053</v>
      </c>
      <c r="R97" s="251" t="s">
        <v>496</v>
      </c>
      <c r="S97" s="251" t="s">
        <v>496</v>
      </c>
      <c r="T97" s="252" t="s">
        <v>496</v>
      </c>
      <c r="U97" s="252" t="s">
        <v>496</v>
      </c>
      <c r="V97" s="252" t="s">
        <v>496</v>
      </c>
      <c r="W97" s="252" t="s">
        <v>496</v>
      </c>
      <c r="X97" s="251" t="s">
        <v>496</v>
      </c>
      <c r="Y97" s="252" t="s">
        <v>496</v>
      </c>
      <c r="Z97" s="252" t="s">
        <v>496</v>
      </c>
      <c r="AA97" s="251" t="s">
        <v>834</v>
      </c>
    </row>
    <row r="98" spans="1:27">
      <c r="B98" s="251" t="s">
        <v>2754</v>
      </c>
      <c r="C98" s="255" t="s">
        <v>256</v>
      </c>
      <c r="D98" s="256">
        <v>125</v>
      </c>
      <c r="E98" s="251" t="s">
        <v>402</v>
      </c>
      <c r="F98" s="256">
        <v>32</v>
      </c>
      <c r="G98" s="205">
        <v>44364</v>
      </c>
      <c r="H98" s="251" t="s">
        <v>1532</v>
      </c>
      <c r="I98" s="251" t="s">
        <v>2755</v>
      </c>
      <c r="J98" s="251" t="s">
        <v>614</v>
      </c>
      <c r="K98" s="251" t="s">
        <v>636</v>
      </c>
      <c r="L98" s="251">
        <v>2018</v>
      </c>
      <c r="N98" s="251" t="s">
        <v>2758</v>
      </c>
      <c r="O98" s="252" t="s">
        <v>544</v>
      </c>
      <c r="P98" s="252">
        <v>10.199999999999999</v>
      </c>
      <c r="Q98" s="252" t="s">
        <v>2761</v>
      </c>
      <c r="R98" s="252" t="s">
        <v>549</v>
      </c>
      <c r="S98" s="252">
        <v>3</v>
      </c>
      <c r="T98" s="252" t="s">
        <v>2762</v>
      </c>
      <c r="U98" s="252" t="s">
        <v>496</v>
      </c>
      <c r="V98" s="252" t="s">
        <v>496</v>
      </c>
      <c r="W98" s="252" t="s">
        <v>496</v>
      </c>
      <c r="X98" s="252" t="s">
        <v>496</v>
      </c>
      <c r="Y98" s="252" t="s">
        <v>496</v>
      </c>
      <c r="Z98" s="252" t="s">
        <v>496</v>
      </c>
      <c r="AA98" s="251" t="s">
        <v>844</v>
      </c>
    </row>
    <row r="99" spans="1:27" s="64" customFormat="1">
      <c r="A99" s="64">
        <v>70</v>
      </c>
      <c r="B99" s="64" t="s">
        <v>464</v>
      </c>
      <c r="C99" s="190" t="s">
        <v>256</v>
      </c>
      <c r="D99" s="188">
        <v>125</v>
      </c>
      <c r="E99" s="64" t="s">
        <v>544</v>
      </c>
      <c r="F99" s="188">
        <v>20</v>
      </c>
      <c r="G99" s="202">
        <v>44854</v>
      </c>
      <c r="H99" s="64" t="s">
        <v>1408</v>
      </c>
      <c r="I99" s="64" t="s">
        <v>1409</v>
      </c>
      <c r="J99" s="64" t="s">
        <v>456</v>
      </c>
      <c r="K99" s="64" t="s">
        <v>1166</v>
      </c>
      <c r="L99" s="64">
        <v>2021</v>
      </c>
      <c r="N99" s="64" t="s">
        <v>1411</v>
      </c>
      <c r="O99" s="204" t="s">
        <v>549</v>
      </c>
      <c r="P99" s="204" t="s">
        <v>496</v>
      </c>
      <c r="Q99" s="204" t="s">
        <v>1413</v>
      </c>
      <c r="R99" s="204" t="s">
        <v>496</v>
      </c>
      <c r="S99" s="204" t="s">
        <v>496</v>
      </c>
      <c r="T99" s="204" t="s">
        <v>496</v>
      </c>
      <c r="U99" s="204" t="s">
        <v>496</v>
      </c>
      <c r="V99" s="204" t="s">
        <v>496</v>
      </c>
      <c r="W99" s="204" t="s">
        <v>496</v>
      </c>
      <c r="X99" s="204" t="s">
        <v>496</v>
      </c>
      <c r="Y99" s="204" t="s">
        <v>496</v>
      </c>
      <c r="Z99" s="204" t="s">
        <v>496</v>
      </c>
      <c r="AA99" s="64" t="s">
        <v>834</v>
      </c>
    </row>
    <row r="100" spans="1:27">
      <c r="A100" s="251">
        <f>A107+1</f>
        <v>49</v>
      </c>
      <c r="B100" s="251" t="s">
        <v>652</v>
      </c>
      <c r="C100" s="255" t="s">
        <v>256</v>
      </c>
      <c r="D100" s="256">
        <v>125</v>
      </c>
      <c r="E100" s="251" t="s">
        <v>402</v>
      </c>
      <c r="F100" s="256">
        <v>38</v>
      </c>
      <c r="G100" s="254">
        <v>44812</v>
      </c>
      <c r="H100" s="251" t="s">
        <v>1129</v>
      </c>
      <c r="I100" s="251" t="s">
        <v>1123</v>
      </c>
      <c r="J100" s="251" t="s">
        <v>615</v>
      </c>
      <c r="K100" s="251" t="s">
        <v>636</v>
      </c>
      <c r="L100" s="261" t="s">
        <v>648</v>
      </c>
      <c r="N100" s="251" t="s">
        <v>1127</v>
      </c>
      <c r="O100" s="252" t="s">
        <v>544</v>
      </c>
      <c r="P100" s="252">
        <v>19</v>
      </c>
      <c r="Q100" s="252" t="s">
        <v>1126</v>
      </c>
      <c r="R100" s="252" t="s">
        <v>549</v>
      </c>
      <c r="S100" s="252">
        <v>4</v>
      </c>
      <c r="T100" s="252" t="s">
        <v>1128</v>
      </c>
      <c r="U100" s="252" t="s">
        <v>669</v>
      </c>
      <c r="V100" s="252" t="s">
        <v>496</v>
      </c>
      <c r="W100" s="252" t="s">
        <v>1125</v>
      </c>
      <c r="X100" s="252" t="s">
        <v>496</v>
      </c>
      <c r="Y100" s="252" t="s">
        <v>496</v>
      </c>
      <c r="Z100" s="252" t="s">
        <v>496</v>
      </c>
      <c r="AA100" s="251" t="s">
        <v>1122</v>
      </c>
    </row>
    <row r="101" spans="1:27">
      <c r="A101" s="251">
        <f>A93+1</f>
        <v>41</v>
      </c>
      <c r="B101" s="251" t="s">
        <v>570</v>
      </c>
      <c r="C101" s="255" t="s">
        <v>256</v>
      </c>
      <c r="D101" s="256">
        <v>100</v>
      </c>
      <c r="E101" s="251" t="s">
        <v>549</v>
      </c>
      <c r="F101" s="256">
        <v>50</v>
      </c>
      <c r="G101" s="254">
        <v>45062</v>
      </c>
      <c r="H101" s="251" t="s">
        <v>1076</v>
      </c>
      <c r="I101" s="251" t="s">
        <v>1077</v>
      </c>
      <c r="J101" s="197" t="s">
        <v>614</v>
      </c>
      <c r="K101" s="197" t="s">
        <v>430</v>
      </c>
      <c r="L101" s="263" t="s">
        <v>625</v>
      </c>
      <c r="N101" s="251" t="s">
        <v>1078</v>
      </c>
      <c r="O101" s="252" t="s">
        <v>496</v>
      </c>
      <c r="P101" s="252" t="s">
        <v>496</v>
      </c>
      <c r="Q101" s="252" t="s">
        <v>496</v>
      </c>
      <c r="R101" s="252" t="s">
        <v>496</v>
      </c>
      <c r="S101" s="252" t="s">
        <v>496</v>
      </c>
      <c r="T101" s="252" t="s">
        <v>496</v>
      </c>
      <c r="U101" s="252" t="s">
        <v>496</v>
      </c>
      <c r="V101" s="252" t="s">
        <v>496</v>
      </c>
      <c r="W101" s="252" t="s">
        <v>496</v>
      </c>
      <c r="X101" s="252" t="s">
        <v>496</v>
      </c>
      <c r="Y101" s="252" t="s">
        <v>496</v>
      </c>
      <c r="Z101" s="252" t="s">
        <v>496</v>
      </c>
      <c r="AA101" s="251" t="s">
        <v>1079</v>
      </c>
    </row>
    <row r="102" spans="1:27">
      <c r="A102" s="64">
        <f t="shared" ref="A102:A103" si="1">A101+1</f>
        <v>42</v>
      </c>
      <c r="B102" s="251" t="s">
        <v>627</v>
      </c>
      <c r="C102" s="255" t="s">
        <v>256</v>
      </c>
      <c r="D102" s="256">
        <v>100</v>
      </c>
      <c r="E102" s="251" t="s">
        <v>402</v>
      </c>
      <c r="F102" s="256">
        <v>50</v>
      </c>
      <c r="G102" s="254">
        <v>44643</v>
      </c>
      <c r="H102" s="251" t="s">
        <v>1093</v>
      </c>
      <c r="I102" s="251" t="s">
        <v>1091</v>
      </c>
      <c r="J102" s="251" t="s">
        <v>615</v>
      </c>
      <c r="K102" s="251" t="s">
        <v>628</v>
      </c>
      <c r="L102" s="263" t="s">
        <v>629</v>
      </c>
      <c r="N102" s="251" t="s">
        <v>1081</v>
      </c>
      <c r="O102" s="252" t="s">
        <v>544</v>
      </c>
      <c r="P102" s="252">
        <v>18.5</v>
      </c>
      <c r="Q102" s="252" t="s">
        <v>1086</v>
      </c>
      <c r="R102" s="252" t="s">
        <v>549</v>
      </c>
      <c r="S102" s="252">
        <v>3.5</v>
      </c>
      <c r="T102" s="252" t="s">
        <v>1090</v>
      </c>
      <c r="U102" s="252" t="s">
        <v>496</v>
      </c>
      <c r="V102" s="252" t="s">
        <v>496</v>
      </c>
      <c r="W102" s="252" t="s">
        <v>496</v>
      </c>
      <c r="X102" s="252" t="s">
        <v>496</v>
      </c>
      <c r="Y102" s="252" t="s">
        <v>496</v>
      </c>
      <c r="Z102" s="252" t="s">
        <v>496</v>
      </c>
      <c r="AA102" s="251" t="s">
        <v>933</v>
      </c>
    </row>
    <row r="103" spans="1:27">
      <c r="A103" s="251">
        <f t="shared" si="1"/>
        <v>43</v>
      </c>
      <c r="B103" s="64" t="s">
        <v>449</v>
      </c>
      <c r="C103" s="190" t="s">
        <v>256</v>
      </c>
      <c r="D103" s="188">
        <v>100</v>
      </c>
      <c r="E103" s="64" t="s">
        <v>544</v>
      </c>
      <c r="F103" s="188">
        <v>50</v>
      </c>
      <c r="G103" s="202">
        <v>44796</v>
      </c>
      <c r="H103" s="64" t="s">
        <v>1108</v>
      </c>
      <c r="I103" s="64" t="s">
        <v>1092</v>
      </c>
      <c r="J103" s="197" t="s">
        <v>613</v>
      </c>
      <c r="K103" s="197" t="s">
        <v>247</v>
      </c>
      <c r="L103" s="194">
        <v>44378</v>
      </c>
      <c r="N103" s="251" t="s">
        <v>1103</v>
      </c>
      <c r="O103" s="252" t="s">
        <v>549</v>
      </c>
      <c r="P103" s="252">
        <v>12.5</v>
      </c>
      <c r="Q103" s="252" t="s">
        <v>1104</v>
      </c>
      <c r="R103" s="252" t="s">
        <v>549</v>
      </c>
      <c r="S103" s="252">
        <v>7.2</v>
      </c>
      <c r="T103" s="252" t="s">
        <v>1106</v>
      </c>
      <c r="V103" s="252" t="s">
        <v>496</v>
      </c>
      <c r="W103" s="252" t="s">
        <v>496</v>
      </c>
      <c r="X103" s="252" t="s">
        <v>496</v>
      </c>
      <c r="Y103" s="252" t="s">
        <v>496</v>
      </c>
      <c r="Z103" s="252" t="s">
        <v>496</v>
      </c>
      <c r="AA103" s="251" t="s">
        <v>834</v>
      </c>
    </row>
    <row r="104" spans="1:27">
      <c r="B104" s="251" t="s">
        <v>450</v>
      </c>
      <c r="C104" s="255" t="s">
        <v>256</v>
      </c>
      <c r="D104" s="256">
        <v>100</v>
      </c>
      <c r="E104" s="251" t="s">
        <v>544</v>
      </c>
      <c r="F104" s="256">
        <v>50</v>
      </c>
      <c r="G104" s="205">
        <v>44475</v>
      </c>
      <c r="H104" s="251" t="s">
        <v>1139</v>
      </c>
      <c r="I104" s="251" t="s">
        <v>1111</v>
      </c>
      <c r="J104" s="251" t="s">
        <v>614</v>
      </c>
      <c r="K104" s="251" t="s">
        <v>451</v>
      </c>
      <c r="L104" s="259">
        <v>44440</v>
      </c>
      <c r="N104" s="251" t="s">
        <v>1109</v>
      </c>
      <c r="O104" s="252" t="s">
        <v>496</v>
      </c>
      <c r="P104" s="252" t="s">
        <v>496</v>
      </c>
      <c r="Q104" s="252" t="s">
        <v>496</v>
      </c>
      <c r="R104" s="252" t="s">
        <v>496</v>
      </c>
      <c r="S104" s="252" t="s">
        <v>496</v>
      </c>
      <c r="T104" s="252" t="s">
        <v>496</v>
      </c>
      <c r="U104" s="252" t="s">
        <v>496</v>
      </c>
      <c r="V104" s="252" t="s">
        <v>496</v>
      </c>
      <c r="W104" s="252" t="s">
        <v>496</v>
      </c>
      <c r="X104" s="252" t="s">
        <v>496</v>
      </c>
      <c r="Y104" s="252" t="s">
        <v>496</v>
      </c>
      <c r="Z104" s="252" t="s">
        <v>496</v>
      </c>
      <c r="AA104" s="251" t="s">
        <v>1110</v>
      </c>
    </row>
    <row r="105" spans="1:27">
      <c r="B105" s="251" t="s">
        <v>1696</v>
      </c>
      <c r="C105" s="255" t="s">
        <v>256</v>
      </c>
      <c r="D105" s="256">
        <v>100</v>
      </c>
      <c r="E105" s="251" t="s">
        <v>402</v>
      </c>
      <c r="F105" s="256">
        <v>35</v>
      </c>
      <c r="G105" s="254">
        <v>44309</v>
      </c>
      <c r="I105" s="251" t="s">
        <v>3750</v>
      </c>
      <c r="J105" s="251" t="s">
        <v>614</v>
      </c>
      <c r="K105" s="251" t="s">
        <v>3751</v>
      </c>
      <c r="L105" s="251">
        <v>2017</v>
      </c>
      <c r="N105" s="251" t="s">
        <v>3752</v>
      </c>
      <c r="O105" s="252" t="s">
        <v>544</v>
      </c>
      <c r="P105" s="252">
        <v>5.7</v>
      </c>
      <c r="Q105" s="252" t="s">
        <v>496</v>
      </c>
      <c r="R105" s="252" t="s">
        <v>544</v>
      </c>
      <c r="S105" s="252">
        <v>12.8</v>
      </c>
      <c r="T105" s="252" t="s">
        <v>496</v>
      </c>
      <c r="U105" s="252" t="s">
        <v>549</v>
      </c>
      <c r="V105" s="252" t="s">
        <v>496</v>
      </c>
      <c r="W105" s="252" t="s">
        <v>3755</v>
      </c>
      <c r="X105" s="252" t="s">
        <v>496</v>
      </c>
      <c r="Y105" s="252" t="s">
        <v>496</v>
      </c>
      <c r="Z105" s="252" t="s">
        <v>496</v>
      </c>
      <c r="AA105" s="251" t="s">
        <v>2630</v>
      </c>
    </row>
    <row r="106" spans="1:27">
      <c r="A106" s="251">
        <v>47</v>
      </c>
      <c r="B106" s="251" t="s">
        <v>452</v>
      </c>
      <c r="C106" s="255" t="s">
        <v>256</v>
      </c>
      <c r="D106" s="256">
        <v>100</v>
      </c>
      <c r="E106" s="251" t="s">
        <v>549</v>
      </c>
      <c r="F106" s="256">
        <v>42</v>
      </c>
      <c r="G106" s="254">
        <v>44882</v>
      </c>
      <c r="H106" s="64" t="s">
        <v>1116</v>
      </c>
      <c r="J106" s="196" t="s">
        <v>614</v>
      </c>
      <c r="K106" s="197" t="s">
        <v>430</v>
      </c>
      <c r="L106" s="259">
        <v>44440</v>
      </c>
      <c r="N106" s="251" t="s">
        <v>1112</v>
      </c>
      <c r="O106" s="252" t="s">
        <v>496</v>
      </c>
      <c r="P106" s="252" t="s">
        <v>496</v>
      </c>
      <c r="Q106" s="252" t="s">
        <v>496</v>
      </c>
      <c r="R106" s="252" t="s">
        <v>496</v>
      </c>
      <c r="S106" s="252" t="s">
        <v>496</v>
      </c>
      <c r="T106" s="252" t="s">
        <v>496</v>
      </c>
      <c r="U106" s="252" t="s">
        <v>496</v>
      </c>
      <c r="V106" s="252" t="s">
        <v>496</v>
      </c>
      <c r="W106" s="252" t="s">
        <v>496</v>
      </c>
      <c r="X106" s="252" t="s">
        <v>496</v>
      </c>
      <c r="Y106" s="252" t="s">
        <v>496</v>
      </c>
      <c r="Z106" s="252" t="s">
        <v>496</v>
      </c>
      <c r="AA106" s="251" t="s">
        <v>833</v>
      </c>
    </row>
    <row r="107" spans="1:27">
      <c r="A107" s="251">
        <f>A106+1</f>
        <v>48</v>
      </c>
      <c r="B107" s="251" t="s">
        <v>453</v>
      </c>
      <c r="C107" s="255" t="s">
        <v>256</v>
      </c>
      <c r="D107" s="256">
        <v>100</v>
      </c>
      <c r="E107" s="251" t="s">
        <v>544</v>
      </c>
      <c r="F107" s="256">
        <v>40</v>
      </c>
      <c r="G107" s="254">
        <v>44690</v>
      </c>
      <c r="H107" s="251" t="s">
        <v>1119</v>
      </c>
      <c r="I107" s="251" t="s">
        <v>1117</v>
      </c>
      <c r="J107" s="251" t="s">
        <v>613</v>
      </c>
      <c r="K107" s="251" t="s">
        <v>651</v>
      </c>
      <c r="L107" s="259">
        <v>44501</v>
      </c>
      <c r="N107" s="251" t="s">
        <v>1118</v>
      </c>
      <c r="O107" s="252" t="s">
        <v>1120</v>
      </c>
      <c r="P107" s="252">
        <v>5</v>
      </c>
      <c r="Q107" s="252" t="s">
        <v>1121</v>
      </c>
      <c r="R107" s="252" t="s">
        <v>496</v>
      </c>
      <c r="S107" s="252" t="s">
        <v>496</v>
      </c>
      <c r="T107" s="252" t="s">
        <v>496</v>
      </c>
      <c r="U107" s="252" t="s">
        <v>496</v>
      </c>
      <c r="V107" s="252" t="s">
        <v>496</v>
      </c>
      <c r="W107" s="252" t="s">
        <v>496</v>
      </c>
      <c r="X107" s="252" t="s">
        <v>496</v>
      </c>
      <c r="Y107" s="252" t="s">
        <v>496</v>
      </c>
      <c r="Z107" s="252" t="s">
        <v>496</v>
      </c>
      <c r="AA107" s="251" t="s">
        <v>841</v>
      </c>
    </row>
    <row r="108" spans="1:27">
      <c r="B108" s="251" t="s">
        <v>1545</v>
      </c>
      <c r="C108" s="255" t="s">
        <v>256</v>
      </c>
      <c r="D108" s="256">
        <v>100</v>
      </c>
      <c r="E108" s="251" t="s">
        <v>565</v>
      </c>
      <c r="F108" s="256">
        <v>38</v>
      </c>
      <c r="G108" s="254">
        <v>44580</v>
      </c>
      <c r="H108" s="251" t="s">
        <v>3121</v>
      </c>
      <c r="I108" s="251" t="s">
        <v>3124</v>
      </c>
      <c r="J108" s="251" t="s">
        <v>614</v>
      </c>
      <c r="K108" s="251" t="s">
        <v>3122</v>
      </c>
      <c r="L108" s="251">
        <v>2017</v>
      </c>
      <c r="M108" s="251" t="s">
        <v>3125</v>
      </c>
      <c r="N108" s="251" t="s">
        <v>3126</v>
      </c>
      <c r="O108" s="252" t="s">
        <v>402</v>
      </c>
      <c r="P108" s="252">
        <v>13.5</v>
      </c>
      <c r="Q108" s="252" t="s">
        <v>3127</v>
      </c>
      <c r="R108" s="252" t="s">
        <v>544</v>
      </c>
      <c r="S108" s="252">
        <v>8.4</v>
      </c>
      <c r="T108" s="252" t="s">
        <v>3128</v>
      </c>
      <c r="U108" s="252" t="s">
        <v>549</v>
      </c>
      <c r="V108" s="252">
        <v>1.6</v>
      </c>
      <c r="W108" s="252" t="s">
        <v>3128</v>
      </c>
      <c r="X108" s="252" t="s">
        <v>496</v>
      </c>
      <c r="Y108" s="252" t="s">
        <v>496</v>
      </c>
      <c r="Z108" s="252" t="s">
        <v>496</v>
      </c>
      <c r="AA108" s="251" t="s">
        <v>3123</v>
      </c>
    </row>
    <row r="109" spans="1:27">
      <c r="A109" s="251">
        <v>51</v>
      </c>
      <c r="B109" s="251" t="s">
        <v>654</v>
      </c>
      <c r="C109" s="255" t="s">
        <v>256</v>
      </c>
      <c r="D109" s="256">
        <v>100</v>
      </c>
      <c r="E109" s="251" t="s">
        <v>544</v>
      </c>
      <c r="F109" s="256">
        <v>30</v>
      </c>
      <c r="G109" s="254">
        <v>44893</v>
      </c>
      <c r="H109" s="251" t="s">
        <v>739</v>
      </c>
      <c r="I109" s="251" t="s">
        <v>1132</v>
      </c>
      <c r="J109" s="251" t="s">
        <v>615</v>
      </c>
      <c r="K109" s="251" t="s">
        <v>636</v>
      </c>
      <c r="L109" s="261">
        <v>43313</v>
      </c>
      <c r="N109" s="251" t="s">
        <v>1131</v>
      </c>
      <c r="O109" s="252" t="s">
        <v>549</v>
      </c>
      <c r="P109" s="252">
        <v>7</v>
      </c>
      <c r="Q109" s="252" t="s">
        <v>496</v>
      </c>
      <c r="R109" s="252" t="s">
        <v>669</v>
      </c>
      <c r="S109" s="252">
        <v>3</v>
      </c>
      <c r="T109" s="252" t="s">
        <v>1136</v>
      </c>
      <c r="U109" s="252" t="s">
        <v>496</v>
      </c>
      <c r="V109" s="252" t="s">
        <v>496</v>
      </c>
      <c r="W109" s="252" t="s">
        <v>496</v>
      </c>
      <c r="X109" s="252" t="s">
        <v>496</v>
      </c>
      <c r="Y109" s="252" t="s">
        <v>496</v>
      </c>
      <c r="Z109" s="252" t="s">
        <v>496</v>
      </c>
      <c r="AA109" s="251" t="s">
        <v>833</v>
      </c>
    </row>
    <row r="110" spans="1:27">
      <c r="A110" s="251">
        <v>52</v>
      </c>
      <c r="B110" s="251" t="s">
        <v>1140</v>
      </c>
      <c r="C110" s="255" t="s">
        <v>256</v>
      </c>
      <c r="D110" s="256">
        <v>100</v>
      </c>
      <c r="E110" s="251" t="s">
        <v>544</v>
      </c>
      <c r="F110" s="256">
        <v>23</v>
      </c>
      <c r="G110" s="254">
        <v>44963</v>
      </c>
      <c r="H110" s="64" t="s">
        <v>1142</v>
      </c>
      <c r="J110" s="251" t="s">
        <v>615</v>
      </c>
      <c r="K110" s="251" t="s">
        <v>461</v>
      </c>
      <c r="L110" s="259">
        <v>44621</v>
      </c>
      <c r="N110" s="251" t="s">
        <v>1143</v>
      </c>
      <c r="O110" s="252" t="s">
        <v>549</v>
      </c>
      <c r="P110" s="252">
        <v>5.0999999999999996</v>
      </c>
      <c r="Q110" s="252" t="s">
        <v>870</v>
      </c>
      <c r="R110" s="252" t="s">
        <v>496</v>
      </c>
      <c r="S110" s="252" t="s">
        <v>496</v>
      </c>
      <c r="T110" s="252" t="s">
        <v>496</v>
      </c>
      <c r="U110" s="252" t="s">
        <v>496</v>
      </c>
      <c r="V110" s="252" t="s">
        <v>496</v>
      </c>
      <c r="W110" s="252" t="s">
        <v>496</v>
      </c>
      <c r="X110" s="252" t="s">
        <v>496</v>
      </c>
      <c r="Y110" s="252" t="s">
        <v>496</v>
      </c>
      <c r="Z110" s="252" t="s">
        <v>496</v>
      </c>
      <c r="AA110" s="251" t="s">
        <v>834</v>
      </c>
    </row>
    <row r="111" spans="1:27">
      <c r="A111" s="251">
        <v>53</v>
      </c>
      <c r="B111" s="251" t="s">
        <v>454</v>
      </c>
      <c r="C111" s="255" t="s">
        <v>256</v>
      </c>
      <c r="D111" s="256">
        <v>100</v>
      </c>
      <c r="E111" s="251" t="s">
        <v>549</v>
      </c>
      <c r="F111" s="256">
        <v>30</v>
      </c>
      <c r="G111" s="254">
        <v>44742</v>
      </c>
      <c r="H111" s="251" t="s">
        <v>250</v>
      </c>
      <c r="I111" s="251" t="s">
        <v>1154</v>
      </c>
      <c r="J111" s="251" t="s">
        <v>615</v>
      </c>
      <c r="K111" s="251" t="s">
        <v>633</v>
      </c>
      <c r="L111" s="259">
        <v>44562</v>
      </c>
      <c r="M111" s="251" t="s">
        <v>250</v>
      </c>
      <c r="N111" s="251" t="s">
        <v>1152</v>
      </c>
      <c r="O111" s="252" t="s">
        <v>496</v>
      </c>
      <c r="P111" s="252" t="s">
        <v>496</v>
      </c>
      <c r="Q111" s="252" t="s">
        <v>496</v>
      </c>
      <c r="R111" s="252" t="s">
        <v>496</v>
      </c>
      <c r="S111" s="252" t="s">
        <v>496</v>
      </c>
      <c r="T111" s="252" t="s">
        <v>496</v>
      </c>
      <c r="U111" s="252" t="s">
        <v>496</v>
      </c>
      <c r="V111" s="252" t="s">
        <v>496</v>
      </c>
      <c r="W111" s="252" t="s">
        <v>496</v>
      </c>
      <c r="X111" s="252" t="s">
        <v>496</v>
      </c>
      <c r="Y111" s="252" t="s">
        <v>496</v>
      </c>
      <c r="Z111" s="252" t="s">
        <v>496</v>
      </c>
      <c r="AA111" s="251" t="s">
        <v>834</v>
      </c>
    </row>
    <row r="112" spans="1:27">
      <c r="A112" s="251">
        <v>55</v>
      </c>
      <c r="B112" s="251" t="s">
        <v>655</v>
      </c>
      <c r="C112" s="255" t="s">
        <v>256</v>
      </c>
      <c r="D112" s="256">
        <v>100</v>
      </c>
      <c r="E112" s="251" t="s">
        <v>402</v>
      </c>
      <c r="F112" s="256">
        <v>30</v>
      </c>
      <c r="G112" s="205">
        <v>44539</v>
      </c>
      <c r="H112" s="251" t="s">
        <v>1174</v>
      </c>
      <c r="I112" s="251" t="s">
        <v>1172</v>
      </c>
      <c r="J112" s="251" t="s">
        <v>614</v>
      </c>
      <c r="K112" s="251" t="s">
        <v>636</v>
      </c>
      <c r="L112" s="261" t="s">
        <v>624</v>
      </c>
      <c r="N112" s="251" t="s">
        <v>1173</v>
      </c>
      <c r="O112" s="252" t="s">
        <v>544</v>
      </c>
      <c r="P112" s="252">
        <v>11</v>
      </c>
      <c r="Q112" s="252" t="s">
        <v>1177</v>
      </c>
      <c r="R112" s="252" t="s">
        <v>549</v>
      </c>
      <c r="S112" s="252">
        <v>3</v>
      </c>
      <c r="T112" s="252" t="s">
        <v>1178</v>
      </c>
      <c r="U112" s="252" t="s">
        <v>496</v>
      </c>
      <c r="V112" s="252" t="s">
        <v>496</v>
      </c>
      <c r="W112" s="252" t="s">
        <v>496</v>
      </c>
      <c r="X112" s="252" t="s">
        <v>496</v>
      </c>
      <c r="Y112" s="252" t="s">
        <v>496</v>
      </c>
      <c r="Z112" s="252" t="s">
        <v>496</v>
      </c>
      <c r="AA112" s="251" t="s">
        <v>834</v>
      </c>
    </row>
    <row r="113" spans="1:27">
      <c r="B113" s="251" t="s">
        <v>656</v>
      </c>
      <c r="C113" s="255" t="s">
        <v>256</v>
      </c>
      <c r="D113" s="256">
        <v>100</v>
      </c>
      <c r="E113" s="251" t="s">
        <v>544</v>
      </c>
      <c r="F113" s="256">
        <v>30</v>
      </c>
      <c r="G113" s="254">
        <v>44914</v>
      </c>
      <c r="H113" s="251" t="s">
        <v>1180</v>
      </c>
      <c r="I113" s="251" t="s">
        <v>1179</v>
      </c>
      <c r="J113" s="251" t="s">
        <v>613</v>
      </c>
      <c r="K113" s="251" t="s">
        <v>657</v>
      </c>
      <c r="L113" s="261" t="s">
        <v>648</v>
      </c>
      <c r="N113" s="251" t="s">
        <v>1181</v>
      </c>
      <c r="O113" s="252" t="s">
        <v>549</v>
      </c>
      <c r="P113" s="252">
        <v>4</v>
      </c>
      <c r="Q113" s="252" t="s">
        <v>1182</v>
      </c>
      <c r="R113" s="252" t="s">
        <v>496</v>
      </c>
      <c r="S113" s="252" t="s">
        <v>496</v>
      </c>
      <c r="T113" s="252" t="s">
        <v>496</v>
      </c>
      <c r="U113" s="252" t="s">
        <v>496</v>
      </c>
      <c r="V113" s="252" t="s">
        <v>496</v>
      </c>
      <c r="W113" s="252" t="s">
        <v>496</v>
      </c>
      <c r="X113" s="252" t="s">
        <v>496</v>
      </c>
      <c r="Y113" s="252" t="s">
        <v>496</v>
      </c>
      <c r="Z113" s="252" t="s">
        <v>496</v>
      </c>
      <c r="AA113" s="251" t="s">
        <v>933</v>
      </c>
    </row>
    <row r="114" spans="1:27">
      <c r="A114" s="251">
        <v>56</v>
      </c>
      <c r="B114" s="251" t="s">
        <v>659</v>
      </c>
      <c r="C114" s="255" t="s">
        <v>256</v>
      </c>
      <c r="D114" s="256">
        <v>100</v>
      </c>
      <c r="E114" s="251" t="s">
        <v>544</v>
      </c>
      <c r="F114" s="256">
        <v>30</v>
      </c>
      <c r="G114" s="205">
        <v>44522</v>
      </c>
      <c r="H114" s="251" t="s">
        <v>1188</v>
      </c>
      <c r="I114" s="251" t="s">
        <v>1184</v>
      </c>
      <c r="J114" s="251" t="s">
        <v>615</v>
      </c>
      <c r="K114" s="251" t="s">
        <v>636</v>
      </c>
      <c r="L114" s="261">
        <v>43862</v>
      </c>
      <c r="N114" s="251" t="s">
        <v>1185</v>
      </c>
      <c r="O114" s="252" t="s">
        <v>549</v>
      </c>
      <c r="P114" s="252">
        <v>5.5</v>
      </c>
      <c r="Q114" s="252" t="s">
        <v>1186</v>
      </c>
      <c r="R114" s="252" t="s">
        <v>549</v>
      </c>
      <c r="S114" s="252">
        <v>2</v>
      </c>
      <c r="T114" s="252" t="s">
        <v>1187</v>
      </c>
      <c r="U114" s="252" t="s">
        <v>496</v>
      </c>
      <c r="V114" s="252" t="s">
        <v>496</v>
      </c>
      <c r="W114" s="252" t="s">
        <v>496</v>
      </c>
      <c r="X114" s="252" t="s">
        <v>496</v>
      </c>
      <c r="Y114" s="252" t="s">
        <v>496</v>
      </c>
      <c r="Z114" s="252" t="s">
        <v>496</v>
      </c>
      <c r="AA114" s="251" t="s">
        <v>1183</v>
      </c>
    </row>
    <row r="115" spans="1:27">
      <c r="A115" s="251">
        <f>+A114+1</f>
        <v>57</v>
      </c>
      <c r="B115" s="64" t="s">
        <v>572</v>
      </c>
      <c r="C115" s="190" t="s">
        <v>256</v>
      </c>
      <c r="D115" s="188">
        <v>100</v>
      </c>
      <c r="E115" s="64" t="s">
        <v>496</v>
      </c>
      <c r="F115" s="188">
        <v>18.5</v>
      </c>
      <c r="G115" s="202">
        <v>45063</v>
      </c>
      <c r="H115" s="64" t="s">
        <v>1198</v>
      </c>
      <c r="I115" s="64" t="s">
        <v>3946</v>
      </c>
      <c r="J115" s="64" t="s">
        <v>615</v>
      </c>
      <c r="K115" s="251" t="s">
        <v>644</v>
      </c>
      <c r="L115" s="259">
        <v>44652</v>
      </c>
      <c r="N115" s="196" t="s">
        <v>1199</v>
      </c>
      <c r="O115" s="252" t="s">
        <v>549</v>
      </c>
      <c r="P115" s="252" t="s">
        <v>496</v>
      </c>
      <c r="Q115" s="252" t="s">
        <v>1197</v>
      </c>
      <c r="R115" s="252" t="s">
        <v>549</v>
      </c>
      <c r="S115" s="252">
        <v>2</v>
      </c>
      <c r="T115" s="252" t="s">
        <v>1196</v>
      </c>
      <c r="U115" s="252" t="s">
        <v>496</v>
      </c>
      <c r="V115" s="252" t="s">
        <v>496</v>
      </c>
      <c r="W115" s="252" t="s">
        <v>496</v>
      </c>
      <c r="X115" s="252" t="s">
        <v>496</v>
      </c>
      <c r="Y115" s="252" t="s">
        <v>496</v>
      </c>
      <c r="Z115" s="252" t="s">
        <v>496</v>
      </c>
      <c r="AA115" s="251" t="s">
        <v>1110</v>
      </c>
    </row>
    <row r="116" spans="1:27">
      <c r="B116" s="251" t="s">
        <v>546</v>
      </c>
      <c r="C116" s="255" t="s">
        <v>256</v>
      </c>
      <c r="D116" s="256">
        <v>110</v>
      </c>
      <c r="E116" s="251" t="s">
        <v>544</v>
      </c>
      <c r="F116" s="256">
        <v>23.5</v>
      </c>
      <c r="G116" s="254">
        <v>44875</v>
      </c>
      <c r="H116" s="251" t="s">
        <v>1427</v>
      </c>
      <c r="I116" s="251" t="s">
        <v>1426</v>
      </c>
      <c r="J116" s="251" t="s">
        <v>614</v>
      </c>
      <c r="K116" s="251" t="s">
        <v>615</v>
      </c>
      <c r="L116" s="258">
        <v>44292</v>
      </c>
      <c r="N116" s="251" t="s">
        <v>1428</v>
      </c>
      <c r="O116" s="252" t="s">
        <v>549</v>
      </c>
      <c r="P116" s="252">
        <v>5.6</v>
      </c>
      <c r="Q116" s="252" t="s">
        <v>1429</v>
      </c>
      <c r="R116" s="252" t="s">
        <v>669</v>
      </c>
      <c r="S116" s="252" t="s">
        <v>496</v>
      </c>
      <c r="T116" s="252" t="s">
        <v>1430</v>
      </c>
      <c r="U116" s="252" t="s">
        <v>496</v>
      </c>
      <c r="V116" s="252" t="s">
        <v>496</v>
      </c>
      <c r="W116" s="252" t="s">
        <v>496</v>
      </c>
      <c r="X116" s="252" t="s">
        <v>496</v>
      </c>
      <c r="Y116" s="252" t="s">
        <v>496</v>
      </c>
      <c r="Z116" s="252" t="s">
        <v>496</v>
      </c>
      <c r="AA116" s="251" t="s">
        <v>1425</v>
      </c>
    </row>
    <row r="117" spans="1:27">
      <c r="B117" s="251" t="s">
        <v>455</v>
      </c>
      <c r="C117" s="255" t="s">
        <v>256</v>
      </c>
      <c r="D117" s="256">
        <v>100</v>
      </c>
      <c r="E117" s="251" t="s">
        <v>549</v>
      </c>
      <c r="F117" s="256">
        <v>30</v>
      </c>
      <c r="G117" s="254">
        <v>44601</v>
      </c>
      <c r="H117" s="251" t="s">
        <v>456</v>
      </c>
      <c r="I117" s="251" t="s">
        <v>1252</v>
      </c>
      <c r="J117" s="251" t="s">
        <v>456</v>
      </c>
      <c r="K117" s="251" t="s">
        <v>658</v>
      </c>
      <c r="L117" s="251">
        <v>2021</v>
      </c>
      <c r="N117" s="251" t="s">
        <v>1253</v>
      </c>
      <c r="O117" s="252" t="s">
        <v>496</v>
      </c>
      <c r="P117" s="252" t="s">
        <v>496</v>
      </c>
      <c r="Q117" s="252" t="s">
        <v>496</v>
      </c>
      <c r="R117" s="252" t="s">
        <v>496</v>
      </c>
      <c r="S117" s="252" t="s">
        <v>496</v>
      </c>
      <c r="T117" s="252" t="s">
        <v>496</v>
      </c>
      <c r="U117" s="252" t="s">
        <v>496</v>
      </c>
      <c r="V117" s="252" t="s">
        <v>496</v>
      </c>
      <c r="W117" s="252" t="s">
        <v>496</v>
      </c>
      <c r="X117" s="252" t="s">
        <v>496</v>
      </c>
      <c r="Y117" s="252" t="s">
        <v>496</v>
      </c>
      <c r="Z117" s="252" t="s">
        <v>496</v>
      </c>
      <c r="AA117" s="251" t="s">
        <v>1251</v>
      </c>
    </row>
    <row r="118" spans="1:27">
      <c r="A118" s="251">
        <v>64</v>
      </c>
      <c r="B118" s="251" t="s">
        <v>662</v>
      </c>
      <c r="C118" s="255" t="s">
        <v>256</v>
      </c>
      <c r="D118" s="256">
        <v>100</v>
      </c>
      <c r="E118" s="251" t="s">
        <v>496</v>
      </c>
      <c r="F118" s="256">
        <v>29</v>
      </c>
      <c r="G118" s="205">
        <v>44368</v>
      </c>
      <c r="H118" s="251" t="s">
        <v>1259</v>
      </c>
      <c r="I118" s="251" t="s">
        <v>1256</v>
      </c>
      <c r="J118" s="251" t="s">
        <v>614</v>
      </c>
      <c r="K118" s="251" t="s">
        <v>646</v>
      </c>
      <c r="L118" s="259">
        <v>43344</v>
      </c>
      <c r="N118" s="251" t="s">
        <v>1258</v>
      </c>
      <c r="O118" s="252" t="s">
        <v>496</v>
      </c>
      <c r="P118" s="252" t="s">
        <v>496</v>
      </c>
      <c r="Q118" s="252" t="s">
        <v>496</v>
      </c>
      <c r="R118" s="252" t="s">
        <v>496</v>
      </c>
      <c r="S118" s="252" t="s">
        <v>496</v>
      </c>
      <c r="T118" s="252" t="s">
        <v>496</v>
      </c>
      <c r="U118" s="252" t="s">
        <v>496</v>
      </c>
      <c r="V118" s="252" t="s">
        <v>496</v>
      </c>
      <c r="W118" s="252" t="s">
        <v>496</v>
      </c>
      <c r="X118" s="252" t="s">
        <v>496</v>
      </c>
      <c r="Y118" s="252" t="s">
        <v>496</v>
      </c>
      <c r="Z118" s="252" t="s">
        <v>496</v>
      </c>
      <c r="AA118" s="251" t="s">
        <v>1110</v>
      </c>
    </row>
    <row r="119" spans="1:27">
      <c r="B119" s="251" t="s">
        <v>663</v>
      </c>
      <c r="C119" s="255" t="s">
        <v>256</v>
      </c>
      <c r="D119" s="256">
        <v>100</v>
      </c>
      <c r="E119" s="251" t="s">
        <v>544</v>
      </c>
      <c r="F119" s="256">
        <v>28</v>
      </c>
      <c r="G119" s="205">
        <v>44442</v>
      </c>
      <c r="H119" s="251" t="s">
        <v>1261</v>
      </c>
      <c r="J119" s="251" t="s">
        <v>1262</v>
      </c>
      <c r="K119" s="251" t="s">
        <v>1262</v>
      </c>
      <c r="L119" s="261" t="s">
        <v>648</v>
      </c>
      <c r="N119" s="251" t="s">
        <v>1263</v>
      </c>
      <c r="O119" s="252" t="s">
        <v>496</v>
      </c>
      <c r="P119" s="252" t="s">
        <v>496</v>
      </c>
      <c r="Q119" s="252" t="s">
        <v>496</v>
      </c>
      <c r="R119" s="252" t="s">
        <v>496</v>
      </c>
      <c r="S119" s="252" t="s">
        <v>496</v>
      </c>
      <c r="T119" s="252" t="s">
        <v>496</v>
      </c>
      <c r="U119" s="252" t="s">
        <v>496</v>
      </c>
      <c r="V119" s="252" t="s">
        <v>496</v>
      </c>
      <c r="W119" s="252" t="s">
        <v>496</v>
      </c>
      <c r="X119" s="252" t="s">
        <v>496</v>
      </c>
      <c r="Y119" s="252" t="s">
        <v>496</v>
      </c>
      <c r="Z119" s="252" t="s">
        <v>496</v>
      </c>
      <c r="AA119" s="251" t="s">
        <v>1260</v>
      </c>
    </row>
    <row r="120" spans="1:27">
      <c r="B120" s="251" t="s">
        <v>664</v>
      </c>
      <c r="C120" s="255" t="s">
        <v>256</v>
      </c>
      <c r="D120" s="256">
        <v>100</v>
      </c>
      <c r="E120" s="251" t="s">
        <v>544</v>
      </c>
      <c r="F120" s="256">
        <v>28</v>
      </c>
      <c r="G120" s="254">
        <v>44656</v>
      </c>
      <c r="H120" s="251" t="s">
        <v>1264</v>
      </c>
      <c r="J120" s="251" t="s">
        <v>613</v>
      </c>
      <c r="K120" s="251" t="s">
        <v>665</v>
      </c>
      <c r="L120" s="261">
        <v>43556</v>
      </c>
      <c r="N120" s="251" t="s">
        <v>1266</v>
      </c>
      <c r="O120" s="252" t="s">
        <v>549</v>
      </c>
      <c r="P120" s="252">
        <v>5</v>
      </c>
      <c r="Q120" s="252" t="s">
        <v>1269</v>
      </c>
      <c r="R120" s="252" t="s">
        <v>810</v>
      </c>
      <c r="S120" s="252" t="s">
        <v>496</v>
      </c>
      <c r="T120" s="252" t="s">
        <v>1270</v>
      </c>
      <c r="U120" s="252" t="s">
        <v>549</v>
      </c>
      <c r="V120" s="252" t="s">
        <v>496</v>
      </c>
      <c r="W120" s="252" t="s">
        <v>1271</v>
      </c>
      <c r="X120" s="252" t="s">
        <v>496</v>
      </c>
      <c r="Y120" s="252" t="s">
        <v>496</v>
      </c>
      <c r="Z120" s="252" t="s">
        <v>496</v>
      </c>
      <c r="AA120" s="251" t="s">
        <v>1272</v>
      </c>
    </row>
    <row r="121" spans="1:27" s="64" customFormat="1">
      <c r="B121" s="64" t="s">
        <v>1165</v>
      </c>
      <c r="C121" s="190" t="s">
        <v>256</v>
      </c>
      <c r="D121" s="188">
        <v>100</v>
      </c>
      <c r="E121" s="64" t="s">
        <v>549</v>
      </c>
      <c r="F121" s="188">
        <v>20</v>
      </c>
      <c r="G121" s="202">
        <v>44792</v>
      </c>
      <c r="H121" s="64" t="s">
        <v>1166</v>
      </c>
      <c r="I121" s="64" t="s">
        <v>1273</v>
      </c>
      <c r="J121" s="64" t="s">
        <v>614</v>
      </c>
      <c r="K121" s="64" t="s">
        <v>1166</v>
      </c>
      <c r="L121" s="195" t="s">
        <v>1274</v>
      </c>
      <c r="M121" s="64" t="s">
        <v>1276</v>
      </c>
      <c r="N121" s="64" t="s">
        <v>1275</v>
      </c>
      <c r="O121" s="204" t="s">
        <v>496</v>
      </c>
      <c r="P121" s="204" t="s">
        <v>496</v>
      </c>
      <c r="Q121" s="204" t="s">
        <v>496</v>
      </c>
      <c r="R121" s="204" t="s">
        <v>496</v>
      </c>
      <c r="S121" s="204" t="s">
        <v>496</v>
      </c>
      <c r="T121" s="204" t="s">
        <v>496</v>
      </c>
      <c r="U121" s="204" t="s">
        <v>496</v>
      </c>
      <c r="V121" s="204" t="s">
        <v>496</v>
      </c>
      <c r="W121" s="204" t="s">
        <v>496</v>
      </c>
      <c r="X121" s="204" t="s">
        <v>496</v>
      </c>
      <c r="Y121" s="204" t="s">
        <v>496</v>
      </c>
      <c r="Z121" s="204" t="s">
        <v>496</v>
      </c>
      <c r="AA121" s="64" t="s">
        <v>1277</v>
      </c>
    </row>
    <row r="122" spans="1:27">
      <c r="B122" s="251" t="s">
        <v>666</v>
      </c>
      <c r="C122" s="255" t="s">
        <v>256</v>
      </c>
      <c r="D122" s="256">
        <v>100</v>
      </c>
      <c r="E122" s="251" t="s">
        <v>544</v>
      </c>
      <c r="F122" s="256">
        <v>25</v>
      </c>
      <c r="G122" s="254">
        <v>44404</v>
      </c>
      <c r="H122" s="251" t="s">
        <v>1280</v>
      </c>
      <c r="I122" s="251" t="s">
        <v>1278</v>
      </c>
      <c r="J122" s="251" t="s">
        <v>615</v>
      </c>
      <c r="K122" s="251" t="s">
        <v>642</v>
      </c>
      <c r="L122" s="261">
        <v>43496</v>
      </c>
      <c r="N122" s="196" t="s">
        <v>1281</v>
      </c>
      <c r="O122" s="252" t="s">
        <v>549</v>
      </c>
      <c r="P122" s="252" t="s">
        <v>1282</v>
      </c>
      <c r="Q122" s="252" t="s">
        <v>496</v>
      </c>
      <c r="R122" s="252" t="s">
        <v>496</v>
      </c>
      <c r="S122" s="252" t="s">
        <v>496</v>
      </c>
      <c r="T122" s="252" t="s">
        <v>496</v>
      </c>
      <c r="U122" s="252" t="s">
        <v>496</v>
      </c>
      <c r="V122" s="252" t="s">
        <v>496</v>
      </c>
      <c r="W122" s="252" t="s">
        <v>496</v>
      </c>
      <c r="X122" s="252" t="s">
        <v>496</v>
      </c>
      <c r="Y122" s="252" t="s">
        <v>496</v>
      </c>
      <c r="Z122" s="252" t="s">
        <v>496</v>
      </c>
      <c r="AA122" s="251" t="s">
        <v>1279</v>
      </c>
    </row>
    <row r="123" spans="1:27">
      <c r="B123" s="251" t="s">
        <v>1283</v>
      </c>
      <c r="C123" s="255" t="s">
        <v>256</v>
      </c>
      <c r="D123" s="256">
        <v>100</v>
      </c>
      <c r="E123" s="251" t="s">
        <v>496</v>
      </c>
      <c r="F123" s="256">
        <v>26</v>
      </c>
      <c r="G123" s="205">
        <v>43852</v>
      </c>
      <c r="H123" s="251" t="s">
        <v>1284</v>
      </c>
      <c r="J123" s="251" t="s">
        <v>614</v>
      </c>
      <c r="K123" s="251" t="s">
        <v>640</v>
      </c>
      <c r="L123" s="261">
        <v>43374</v>
      </c>
      <c r="N123" s="251" t="s">
        <v>496</v>
      </c>
      <c r="O123" s="251" t="s">
        <v>496</v>
      </c>
      <c r="P123" s="251" t="s">
        <v>496</v>
      </c>
      <c r="Q123" s="251" t="s">
        <v>496</v>
      </c>
      <c r="R123" s="251" t="s">
        <v>496</v>
      </c>
      <c r="S123" s="251" t="s">
        <v>496</v>
      </c>
      <c r="T123" s="251" t="s">
        <v>496</v>
      </c>
      <c r="U123" s="251" t="s">
        <v>496</v>
      </c>
      <c r="V123" s="251" t="s">
        <v>496</v>
      </c>
      <c r="W123" s="251" t="s">
        <v>496</v>
      </c>
      <c r="X123" s="251" t="s">
        <v>496</v>
      </c>
      <c r="Y123" s="251" t="s">
        <v>496</v>
      </c>
      <c r="Z123" s="251" t="s">
        <v>496</v>
      </c>
      <c r="AA123" s="251" t="s">
        <v>834</v>
      </c>
    </row>
    <row r="124" spans="1:27">
      <c r="A124" s="64">
        <v>61</v>
      </c>
      <c r="B124" s="64" t="s">
        <v>667</v>
      </c>
      <c r="C124" s="190" t="s">
        <v>256</v>
      </c>
      <c r="D124" s="188">
        <v>100</v>
      </c>
      <c r="E124" s="64" t="s">
        <v>544</v>
      </c>
      <c r="F124" s="188">
        <v>25</v>
      </c>
      <c r="G124" s="202">
        <v>44013</v>
      </c>
      <c r="H124" s="64" t="s">
        <v>739</v>
      </c>
      <c r="I124" s="64" t="s">
        <v>1285</v>
      </c>
      <c r="J124" s="64" t="s">
        <v>615</v>
      </c>
      <c r="K124" s="64" t="s">
        <v>636</v>
      </c>
      <c r="L124" s="195" t="s">
        <v>648</v>
      </c>
      <c r="N124" s="251" t="s">
        <v>496</v>
      </c>
      <c r="O124" s="251" t="s">
        <v>496</v>
      </c>
      <c r="P124" s="251" t="s">
        <v>496</v>
      </c>
      <c r="Q124" s="251" t="s">
        <v>496</v>
      </c>
      <c r="R124" s="251" t="s">
        <v>496</v>
      </c>
      <c r="S124" s="251" t="s">
        <v>496</v>
      </c>
      <c r="T124" s="251" t="s">
        <v>496</v>
      </c>
      <c r="U124" s="251" t="s">
        <v>496</v>
      </c>
      <c r="V124" s="251" t="s">
        <v>496</v>
      </c>
      <c r="W124" s="251" t="s">
        <v>496</v>
      </c>
      <c r="X124" s="251" t="s">
        <v>496</v>
      </c>
      <c r="Y124" s="251" t="s">
        <v>496</v>
      </c>
      <c r="Z124" s="251" t="s">
        <v>496</v>
      </c>
      <c r="AA124" s="251" t="s">
        <v>834</v>
      </c>
    </row>
    <row r="125" spans="1:27">
      <c r="B125" s="251" t="s">
        <v>581</v>
      </c>
      <c r="C125" s="255" t="s">
        <v>256</v>
      </c>
      <c r="D125" s="256">
        <v>100</v>
      </c>
      <c r="E125" s="251" t="s">
        <v>544</v>
      </c>
      <c r="F125" s="256">
        <f>12.2+16.3</f>
        <v>28.5</v>
      </c>
      <c r="G125" s="254">
        <v>45077</v>
      </c>
      <c r="H125" s="251" t="s">
        <v>1691</v>
      </c>
      <c r="I125" s="251" t="s">
        <v>1692</v>
      </c>
      <c r="J125" s="251" t="s">
        <v>614</v>
      </c>
      <c r="K125" s="251" t="s">
        <v>636</v>
      </c>
      <c r="L125" s="251">
        <v>2021</v>
      </c>
      <c r="N125" s="251" t="s">
        <v>1693</v>
      </c>
      <c r="O125" s="252" t="s">
        <v>496</v>
      </c>
      <c r="P125" s="252" t="s">
        <v>496</v>
      </c>
      <c r="Q125" s="252" t="s">
        <v>496</v>
      </c>
      <c r="R125" s="252" t="s">
        <v>496</v>
      </c>
      <c r="S125" s="252" t="s">
        <v>496</v>
      </c>
      <c r="T125" s="252" t="s">
        <v>496</v>
      </c>
      <c r="U125" s="252" t="s">
        <v>496</v>
      </c>
      <c r="V125" s="252" t="s">
        <v>496</v>
      </c>
      <c r="W125" s="252" t="s">
        <v>496</v>
      </c>
      <c r="X125" s="252" t="s">
        <v>496</v>
      </c>
      <c r="Y125" s="252" t="s">
        <v>496</v>
      </c>
      <c r="Z125" s="252" t="s">
        <v>496</v>
      </c>
      <c r="AA125" s="251" t="s">
        <v>834</v>
      </c>
    </row>
    <row r="126" spans="1:27">
      <c r="B126" s="251" t="s">
        <v>1358</v>
      </c>
      <c r="C126" s="255" t="s">
        <v>256</v>
      </c>
      <c r="D126" s="256">
        <v>100</v>
      </c>
      <c r="E126" s="251" t="s">
        <v>402</v>
      </c>
      <c r="F126" s="256">
        <v>27.5</v>
      </c>
      <c r="G126" s="254">
        <v>44181</v>
      </c>
      <c r="H126" s="251" t="s">
        <v>3052</v>
      </c>
      <c r="I126" s="251" t="s">
        <v>3051</v>
      </c>
      <c r="J126" s="251" t="s">
        <v>613</v>
      </c>
      <c r="K126" s="251" t="s">
        <v>567</v>
      </c>
      <c r="L126" s="251">
        <v>2017</v>
      </c>
      <c r="M126" s="251" t="s">
        <v>3054</v>
      </c>
      <c r="N126" s="251" t="s">
        <v>3055</v>
      </c>
      <c r="O126" s="252" t="s">
        <v>544</v>
      </c>
      <c r="P126" s="252">
        <v>10.7</v>
      </c>
      <c r="Q126" s="252" t="s">
        <v>3057</v>
      </c>
      <c r="R126" s="252" t="s">
        <v>496</v>
      </c>
      <c r="S126" s="252" t="s">
        <v>496</v>
      </c>
      <c r="T126" s="252" t="s">
        <v>496</v>
      </c>
      <c r="U126" s="252" t="s">
        <v>496</v>
      </c>
      <c r="V126" s="252" t="s">
        <v>496</v>
      </c>
      <c r="W126" s="252" t="s">
        <v>496</v>
      </c>
      <c r="X126" s="252" t="s">
        <v>496</v>
      </c>
      <c r="Y126" s="252" t="s">
        <v>496</v>
      </c>
      <c r="Z126" s="252" t="s">
        <v>496</v>
      </c>
      <c r="AA126" s="251" t="s">
        <v>844</v>
      </c>
    </row>
    <row r="127" spans="1:27">
      <c r="B127" s="251" t="s">
        <v>457</v>
      </c>
      <c r="C127" s="255" t="s">
        <v>256</v>
      </c>
      <c r="D127" s="256">
        <v>100</v>
      </c>
      <c r="E127" s="251" t="s">
        <v>544</v>
      </c>
      <c r="F127" s="256">
        <v>27</v>
      </c>
      <c r="G127" s="205">
        <v>44299</v>
      </c>
      <c r="H127" s="251" t="s">
        <v>1291</v>
      </c>
      <c r="J127" s="251" t="s">
        <v>615</v>
      </c>
      <c r="K127" s="251" t="s">
        <v>458</v>
      </c>
      <c r="L127" s="251">
        <v>2021</v>
      </c>
      <c r="N127" s="251" t="s">
        <v>496</v>
      </c>
      <c r="O127" s="251" t="s">
        <v>496</v>
      </c>
      <c r="P127" s="251" t="s">
        <v>496</v>
      </c>
      <c r="Q127" s="251" t="s">
        <v>496</v>
      </c>
      <c r="R127" s="251" t="s">
        <v>496</v>
      </c>
      <c r="S127" s="251" t="s">
        <v>496</v>
      </c>
      <c r="T127" s="251" t="s">
        <v>496</v>
      </c>
      <c r="U127" s="251" t="s">
        <v>496</v>
      </c>
      <c r="V127" s="251" t="s">
        <v>496</v>
      </c>
      <c r="W127" s="251" t="s">
        <v>496</v>
      </c>
      <c r="X127" s="251" t="s">
        <v>496</v>
      </c>
      <c r="Y127" s="251" t="s">
        <v>496</v>
      </c>
      <c r="Z127" s="251" t="s">
        <v>496</v>
      </c>
      <c r="AA127" s="251" t="s">
        <v>1289</v>
      </c>
    </row>
    <row r="128" spans="1:27">
      <c r="A128" s="251">
        <v>62</v>
      </c>
      <c r="B128" s="251" t="s">
        <v>3289</v>
      </c>
      <c r="C128" s="255" t="s">
        <v>256</v>
      </c>
      <c r="D128" s="256">
        <v>100</v>
      </c>
      <c r="E128" s="251" t="s">
        <v>402</v>
      </c>
      <c r="F128" s="256">
        <v>27</v>
      </c>
      <c r="G128" s="254">
        <v>44882</v>
      </c>
      <c r="H128" s="251" t="s">
        <v>1649</v>
      </c>
      <c r="I128" s="251" t="s">
        <v>1644</v>
      </c>
      <c r="J128" s="251" t="s">
        <v>613</v>
      </c>
      <c r="K128" s="251" t="s">
        <v>1645</v>
      </c>
      <c r="L128" s="251">
        <v>2016</v>
      </c>
      <c r="N128" s="251" t="s">
        <v>1648</v>
      </c>
      <c r="O128" s="252" t="s">
        <v>544</v>
      </c>
      <c r="P128" s="252">
        <v>11</v>
      </c>
      <c r="Q128" s="252" t="s">
        <v>1651</v>
      </c>
      <c r="R128" s="252" t="s">
        <v>549</v>
      </c>
      <c r="S128" s="252" t="s">
        <v>496</v>
      </c>
      <c r="T128" s="252" t="s">
        <v>1653</v>
      </c>
      <c r="U128" s="252" t="s">
        <v>496</v>
      </c>
      <c r="V128" s="252" t="s">
        <v>496</v>
      </c>
      <c r="W128" s="252" t="s">
        <v>496</v>
      </c>
      <c r="X128" s="252" t="s">
        <v>496</v>
      </c>
      <c r="Y128" s="252" t="s">
        <v>496</v>
      </c>
      <c r="Z128" s="252" t="s">
        <v>496</v>
      </c>
      <c r="AA128" s="251" t="s">
        <v>834</v>
      </c>
    </row>
    <row r="129" spans="1:27">
      <c r="A129" s="251">
        <v>62</v>
      </c>
      <c r="B129" s="251" t="s">
        <v>668</v>
      </c>
      <c r="C129" s="255" t="s">
        <v>256</v>
      </c>
      <c r="D129" s="256">
        <v>100</v>
      </c>
      <c r="E129" s="251" t="s">
        <v>544</v>
      </c>
      <c r="F129" s="256">
        <v>25</v>
      </c>
      <c r="G129" s="254">
        <v>44699</v>
      </c>
      <c r="H129" s="251" t="s">
        <v>739</v>
      </c>
      <c r="I129" s="251" t="s">
        <v>1292</v>
      </c>
      <c r="J129" s="251" t="s">
        <v>615</v>
      </c>
      <c r="K129" s="251" t="s">
        <v>636</v>
      </c>
      <c r="L129" s="263" t="s">
        <v>624</v>
      </c>
      <c r="N129" s="251" t="s">
        <v>1295</v>
      </c>
      <c r="O129" s="251" t="s">
        <v>496</v>
      </c>
      <c r="P129" s="251" t="s">
        <v>496</v>
      </c>
      <c r="Q129" s="251" t="s">
        <v>496</v>
      </c>
      <c r="R129" s="251" t="s">
        <v>496</v>
      </c>
      <c r="S129" s="251" t="s">
        <v>496</v>
      </c>
      <c r="T129" s="251" t="s">
        <v>496</v>
      </c>
      <c r="U129" s="251" t="s">
        <v>496</v>
      </c>
      <c r="V129" s="251" t="s">
        <v>496</v>
      </c>
      <c r="W129" s="251" t="s">
        <v>496</v>
      </c>
      <c r="X129" s="251" t="s">
        <v>496</v>
      </c>
      <c r="Y129" s="251" t="s">
        <v>496</v>
      </c>
      <c r="Z129" s="251" t="s">
        <v>496</v>
      </c>
      <c r="AA129" s="251" t="s">
        <v>834</v>
      </c>
    </row>
    <row r="130" spans="1:27">
      <c r="A130" s="251">
        <v>63</v>
      </c>
      <c r="B130" s="251" t="s">
        <v>462</v>
      </c>
      <c r="C130" s="255" t="s">
        <v>256</v>
      </c>
      <c r="D130" s="256">
        <v>100</v>
      </c>
      <c r="E130" s="251" t="s">
        <v>544</v>
      </c>
      <c r="F130" s="256">
        <v>25</v>
      </c>
      <c r="G130" s="254">
        <v>44679</v>
      </c>
      <c r="H130" s="251" t="s">
        <v>1301</v>
      </c>
      <c r="I130" s="251" t="s">
        <v>1300</v>
      </c>
      <c r="J130" s="251" t="s">
        <v>615</v>
      </c>
      <c r="K130" s="251" t="s">
        <v>636</v>
      </c>
      <c r="L130" s="251">
        <v>2021</v>
      </c>
      <c r="N130" s="251" t="s">
        <v>1302</v>
      </c>
      <c r="O130" s="252" t="s">
        <v>549</v>
      </c>
      <c r="P130" s="252">
        <v>3</v>
      </c>
      <c r="Q130" s="252" t="s">
        <v>1303</v>
      </c>
      <c r="R130" s="251" t="s">
        <v>496</v>
      </c>
      <c r="S130" s="251" t="s">
        <v>496</v>
      </c>
      <c r="T130" s="251" t="s">
        <v>496</v>
      </c>
      <c r="U130" s="251" t="s">
        <v>496</v>
      </c>
      <c r="V130" s="251" t="s">
        <v>496</v>
      </c>
      <c r="W130" s="251" t="s">
        <v>496</v>
      </c>
      <c r="X130" s="251" t="s">
        <v>496</v>
      </c>
      <c r="Y130" s="251" t="s">
        <v>496</v>
      </c>
      <c r="Z130" s="251" t="s">
        <v>496</v>
      </c>
      <c r="AA130" s="251" t="s">
        <v>1299</v>
      </c>
    </row>
    <row r="131" spans="1:27">
      <c r="A131" s="251">
        <v>64</v>
      </c>
      <c r="B131" s="251" t="s">
        <v>1304</v>
      </c>
      <c r="C131" s="255" t="s">
        <v>256</v>
      </c>
      <c r="D131" s="256">
        <v>100</v>
      </c>
      <c r="E131" s="251" t="s">
        <v>544</v>
      </c>
      <c r="F131" s="256">
        <v>25</v>
      </c>
      <c r="G131" s="205">
        <v>44404</v>
      </c>
      <c r="H131" s="251" t="s">
        <v>1306</v>
      </c>
      <c r="I131" s="251" t="s">
        <v>1307</v>
      </c>
      <c r="J131" s="251" t="s">
        <v>615</v>
      </c>
      <c r="K131" s="251" t="s">
        <v>636</v>
      </c>
      <c r="L131" s="259">
        <v>43435</v>
      </c>
      <c r="N131" s="196" t="s">
        <v>1308</v>
      </c>
      <c r="O131" s="252" t="s">
        <v>549</v>
      </c>
      <c r="P131" s="252">
        <v>6</v>
      </c>
      <c r="Q131" s="252" t="s">
        <v>1309</v>
      </c>
      <c r="R131" s="252" t="s">
        <v>496</v>
      </c>
      <c r="S131" s="251" t="s">
        <v>496</v>
      </c>
      <c r="T131" s="251" t="s">
        <v>496</v>
      </c>
      <c r="U131" s="251" t="s">
        <v>496</v>
      </c>
      <c r="V131" s="251" t="s">
        <v>496</v>
      </c>
      <c r="W131" s="251" t="s">
        <v>496</v>
      </c>
      <c r="X131" s="251" t="s">
        <v>496</v>
      </c>
      <c r="Y131" s="251" t="s">
        <v>496</v>
      </c>
      <c r="Z131" s="251" t="s">
        <v>496</v>
      </c>
      <c r="AA131" s="251" t="s">
        <v>1305</v>
      </c>
    </row>
    <row r="132" spans="1:27">
      <c r="A132" s="251">
        <v>65</v>
      </c>
      <c r="B132" s="251" t="s">
        <v>670</v>
      </c>
      <c r="C132" s="255" t="s">
        <v>256</v>
      </c>
      <c r="D132" s="256">
        <v>100</v>
      </c>
      <c r="E132" s="251" t="s">
        <v>544</v>
      </c>
      <c r="F132" s="256">
        <v>25</v>
      </c>
      <c r="G132" s="254">
        <v>44944</v>
      </c>
      <c r="H132" s="251" t="s">
        <v>1314</v>
      </c>
      <c r="I132" s="251" t="s">
        <v>1310</v>
      </c>
      <c r="J132" s="251" t="s">
        <v>614</v>
      </c>
      <c r="K132" s="251" t="s">
        <v>644</v>
      </c>
      <c r="L132" s="261" t="s">
        <v>648</v>
      </c>
      <c r="N132" s="251" t="s">
        <v>1313</v>
      </c>
      <c r="O132" s="252" t="s">
        <v>549</v>
      </c>
      <c r="P132" s="252">
        <v>5</v>
      </c>
      <c r="Q132" s="252" t="s">
        <v>1190</v>
      </c>
      <c r="R132" s="252" t="s">
        <v>669</v>
      </c>
      <c r="S132" s="252">
        <v>3</v>
      </c>
      <c r="T132" s="252" t="s">
        <v>496</v>
      </c>
      <c r="U132" s="251" t="s">
        <v>496</v>
      </c>
      <c r="V132" s="251" t="s">
        <v>496</v>
      </c>
      <c r="W132" s="251" t="s">
        <v>496</v>
      </c>
      <c r="X132" s="251" t="s">
        <v>496</v>
      </c>
      <c r="Y132" s="251" t="s">
        <v>496</v>
      </c>
      <c r="Z132" s="251" t="s">
        <v>496</v>
      </c>
      <c r="AA132" s="251" t="s">
        <v>933</v>
      </c>
    </row>
    <row r="133" spans="1:27">
      <c r="A133" s="251">
        <v>66</v>
      </c>
      <c r="B133" s="251" t="s">
        <v>671</v>
      </c>
      <c r="C133" s="255" t="s">
        <v>256</v>
      </c>
      <c r="D133" s="256">
        <v>100</v>
      </c>
      <c r="E133" s="251" t="s">
        <v>402</v>
      </c>
      <c r="F133" s="256">
        <v>25</v>
      </c>
      <c r="G133" s="254">
        <v>44636</v>
      </c>
      <c r="H133" s="251" t="s">
        <v>691</v>
      </c>
      <c r="I133" s="251" t="s">
        <v>1317</v>
      </c>
      <c r="J133" s="251" t="s">
        <v>615</v>
      </c>
      <c r="K133" s="251" t="s">
        <v>636</v>
      </c>
      <c r="L133" s="261" t="s">
        <v>624</v>
      </c>
      <c r="N133" s="251" t="s">
        <v>1318</v>
      </c>
      <c r="O133" s="252" t="s">
        <v>544</v>
      </c>
      <c r="P133" s="252">
        <v>12.2</v>
      </c>
      <c r="Q133" s="252" t="s">
        <v>1323</v>
      </c>
      <c r="R133" s="252" t="s">
        <v>549</v>
      </c>
      <c r="S133" s="252">
        <v>5.0999999999999996</v>
      </c>
      <c r="T133" s="252" t="s">
        <v>1324</v>
      </c>
      <c r="U133" s="252" t="s">
        <v>496</v>
      </c>
      <c r="V133" s="251" t="s">
        <v>496</v>
      </c>
      <c r="W133" s="251" t="s">
        <v>496</v>
      </c>
      <c r="X133" s="251" t="s">
        <v>496</v>
      </c>
      <c r="Y133" s="251" t="s">
        <v>496</v>
      </c>
      <c r="Z133" s="251" t="s">
        <v>496</v>
      </c>
      <c r="AA133" s="251" t="s">
        <v>838</v>
      </c>
    </row>
    <row r="134" spans="1:27">
      <c r="A134" s="251">
        <v>67</v>
      </c>
      <c r="B134" s="251" t="s">
        <v>672</v>
      </c>
      <c r="C134" s="255" t="s">
        <v>256</v>
      </c>
      <c r="D134" s="256">
        <v>100</v>
      </c>
      <c r="E134" s="251" t="s">
        <v>544</v>
      </c>
      <c r="F134" s="256">
        <v>25</v>
      </c>
      <c r="G134" s="254">
        <v>44615</v>
      </c>
      <c r="H134" s="251" t="s">
        <v>1129</v>
      </c>
      <c r="I134" s="251" t="s">
        <v>1325</v>
      </c>
      <c r="J134" s="251" t="s">
        <v>615</v>
      </c>
      <c r="K134" s="251" t="s">
        <v>636</v>
      </c>
      <c r="L134" s="261">
        <v>43709</v>
      </c>
      <c r="N134" s="251" t="s">
        <v>1326</v>
      </c>
      <c r="O134" s="252" t="s">
        <v>549</v>
      </c>
      <c r="P134" s="252">
        <v>5</v>
      </c>
      <c r="Q134" s="252" t="s">
        <v>1329</v>
      </c>
      <c r="R134" s="252" t="s">
        <v>496</v>
      </c>
      <c r="S134" s="252" t="s">
        <v>496</v>
      </c>
      <c r="T134" s="252" t="s">
        <v>496</v>
      </c>
      <c r="U134" s="252" t="s">
        <v>496</v>
      </c>
      <c r="V134" s="252" t="s">
        <v>496</v>
      </c>
      <c r="W134" s="252" t="s">
        <v>496</v>
      </c>
      <c r="X134" s="252" t="s">
        <v>496</v>
      </c>
      <c r="Y134" s="252" t="s">
        <v>496</v>
      </c>
      <c r="Z134" s="252" t="s">
        <v>496</v>
      </c>
      <c r="AA134" s="251" t="s">
        <v>933</v>
      </c>
    </row>
    <row r="135" spans="1:27">
      <c r="B135" s="251" t="s">
        <v>1265</v>
      </c>
      <c r="C135" s="255" t="s">
        <v>256</v>
      </c>
      <c r="D135" s="256">
        <v>100</v>
      </c>
      <c r="E135" s="251" t="s">
        <v>402</v>
      </c>
      <c r="F135" s="256">
        <v>25</v>
      </c>
      <c r="G135" s="205">
        <v>43972</v>
      </c>
      <c r="H135" s="251" t="s">
        <v>731</v>
      </c>
      <c r="I135" s="251" t="s">
        <v>2572</v>
      </c>
      <c r="J135" s="251" t="s">
        <v>614</v>
      </c>
      <c r="K135" s="251" t="s">
        <v>731</v>
      </c>
      <c r="L135" s="251">
        <v>2016</v>
      </c>
      <c r="N135" s="251" t="s">
        <v>2573</v>
      </c>
      <c r="O135" s="252" t="s">
        <v>544</v>
      </c>
      <c r="P135" s="252">
        <v>11.5</v>
      </c>
      <c r="Q135" s="252" t="s">
        <v>2575</v>
      </c>
      <c r="R135" s="252" t="s">
        <v>496</v>
      </c>
      <c r="S135" s="252" t="s">
        <v>496</v>
      </c>
      <c r="T135" s="252" t="s">
        <v>496</v>
      </c>
      <c r="U135" s="252" t="s">
        <v>496</v>
      </c>
      <c r="V135" s="252" t="s">
        <v>496</v>
      </c>
      <c r="W135" s="252" t="s">
        <v>496</v>
      </c>
      <c r="X135" s="252" t="s">
        <v>496</v>
      </c>
      <c r="Y135" s="252" t="s">
        <v>496</v>
      </c>
      <c r="Z135" s="252" t="s">
        <v>496</v>
      </c>
      <c r="AA135" s="251" t="s">
        <v>840</v>
      </c>
    </row>
    <row r="136" spans="1:27">
      <c r="A136" s="251">
        <v>68</v>
      </c>
      <c r="B136" s="251" t="s">
        <v>673</v>
      </c>
      <c r="C136" s="255" t="s">
        <v>256</v>
      </c>
      <c r="D136" s="256">
        <v>100</v>
      </c>
      <c r="E136" s="251" t="s">
        <v>402</v>
      </c>
      <c r="F136" s="256">
        <v>25</v>
      </c>
      <c r="G136" s="254">
        <v>44764</v>
      </c>
      <c r="H136" s="251" t="s">
        <v>1330</v>
      </c>
      <c r="I136" s="251" t="s">
        <v>1331</v>
      </c>
      <c r="J136" s="251" t="s">
        <v>615</v>
      </c>
      <c r="K136" s="251" t="s">
        <v>636</v>
      </c>
      <c r="L136" s="261" t="s">
        <v>624</v>
      </c>
      <c r="N136" s="252" t="s">
        <v>1334</v>
      </c>
      <c r="O136" s="252" t="s">
        <v>544</v>
      </c>
      <c r="P136" s="252">
        <v>21</v>
      </c>
      <c r="Q136" s="252" t="s">
        <v>1340</v>
      </c>
      <c r="R136" s="252" t="s">
        <v>549</v>
      </c>
      <c r="S136" s="252">
        <v>9.1</v>
      </c>
      <c r="T136" s="252" t="s">
        <v>1342</v>
      </c>
      <c r="U136" s="252" t="s">
        <v>496</v>
      </c>
      <c r="V136" s="252" t="s">
        <v>496</v>
      </c>
      <c r="W136" s="252" t="s">
        <v>496</v>
      </c>
      <c r="X136" s="252" t="s">
        <v>496</v>
      </c>
      <c r="Y136" s="252" t="s">
        <v>496</v>
      </c>
      <c r="Z136" s="252" t="s">
        <v>496</v>
      </c>
      <c r="AA136" s="251" t="s">
        <v>933</v>
      </c>
    </row>
    <row r="137" spans="1:27">
      <c r="B137" s="251" t="s">
        <v>145</v>
      </c>
      <c r="C137" s="255" t="s">
        <v>256</v>
      </c>
      <c r="D137" s="256">
        <v>100</v>
      </c>
      <c r="E137" s="251" t="s">
        <v>549</v>
      </c>
      <c r="F137" s="256">
        <v>25</v>
      </c>
      <c r="G137" s="254">
        <v>44873</v>
      </c>
      <c r="H137" s="251" t="s">
        <v>1719</v>
      </c>
      <c r="I137" s="251" t="s">
        <v>1720</v>
      </c>
      <c r="J137" s="251" t="s">
        <v>1718</v>
      </c>
      <c r="K137" s="251" t="s">
        <v>1718</v>
      </c>
      <c r="L137" s="251">
        <v>2022</v>
      </c>
      <c r="M137" s="251" t="s">
        <v>1725</v>
      </c>
      <c r="N137" s="251" t="s">
        <v>1724</v>
      </c>
      <c r="O137" s="252" t="s">
        <v>496</v>
      </c>
      <c r="P137" s="252" t="s">
        <v>496</v>
      </c>
      <c r="Q137" s="252" t="s">
        <v>496</v>
      </c>
      <c r="R137" s="252" t="s">
        <v>496</v>
      </c>
      <c r="S137" s="252" t="s">
        <v>496</v>
      </c>
      <c r="T137" s="252" t="s">
        <v>496</v>
      </c>
      <c r="U137" s="252" t="s">
        <v>496</v>
      </c>
      <c r="V137" s="252" t="s">
        <v>496</v>
      </c>
      <c r="W137" s="252" t="s">
        <v>496</v>
      </c>
      <c r="X137" s="252" t="s">
        <v>496</v>
      </c>
      <c r="Y137" s="252" t="s">
        <v>496</v>
      </c>
      <c r="Z137" s="252" t="s">
        <v>496</v>
      </c>
      <c r="AA137" s="251" t="s">
        <v>833</v>
      </c>
    </row>
    <row r="138" spans="1:27">
      <c r="A138" s="251">
        <v>69</v>
      </c>
      <c r="B138" s="251" t="s">
        <v>674</v>
      </c>
      <c r="C138" s="255" t="s">
        <v>256</v>
      </c>
      <c r="D138" s="256">
        <v>100</v>
      </c>
      <c r="E138" s="251" t="s">
        <v>544</v>
      </c>
      <c r="F138" s="256">
        <v>25</v>
      </c>
      <c r="G138" s="254">
        <v>44757</v>
      </c>
      <c r="H138" s="251" t="s">
        <v>1355</v>
      </c>
      <c r="J138" s="251" t="s">
        <v>614</v>
      </c>
      <c r="K138" s="251" t="s">
        <v>675</v>
      </c>
      <c r="L138" s="261" t="s">
        <v>624</v>
      </c>
      <c r="N138" s="251" t="s">
        <v>1343</v>
      </c>
      <c r="O138" s="252" t="s">
        <v>549</v>
      </c>
      <c r="P138" s="252">
        <v>4</v>
      </c>
      <c r="Q138" s="252" t="s">
        <v>1351</v>
      </c>
      <c r="R138" s="252" t="s">
        <v>549</v>
      </c>
      <c r="S138" s="252">
        <v>1.5</v>
      </c>
      <c r="T138" s="252" t="s">
        <v>1353</v>
      </c>
      <c r="U138" s="252" t="s">
        <v>496</v>
      </c>
      <c r="V138" s="252" t="s">
        <v>496</v>
      </c>
      <c r="W138" s="252" t="s">
        <v>496</v>
      </c>
      <c r="X138" s="252" t="s">
        <v>496</v>
      </c>
      <c r="Y138" s="252" t="s">
        <v>496</v>
      </c>
      <c r="Z138" s="252" t="s">
        <v>496</v>
      </c>
      <c r="AA138" s="251" t="s">
        <v>841</v>
      </c>
    </row>
    <row r="139" spans="1:27">
      <c r="B139" s="251" t="s">
        <v>660</v>
      </c>
      <c r="C139" s="255" t="s">
        <v>256</v>
      </c>
      <c r="D139" s="256">
        <v>100</v>
      </c>
      <c r="E139" s="251" t="s">
        <v>549</v>
      </c>
      <c r="F139" s="256">
        <v>22.4</v>
      </c>
      <c r="G139" s="254">
        <v>44553</v>
      </c>
      <c r="H139" s="251" t="s">
        <v>2428</v>
      </c>
      <c r="I139" s="251" t="s">
        <v>2429</v>
      </c>
      <c r="J139" s="251" t="s">
        <v>614</v>
      </c>
      <c r="K139" s="251" t="s">
        <v>661</v>
      </c>
      <c r="L139" s="251">
        <v>2019</v>
      </c>
      <c r="N139" s="251" t="s">
        <v>2430</v>
      </c>
      <c r="O139" s="252" t="s">
        <v>496</v>
      </c>
      <c r="P139" s="252" t="s">
        <v>496</v>
      </c>
      <c r="Q139" s="252" t="s">
        <v>496</v>
      </c>
      <c r="R139" s="252" t="s">
        <v>496</v>
      </c>
      <c r="S139" s="252" t="s">
        <v>496</v>
      </c>
      <c r="T139" s="252" t="s">
        <v>496</v>
      </c>
      <c r="U139" s="252" t="s">
        <v>496</v>
      </c>
      <c r="V139" s="252" t="s">
        <v>496</v>
      </c>
      <c r="W139" s="252" t="s">
        <v>496</v>
      </c>
      <c r="X139" s="252" t="s">
        <v>496</v>
      </c>
      <c r="Y139" s="252" t="s">
        <v>496</v>
      </c>
      <c r="Z139" s="252" t="s">
        <v>496</v>
      </c>
      <c r="AA139" s="251" t="s">
        <v>2240</v>
      </c>
    </row>
    <row r="140" spans="1:27">
      <c r="A140" s="251">
        <f>+A138+1</f>
        <v>70</v>
      </c>
      <c r="B140" s="251" t="s">
        <v>678</v>
      </c>
      <c r="C140" s="255" t="s">
        <v>256</v>
      </c>
      <c r="D140" s="256">
        <v>100</v>
      </c>
      <c r="E140" s="251" t="s">
        <v>544</v>
      </c>
      <c r="F140" s="256">
        <v>21</v>
      </c>
      <c r="G140" s="205">
        <v>44295</v>
      </c>
      <c r="H140" s="251" t="s">
        <v>1359</v>
      </c>
      <c r="I140" s="251" t="s">
        <v>1361</v>
      </c>
      <c r="J140" s="251" t="s">
        <v>614</v>
      </c>
      <c r="K140" s="251" t="s">
        <v>430</v>
      </c>
      <c r="L140" s="261">
        <v>43282</v>
      </c>
      <c r="N140" s="251" t="s">
        <v>496</v>
      </c>
      <c r="O140" s="252" t="s">
        <v>549</v>
      </c>
      <c r="P140" s="252" t="s">
        <v>496</v>
      </c>
      <c r="Q140" s="252" t="s">
        <v>1360</v>
      </c>
      <c r="R140" s="252" t="s">
        <v>496</v>
      </c>
      <c r="S140" s="252" t="s">
        <v>496</v>
      </c>
      <c r="T140" s="252" t="s">
        <v>496</v>
      </c>
      <c r="U140" s="252" t="s">
        <v>496</v>
      </c>
      <c r="V140" s="252" t="s">
        <v>496</v>
      </c>
      <c r="W140" s="252" t="s">
        <v>496</v>
      </c>
      <c r="X140" s="252" t="s">
        <v>496</v>
      </c>
      <c r="Y140" s="252" t="s">
        <v>496</v>
      </c>
      <c r="Z140" s="252" t="s">
        <v>496</v>
      </c>
      <c r="AA140" s="251" t="s">
        <v>1305</v>
      </c>
    </row>
    <row r="141" spans="1:27">
      <c r="B141" s="251" t="s">
        <v>1235</v>
      </c>
      <c r="C141" s="255" t="s">
        <v>256</v>
      </c>
      <c r="D141" s="256">
        <v>100</v>
      </c>
      <c r="E141" s="251" t="s">
        <v>544</v>
      </c>
      <c r="F141" s="256">
        <v>20</v>
      </c>
      <c r="G141" s="254">
        <v>43818</v>
      </c>
      <c r="H141" s="251" t="s">
        <v>916</v>
      </c>
      <c r="I141" s="251" t="s">
        <v>2555</v>
      </c>
      <c r="J141" s="251" t="s">
        <v>614</v>
      </c>
      <c r="K141" s="251" t="s">
        <v>1008</v>
      </c>
      <c r="L141" s="251">
        <v>2013</v>
      </c>
      <c r="N141" s="251" t="s">
        <v>2558</v>
      </c>
      <c r="O141" s="252" t="s">
        <v>496</v>
      </c>
      <c r="P141" s="252" t="s">
        <v>496</v>
      </c>
      <c r="Q141" s="252" t="s">
        <v>496</v>
      </c>
      <c r="R141" s="252" t="s">
        <v>496</v>
      </c>
      <c r="S141" s="252" t="s">
        <v>496</v>
      </c>
      <c r="T141" s="252" t="s">
        <v>496</v>
      </c>
      <c r="U141" s="252" t="s">
        <v>496</v>
      </c>
      <c r="V141" s="252" t="s">
        <v>496</v>
      </c>
      <c r="W141" s="252" t="s">
        <v>496</v>
      </c>
      <c r="X141" s="252" t="s">
        <v>496</v>
      </c>
      <c r="Y141" s="252" t="s">
        <v>496</v>
      </c>
      <c r="Z141" s="252" t="s">
        <v>496</v>
      </c>
      <c r="AA141" s="251" t="s">
        <v>2556</v>
      </c>
    </row>
    <row r="142" spans="1:27">
      <c r="B142" s="251" t="s">
        <v>593</v>
      </c>
      <c r="C142" s="255" t="s">
        <v>256</v>
      </c>
      <c r="D142" s="256">
        <v>100</v>
      </c>
      <c r="E142" s="251" t="s">
        <v>544</v>
      </c>
      <c r="F142" s="256">
        <v>20</v>
      </c>
      <c r="G142" s="254">
        <v>44801</v>
      </c>
      <c r="H142" s="251" t="s">
        <v>2226</v>
      </c>
      <c r="I142" s="251" t="s">
        <v>2207</v>
      </c>
      <c r="J142" s="251" t="s">
        <v>614</v>
      </c>
      <c r="K142" s="251" t="s">
        <v>2206</v>
      </c>
      <c r="L142" s="251">
        <v>2021</v>
      </c>
      <c r="N142" s="251" t="s">
        <v>2227</v>
      </c>
      <c r="O142" s="252" t="s">
        <v>669</v>
      </c>
      <c r="P142" s="252">
        <v>0.125</v>
      </c>
      <c r="Q142" s="252" t="s">
        <v>740</v>
      </c>
      <c r="R142" s="252" t="s">
        <v>496</v>
      </c>
      <c r="S142" s="252" t="s">
        <v>496</v>
      </c>
      <c r="T142" s="252" t="s">
        <v>496</v>
      </c>
      <c r="U142" s="252" t="s">
        <v>496</v>
      </c>
      <c r="V142" s="252" t="s">
        <v>496</v>
      </c>
      <c r="W142" s="252" t="s">
        <v>496</v>
      </c>
      <c r="X142" s="252" t="s">
        <v>496</v>
      </c>
      <c r="Y142" s="252" t="s">
        <v>496</v>
      </c>
      <c r="Z142" s="252" t="s">
        <v>496</v>
      </c>
      <c r="AA142" s="251" t="s">
        <v>1853</v>
      </c>
    </row>
    <row r="143" spans="1:27">
      <c r="B143" s="251" t="s">
        <v>1519</v>
      </c>
      <c r="C143" s="255" t="s">
        <v>256</v>
      </c>
      <c r="D143" s="256">
        <v>100</v>
      </c>
      <c r="E143" s="251" t="s">
        <v>402</v>
      </c>
      <c r="F143" s="256">
        <v>20</v>
      </c>
      <c r="G143" s="254">
        <v>45077</v>
      </c>
      <c r="H143" s="251" t="s">
        <v>2284</v>
      </c>
      <c r="I143" s="251" t="s">
        <v>2285</v>
      </c>
      <c r="J143" s="251" t="s">
        <v>614</v>
      </c>
      <c r="K143" s="251" t="s">
        <v>430</v>
      </c>
      <c r="L143" s="251">
        <v>2018</v>
      </c>
      <c r="N143" s="251" t="s">
        <v>2287</v>
      </c>
      <c r="O143" s="252" t="s">
        <v>544</v>
      </c>
      <c r="P143" s="252">
        <v>10.5</v>
      </c>
      <c r="Q143" s="252" t="s">
        <v>2295</v>
      </c>
      <c r="R143" s="252" t="s">
        <v>549</v>
      </c>
      <c r="S143" s="252">
        <v>4</v>
      </c>
      <c r="T143" s="252" t="s">
        <v>2296</v>
      </c>
      <c r="U143" s="252" t="s">
        <v>669</v>
      </c>
      <c r="V143" s="252">
        <v>0.5</v>
      </c>
      <c r="W143" s="252" t="s">
        <v>2298</v>
      </c>
      <c r="X143" s="252" t="s">
        <v>496</v>
      </c>
      <c r="Y143" s="252" t="s">
        <v>496</v>
      </c>
      <c r="Z143" s="252" t="s">
        <v>496</v>
      </c>
      <c r="AA143" s="251" t="s">
        <v>1110</v>
      </c>
    </row>
    <row r="144" spans="1:27">
      <c r="A144" s="251">
        <f>+A140+1</f>
        <v>71</v>
      </c>
      <c r="B144" s="251" t="s">
        <v>679</v>
      </c>
      <c r="C144" s="255" t="s">
        <v>256</v>
      </c>
      <c r="D144" s="256">
        <v>100</v>
      </c>
      <c r="E144" s="251" t="s">
        <v>544</v>
      </c>
      <c r="F144" s="256">
        <v>20</v>
      </c>
      <c r="G144" s="254">
        <v>44676</v>
      </c>
      <c r="H144" s="251" t="s">
        <v>1362</v>
      </c>
      <c r="J144" s="251" t="s">
        <v>614</v>
      </c>
      <c r="K144" s="251" t="s">
        <v>639</v>
      </c>
      <c r="L144" s="261" t="s">
        <v>624</v>
      </c>
      <c r="N144" s="251" t="s">
        <v>1363</v>
      </c>
      <c r="O144" s="252" t="s">
        <v>549</v>
      </c>
      <c r="P144" s="252">
        <v>5</v>
      </c>
      <c r="Q144" s="252" t="s">
        <v>1370</v>
      </c>
      <c r="R144" s="252" t="s">
        <v>669</v>
      </c>
      <c r="S144" s="252" t="s">
        <v>496</v>
      </c>
      <c r="T144" s="252" t="s">
        <v>1371</v>
      </c>
      <c r="U144" s="252" t="s">
        <v>496</v>
      </c>
      <c r="V144" s="252" t="s">
        <v>496</v>
      </c>
      <c r="W144" s="252" t="s">
        <v>496</v>
      </c>
      <c r="X144" s="252" t="s">
        <v>496</v>
      </c>
      <c r="Y144" s="252" t="s">
        <v>496</v>
      </c>
      <c r="Z144" s="252" t="s">
        <v>496</v>
      </c>
      <c r="AA144" s="251" t="s">
        <v>933</v>
      </c>
    </row>
    <row r="145" spans="1:27">
      <c r="B145" s="251" t="s">
        <v>1530</v>
      </c>
      <c r="C145" s="255" t="s">
        <v>256</v>
      </c>
      <c r="D145" s="256">
        <v>100</v>
      </c>
      <c r="E145" s="251" t="s">
        <v>565</v>
      </c>
      <c r="F145" s="256">
        <v>23</v>
      </c>
      <c r="G145" s="254">
        <v>44328</v>
      </c>
      <c r="H145" s="251" t="s">
        <v>689</v>
      </c>
      <c r="I145" s="251" t="s">
        <v>2691</v>
      </c>
      <c r="L145" s="251">
        <v>2013</v>
      </c>
      <c r="N145" s="251" t="s">
        <v>2692</v>
      </c>
      <c r="O145" s="252" t="s">
        <v>402</v>
      </c>
      <c r="P145" s="252">
        <v>16</v>
      </c>
      <c r="Q145" s="252" t="s">
        <v>2699</v>
      </c>
      <c r="R145" s="252" t="s">
        <v>544</v>
      </c>
      <c r="S145" s="252">
        <v>8</v>
      </c>
      <c r="T145" s="252" t="s">
        <v>2700</v>
      </c>
      <c r="U145" s="252" t="s">
        <v>549</v>
      </c>
      <c r="V145" s="252" t="s">
        <v>496</v>
      </c>
      <c r="W145" s="252" t="s">
        <v>2702</v>
      </c>
      <c r="X145" s="252" t="s">
        <v>496</v>
      </c>
      <c r="Y145" s="252" t="s">
        <v>496</v>
      </c>
      <c r="Z145" s="252" t="s">
        <v>496</v>
      </c>
      <c r="AA145" s="251" t="s">
        <v>1853</v>
      </c>
    </row>
    <row r="146" spans="1:27">
      <c r="B146" s="251" t="s">
        <v>710</v>
      </c>
      <c r="C146" s="255" t="s">
        <v>256</v>
      </c>
      <c r="D146" s="256">
        <v>100</v>
      </c>
      <c r="E146" s="251" t="s">
        <v>549</v>
      </c>
      <c r="F146" s="256">
        <v>12.8</v>
      </c>
      <c r="G146" s="205">
        <v>44601</v>
      </c>
      <c r="H146" s="251" t="s">
        <v>1735</v>
      </c>
      <c r="I146" s="251" t="s">
        <v>1737</v>
      </c>
      <c r="J146" s="251" t="s">
        <v>456</v>
      </c>
      <c r="K146" s="251" t="s">
        <v>456</v>
      </c>
      <c r="L146" s="251">
        <v>2021</v>
      </c>
      <c r="M146" s="251" t="s">
        <v>1734</v>
      </c>
      <c r="N146" s="251" t="s">
        <v>1736</v>
      </c>
      <c r="O146" s="252" t="s">
        <v>496</v>
      </c>
      <c r="P146" s="252" t="s">
        <v>496</v>
      </c>
      <c r="Q146" s="252" t="s">
        <v>496</v>
      </c>
      <c r="R146" s="252" t="s">
        <v>496</v>
      </c>
      <c r="S146" s="252" t="s">
        <v>496</v>
      </c>
      <c r="T146" s="252" t="s">
        <v>496</v>
      </c>
      <c r="U146" s="252" t="s">
        <v>496</v>
      </c>
      <c r="V146" s="252" t="s">
        <v>496</v>
      </c>
      <c r="W146" s="252" t="s">
        <v>496</v>
      </c>
      <c r="X146" s="252" t="s">
        <v>496</v>
      </c>
      <c r="Y146" s="252" t="s">
        <v>496</v>
      </c>
      <c r="Z146" s="252" t="s">
        <v>496</v>
      </c>
      <c r="AA146" s="251" t="s">
        <v>1740</v>
      </c>
    </row>
    <row r="147" spans="1:27">
      <c r="B147" s="251" t="s">
        <v>1390</v>
      </c>
      <c r="C147" s="255" t="s">
        <v>256</v>
      </c>
      <c r="D147" s="256">
        <v>100</v>
      </c>
      <c r="E147" s="251" t="s">
        <v>544</v>
      </c>
      <c r="F147" s="256">
        <v>6.5</v>
      </c>
      <c r="G147" s="254">
        <v>43069</v>
      </c>
      <c r="I147" s="251" t="s">
        <v>2775</v>
      </c>
      <c r="J147" s="251" t="s">
        <v>613</v>
      </c>
      <c r="K147" s="251" t="s">
        <v>2774</v>
      </c>
      <c r="L147" s="251">
        <v>2017</v>
      </c>
      <c r="N147" s="251" t="s">
        <v>2776</v>
      </c>
      <c r="O147" s="252" t="s">
        <v>544</v>
      </c>
      <c r="P147" s="252">
        <v>4.4000000000000004</v>
      </c>
      <c r="Q147" s="252" t="s">
        <v>2777</v>
      </c>
      <c r="R147" s="252" t="s">
        <v>549</v>
      </c>
      <c r="S147" s="252" t="s">
        <v>496</v>
      </c>
      <c r="T147" s="252" t="s">
        <v>2778</v>
      </c>
      <c r="U147" s="252" t="s">
        <v>496</v>
      </c>
      <c r="V147" s="252" t="s">
        <v>496</v>
      </c>
      <c r="W147" s="252" t="s">
        <v>496</v>
      </c>
      <c r="X147" s="252" t="s">
        <v>496</v>
      </c>
      <c r="Y147" s="252" t="s">
        <v>496</v>
      </c>
      <c r="Z147" s="252" t="s">
        <v>496</v>
      </c>
      <c r="AA147" s="252" t="s">
        <v>496</v>
      </c>
    </row>
    <row r="148" spans="1:27">
      <c r="A148" s="251">
        <f>+A144+1</f>
        <v>72</v>
      </c>
      <c r="B148" s="251" t="s">
        <v>686</v>
      </c>
      <c r="C148" s="255" t="s">
        <v>256</v>
      </c>
      <c r="D148" s="256">
        <v>80</v>
      </c>
      <c r="E148" s="251" t="s">
        <v>544</v>
      </c>
      <c r="F148" s="256">
        <v>20</v>
      </c>
      <c r="G148" s="254">
        <v>45009</v>
      </c>
      <c r="H148" s="251" t="s">
        <v>1465</v>
      </c>
      <c r="I148" s="251" t="s">
        <v>1466</v>
      </c>
      <c r="J148" s="251" t="s">
        <v>614</v>
      </c>
      <c r="K148" s="251" t="s">
        <v>619</v>
      </c>
      <c r="L148" s="251">
        <v>2021</v>
      </c>
      <c r="N148" s="251" t="s">
        <v>1467</v>
      </c>
      <c r="O148" s="252" t="s">
        <v>496</v>
      </c>
      <c r="P148" s="252" t="s">
        <v>496</v>
      </c>
      <c r="Q148" s="252" t="s">
        <v>496</v>
      </c>
      <c r="R148" s="252" t="s">
        <v>496</v>
      </c>
      <c r="S148" s="252" t="s">
        <v>496</v>
      </c>
      <c r="T148" s="252" t="s">
        <v>496</v>
      </c>
      <c r="U148" s="252" t="s">
        <v>496</v>
      </c>
      <c r="V148" s="252" t="s">
        <v>496</v>
      </c>
      <c r="W148" s="252" t="s">
        <v>496</v>
      </c>
      <c r="X148" s="252" t="s">
        <v>496</v>
      </c>
      <c r="Y148" s="252" t="s">
        <v>496</v>
      </c>
      <c r="Z148" s="252" t="s">
        <v>496</v>
      </c>
      <c r="AA148" s="251" t="s">
        <v>1035</v>
      </c>
    </row>
    <row r="149" spans="1:27">
      <c r="B149" s="251" t="s">
        <v>587</v>
      </c>
      <c r="C149" s="255" t="s">
        <v>256</v>
      </c>
      <c r="D149" s="256">
        <v>80</v>
      </c>
      <c r="E149" s="251" t="s">
        <v>544</v>
      </c>
      <c r="F149" s="256">
        <v>20</v>
      </c>
      <c r="G149" s="254">
        <v>44701</v>
      </c>
      <c r="H149" s="251" t="s">
        <v>2279</v>
      </c>
      <c r="I149" s="251" t="s">
        <v>2277</v>
      </c>
      <c r="J149" s="251" t="s">
        <v>614</v>
      </c>
      <c r="K149" s="251" t="s">
        <v>2280</v>
      </c>
      <c r="L149" s="251">
        <v>2021</v>
      </c>
      <c r="N149" s="251" t="s">
        <v>2278</v>
      </c>
      <c r="O149" s="252" t="s">
        <v>496</v>
      </c>
      <c r="P149" s="252" t="s">
        <v>496</v>
      </c>
      <c r="Q149" s="252" t="s">
        <v>496</v>
      </c>
      <c r="R149" s="252" t="s">
        <v>496</v>
      </c>
      <c r="S149" s="252" t="s">
        <v>496</v>
      </c>
      <c r="T149" s="252" t="s">
        <v>496</v>
      </c>
      <c r="U149" s="252" t="s">
        <v>496</v>
      </c>
      <c r="V149" s="252" t="s">
        <v>496</v>
      </c>
      <c r="W149" s="252" t="s">
        <v>496</v>
      </c>
      <c r="X149" s="252" t="s">
        <v>496</v>
      </c>
      <c r="Y149" s="252" t="s">
        <v>496</v>
      </c>
      <c r="Z149" s="252" t="s">
        <v>496</v>
      </c>
      <c r="AA149" s="251" t="s">
        <v>2276</v>
      </c>
    </row>
    <row r="150" spans="1:27">
      <c r="B150" s="251" t="s">
        <v>564</v>
      </c>
      <c r="C150" s="255" t="s">
        <v>256</v>
      </c>
      <c r="D150" s="256">
        <v>80</v>
      </c>
      <c r="E150" s="251" t="s">
        <v>402</v>
      </c>
      <c r="F150" s="256">
        <v>20</v>
      </c>
      <c r="G150" s="254">
        <v>44756</v>
      </c>
      <c r="H150" s="251" t="s">
        <v>1800</v>
      </c>
      <c r="I150" s="251" t="s">
        <v>2420</v>
      </c>
      <c r="J150" s="251" t="s">
        <v>613</v>
      </c>
      <c r="K150" s="251" t="s">
        <v>567</v>
      </c>
      <c r="L150" s="251">
        <v>2015</v>
      </c>
      <c r="M150" s="251" t="s">
        <v>2421</v>
      </c>
      <c r="N150" s="251" t="s">
        <v>2424</v>
      </c>
      <c r="O150" s="252" t="s">
        <v>544</v>
      </c>
      <c r="P150" s="252">
        <v>5.5</v>
      </c>
      <c r="Q150" s="252" t="s">
        <v>2425</v>
      </c>
      <c r="R150" s="252" t="s">
        <v>549</v>
      </c>
      <c r="S150" s="252">
        <v>2</v>
      </c>
      <c r="T150" s="252" t="s">
        <v>2426</v>
      </c>
      <c r="U150" s="252" t="s">
        <v>549</v>
      </c>
      <c r="V150" s="252">
        <v>1.3</v>
      </c>
      <c r="W150" s="252" t="s">
        <v>2427</v>
      </c>
      <c r="X150" s="252" t="s">
        <v>549</v>
      </c>
      <c r="Y150" s="252">
        <v>0.4</v>
      </c>
      <c r="Z150" s="252" t="s">
        <v>496</v>
      </c>
      <c r="AA150" s="251" t="s">
        <v>2419</v>
      </c>
    </row>
    <row r="151" spans="1:27">
      <c r="B151" s="251" t="s">
        <v>1236</v>
      </c>
      <c r="C151" s="255" t="s">
        <v>256</v>
      </c>
      <c r="D151" s="256">
        <v>75</v>
      </c>
      <c r="E151" s="251" t="s">
        <v>402</v>
      </c>
      <c r="F151" s="256">
        <v>26.8</v>
      </c>
      <c r="G151" s="254">
        <v>44600</v>
      </c>
      <c r="H151" s="251" t="s">
        <v>2562</v>
      </c>
      <c r="I151" s="251" t="s">
        <v>2561</v>
      </c>
      <c r="J151" s="251" t="s">
        <v>614</v>
      </c>
      <c r="K151" s="251" t="s">
        <v>2563</v>
      </c>
      <c r="L151" s="251">
        <v>2012</v>
      </c>
      <c r="N151" s="251" t="s">
        <v>2564</v>
      </c>
      <c r="O151" s="252" t="s">
        <v>544</v>
      </c>
      <c r="P151" s="252">
        <v>8.3000000000000007</v>
      </c>
      <c r="Q151" s="252" t="s">
        <v>2569</v>
      </c>
      <c r="R151" s="252" t="s">
        <v>549</v>
      </c>
      <c r="S151" s="252" t="s">
        <v>496</v>
      </c>
      <c r="T151" s="252" t="s">
        <v>2571</v>
      </c>
      <c r="U151" s="252" t="s">
        <v>496</v>
      </c>
      <c r="V151" s="252" t="s">
        <v>496</v>
      </c>
      <c r="W151" s="252" t="s">
        <v>496</v>
      </c>
      <c r="X151" s="252" t="s">
        <v>496</v>
      </c>
      <c r="Y151" s="252" t="s">
        <v>496</v>
      </c>
      <c r="Z151" s="252" t="s">
        <v>496</v>
      </c>
      <c r="AA151" s="251" t="s">
        <v>2559</v>
      </c>
    </row>
    <row r="152" spans="1:27">
      <c r="B152" s="251" t="s">
        <v>1997</v>
      </c>
      <c r="C152" s="255" t="s">
        <v>256</v>
      </c>
      <c r="D152" s="256">
        <v>75</v>
      </c>
      <c r="E152" s="251" t="s">
        <v>402</v>
      </c>
      <c r="F152" s="256">
        <v>26</v>
      </c>
      <c r="G152" s="254">
        <v>44594</v>
      </c>
      <c r="I152" s="251" t="s">
        <v>2748</v>
      </c>
      <c r="J152" s="251" t="s">
        <v>614</v>
      </c>
      <c r="K152" s="251" t="s">
        <v>2749</v>
      </c>
      <c r="L152" s="251">
        <v>2015</v>
      </c>
      <c r="N152" s="251" t="s">
        <v>2750</v>
      </c>
      <c r="O152" s="252" t="s">
        <v>402</v>
      </c>
      <c r="P152" s="252">
        <v>13</v>
      </c>
      <c r="Q152" s="252" t="s">
        <v>2753</v>
      </c>
      <c r="R152" s="252" t="s">
        <v>544</v>
      </c>
      <c r="S152" s="252">
        <v>5</v>
      </c>
      <c r="T152" s="252" t="s">
        <v>2658</v>
      </c>
      <c r="U152" s="252" t="s">
        <v>549</v>
      </c>
      <c r="V152" s="252">
        <v>1.5</v>
      </c>
      <c r="W152" s="252" t="s">
        <v>496</v>
      </c>
      <c r="X152" s="252" t="s">
        <v>496</v>
      </c>
      <c r="Y152" s="252" t="s">
        <v>496</v>
      </c>
      <c r="Z152" s="252" t="s">
        <v>496</v>
      </c>
      <c r="AA152" s="251" t="s">
        <v>837</v>
      </c>
    </row>
    <row r="153" spans="1:27">
      <c r="B153" s="251" t="s">
        <v>1218</v>
      </c>
      <c r="C153" s="255" t="s">
        <v>256</v>
      </c>
      <c r="D153" s="256">
        <v>75</v>
      </c>
      <c r="E153" s="251" t="s">
        <v>402</v>
      </c>
      <c r="F153" s="256">
        <v>25.7</v>
      </c>
      <c r="G153" s="205">
        <v>43837</v>
      </c>
      <c r="H153" s="251" t="s">
        <v>2536</v>
      </c>
      <c r="I153" s="251" t="s">
        <v>2534</v>
      </c>
      <c r="J153" s="251" t="s">
        <v>614</v>
      </c>
      <c r="K153" s="251" t="s">
        <v>430</v>
      </c>
      <c r="L153" s="251">
        <v>2015</v>
      </c>
      <c r="N153" s="251" t="s">
        <v>2535</v>
      </c>
      <c r="O153" s="252" t="s">
        <v>544</v>
      </c>
      <c r="P153" s="252">
        <v>21.6</v>
      </c>
      <c r="Q153" s="252" t="s">
        <v>2540</v>
      </c>
      <c r="R153" s="252" t="s">
        <v>496</v>
      </c>
      <c r="S153" s="252" t="s">
        <v>496</v>
      </c>
      <c r="T153" s="252" t="s">
        <v>496</v>
      </c>
      <c r="U153" s="252" t="s">
        <v>496</v>
      </c>
      <c r="V153" s="252" t="s">
        <v>496</v>
      </c>
      <c r="W153" s="252" t="s">
        <v>496</v>
      </c>
      <c r="X153" s="252" t="s">
        <v>496</v>
      </c>
      <c r="Y153" s="252" t="s">
        <v>496</v>
      </c>
      <c r="Z153" s="252" t="s">
        <v>496</v>
      </c>
      <c r="AA153" s="251" t="s">
        <v>2533</v>
      </c>
    </row>
    <row r="154" spans="1:27">
      <c r="B154" s="251" t="s">
        <v>1357</v>
      </c>
      <c r="C154" s="255" t="s">
        <v>256</v>
      </c>
      <c r="D154" s="256">
        <v>75</v>
      </c>
      <c r="E154" s="251" t="s">
        <v>402</v>
      </c>
      <c r="F154" s="256">
        <v>22</v>
      </c>
      <c r="G154" s="254">
        <v>44861</v>
      </c>
      <c r="H154" s="251" t="s">
        <v>3074</v>
      </c>
      <c r="I154" s="251" t="s">
        <v>3069</v>
      </c>
      <c r="J154" s="251" t="s">
        <v>614</v>
      </c>
      <c r="K154" s="251" t="s">
        <v>430</v>
      </c>
      <c r="L154" s="251">
        <v>2018</v>
      </c>
      <c r="N154" s="251" t="s">
        <v>3070</v>
      </c>
      <c r="O154" s="252" t="s">
        <v>544</v>
      </c>
      <c r="P154" s="252">
        <v>15</v>
      </c>
      <c r="Q154" s="252" t="s">
        <v>3071</v>
      </c>
      <c r="R154" s="252" t="s">
        <v>549</v>
      </c>
      <c r="S154" s="252">
        <v>7</v>
      </c>
      <c r="T154" s="252" t="s">
        <v>3077</v>
      </c>
      <c r="U154" s="252" t="s">
        <v>496</v>
      </c>
      <c r="V154" s="252" t="s">
        <v>496</v>
      </c>
      <c r="W154" s="252" t="s">
        <v>496</v>
      </c>
      <c r="X154" s="252" t="s">
        <v>496</v>
      </c>
      <c r="Y154" s="252" t="s">
        <v>496</v>
      </c>
      <c r="Z154" s="252" t="s">
        <v>496</v>
      </c>
      <c r="AA154" s="251" t="s">
        <v>933</v>
      </c>
    </row>
    <row r="155" spans="1:27">
      <c r="A155" s="251">
        <f>+A148+1</f>
        <v>73</v>
      </c>
      <c r="B155" s="251" t="s">
        <v>680</v>
      </c>
      <c r="C155" s="255" t="s">
        <v>256</v>
      </c>
      <c r="D155" s="256">
        <v>75</v>
      </c>
      <c r="E155" s="251" t="s">
        <v>544</v>
      </c>
      <c r="F155" s="256">
        <v>20</v>
      </c>
      <c r="G155" s="254">
        <v>44903</v>
      </c>
      <c r="H155" s="251" t="s">
        <v>1373</v>
      </c>
      <c r="I155" s="251" t="s">
        <v>1374</v>
      </c>
      <c r="J155" s="251" t="s">
        <v>614</v>
      </c>
      <c r="K155" s="251" t="s">
        <v>681</v>
      </c>
      <c r="L155" s="261" t="s">
        <v>624</v>
      </c>
      <c r="N155" s="251" t="s">
        <v>1375</v>
      </c>
      <c r="O155" s="252" t="s">
        <v>544</v>
      </c>
      <c r="P155" s="252">
        <v>11</v>
      </c>
      <c r="Q155" s="252" t="s">
        <v>1383</v>
      </c>
      <c r="R155" s="252" t="s">
        <v>549</v>
      </c>
      <c r="S155" s="252">
        <v>3</v>
      </c>
      <c r="T155" s="252" t="s">
        <v>1403</v>
      </c>
      <c r="U155" s="252" t="s">
        <v>669</v>
      </c>
      <c r="V155" s="252">
        <v>1.2</v>
      </c>
      <c r="W155" s="252" t="s">
        <v>1407</v>
      </c>
      <c r="X155" s="252" t="s">
        <v>496</v>
      </c>
      <c r="Y155" s="252" t="s">
        <v>496</v>
      </c>
      <c r="Z155" s="252" t="s">
        <v>496</v>
      </c>
      <c r="AA155" s="251" t="s">
        <v>837</v>
      </c>
    </row>
    <row r="156" spans="1:27">
      <c r="A156" s="251">
        <f>+A155+1</f>
        <v>74</v>
      </c>
      <c r="B156" s="251" t="s">
        <v>682</v>
      </c>
      <c r="C156" s="255" t="s">
        <v>256</v>
      </c>
      <c r="D156" s="256">
        <v>75</v>
      </c>
      <c r="E156" s="251" t="s">
        <v>544</v>
      </c>
      <c r="F156" s="256">
        <v>20</v>
      </c>
      <c r="G156" s="254">
        <v>44578</v>
      </c>
      <c r="H156" s="251" t="s">
        <v>1444</v>
      </c>
      <c r="J156" s="251" t="s">
        <v>614</v>
      </c>
      <c r="K156" s="251" t="s">
        <v>644</v>
      </c>
      <c r="L156" s="258">
        <v>43510</v>
      </c>
      <c r="N156" s="251" t="s">
        <v>1441</v>
      </c>
      <c r="O156" s="252" t="s">
        <v>549</v>
      </c>
      <c r="P156" s="252">
        <v>6</v>
      </c>
      <c r="Q156" s="252" t="s">
        <v>1442</v>
      </c>
      <c r="R156" s="252" t="s">
        <v>549</v>
      </c>
      <c r="S156" s="252" t="s">
        <v>496</v>
      </c>
      <c r="T156" s="252" t="s">
        <v>1443</v>
      </c>
      <c r="U156" s="252" t="s">
        <v>496</v>
      </c>
      <c r="V156" s="252" t="s">
        <v>496</v>
      </c>
      <c r="W156" s="252" t="s">
        <v>496</v>
      </c>
      <c r="X156" s="252" t="s">
        <v>496</v>
      </c>
      <c r="Y156" s="252" t="s">
        <v>496</v>
      </c>
      <c r="Z156" s="252" t="s">
        <v>496</v>
      </c>
      <c r="AA156" s="251" t="s">
        <v>1031</v>
      </c>
    </row>
    <row r="157" spans="1:27">
      <c r="A157" s="251">
        <f t="shared" ref="A157:A161" si="2">+A156+1</f>
        <v>75</v>
      </c>
      <c r="B157" s="251" t="s">
        <v>683</v>
      </c>
      <c r="C157" s="255" t="s">
        <v>256</v>
      </c>
      <c r="D157" s="256">
        <v>75</v>
      </c>
      <c r="E157" s="251" t="s">
        <v>544</v>
      </c>
      <c r="F157" s="256">
        <v>20</v>
      </c>
      <c r="G157" s="254">
        <v>44602</v>
      </c>
      <c r="H157" s="251" t="s">
        <v>1445</v>
      </c>
      <c r="I157" s="251" t="s">
        <v>1446</v>
      </c>
      <c r="J157" s="251" t="s">
        <v>614</v>
      </c>
      <c r="K157" s="251" t="s">
        <v>644</v>
      </c>
      <c r="L157" s="251">
        <v>2019</v>
      </c>
      <c r="N157" s="251" t="s">
        <v>1447</v>
      </c>
      <c r="O157" s="252" t="s">
        <v>496</v>
      </c>
      <c r="P157" s="252" t="s">
        <v>496</v>
      </c>
      <c r="Q157" s="252" t="s">
        <v>496</v>
      </c>
      <c r="R157" s="252" t="s">
        <v>496</v>
      </c>
      <c r="S157" s="252" t="s">
        <v>496</v>
      </c>
      <c r="T157" s="252" t="s">
        <v>496</v>
      </c>
      <c r="U157" s="252" t="s">
        <v>496</v>
      </c>
      <c r="V157" s="252" t="s">
        <v>496</v>
      </c>
      <c r="W157" s="252" t="s">
        <v>496</v>
      </c>
      <c r="X157" s="252" t="s">
        <v>496</v>
      </c>
      <c r="Y157" s="252" t="s">
        <v>496</v>
      </c>
      <c r="Z157" s="252" t="s">
        <v>496</v>
      </c>
      <c r="AA157" s="251" t="s">
        <v>933</v>
      </c>
    </row>
    <row r="158" spans="1:27" s="64" customFormat="1">
      <c r="A158" s="64">
        <f>+A157+1</f>
        <v>76</v>
      </c>
      <c r="B158" s="64" t="s">
        <v>684</v>
      </c>
      <c r="C158" s="190" t="s">
        <v>256</v>
      </c>
      <c r="D158" s="188">
        <v>75</v>
      </c>
      <c r="E158" s="64" t="s">
        <v>544</v>
      </c>
      <c r="F158" s="188">
        <v>20</v>
      </c>
      <c r="G158" s="209">
        <v>44392</v>
      </c>
      <c r="H158" s="64" t="s">
        <v>1459</v>
      </c>
      <c r="I158" s="64" t="s">
        <v>1458</v>
      </c>
      <c r="J158" s="197" t="s">
        <v>614</v>
      </c>
      <c r="K158" s="197" t="s">
        <v>685</v>
      </c>
      <c r="L158" s="64">
        <v>2019</v>
      </c>
      <c r="N158" s="64" t="s">
        <v>1460</v>
      </c>
      <c r="O158" s="204" t="s">
        <v>549</v>
      </c>
      <c r="P158" s="204">
        <v>3.4</v>
      </c>
      <c r="Q158" s="204" t="s">
        <v>1461</v>
      </c>
      <c r="R158" s="204" t="s">
        <v>496</v>
      </c>
      <c r="S158" s="204" t="s">
        <v>496</v>
      </c>
      <c r="T158" s="204" t="s">
        <v>496</v>
      </c>
      <c r="U158" s="204" t="s">
        <v>496</v>
      </c>
      <c r="V158" s="204" t="s">
        <v>496</v>
      </c>
      <c r="W158" s="204" t="s">
        <v>496</v>
      </c>
      <c r="X158" s="204" t="s">
        <v>496</v>
      </c>
      <c r="Y158" s="204" t="s">
        <v>496</v>
      </c>
      <c r="Z158" s="204" t="s">
        <v>496</v>
      </c>
      <c r="AA158" s="64" t="s">
        <v>1110</v>
      </c>
    </row>
    <row r="159" spans="1:27" s="64" customFormat="1">
      <c r="A159" s="64">
        <f t="shared" si="2"/>
        <v>77</v>
      </c>
      <c r="B159" s="64" t="s">
        <v>1472</v>
      </c>
      <c r="C159" s="190" t="s">
        <v>256</v>
      </c>
      <c r="D159" s="188">
        <v>75</v>
      </c>
      <c r="E159" s="64" t="s">
        <v>544</v>
      </c>
      <c r="F159" s="188">
        <v>20</v>
      </c>
      <c r="G159" s="202">
        <v>44614</v>
      </c>
      <c r="H159" s="64" t="s">
        <v>1473</v>
      </c>
      <c r="J159" s="64" t="s">
        <v>615</v>
      </c>
      <c r="K159" s="64" t="s">
        <v>687</v>
      </c>
      <c r="L159" s="64">
        <v>2021</v>
      </c>
      <c r="N159" s="64" t="s">
        <v>1471</v>
      </c>
      <c r="O159" s="204" t="s">
        <v>496</v>
      </c>
      <c r="P159" s="204" t="s">
        <v>496</v>
      </c>
      <c r="Q159" s="204" t="s">
        <v>496</v>
      </c>
      <c r="R159" s="204" t="s">
        <v>496</v>
      </c>
      <c r="S159" s="204" t="s">
        <v>496</v>
      </c>
      <c r="T159" s="204" t="s">
        <v>496</v>
      </c>
      <c r="U159" s="204" t="s">
        <v>496</v>
      </c>
      <c r="V159" s="204" t="s">
        <v>496</v>
      </c>
      <c r="W159" s="204" t="s">
        <v>496</v>
      </c>
      <c r="X159" s="204" t="s">
        <v>496</v>
      </c>
      <c r="Y159" s="204" t="s">
        <v>496</v>
      </c>
      <c r="Z159" s="204" t="s">
        <v>496</v>
      </c>
      <c r="AA159" s="64" t="s">
        <v>1470</v>
      </c>
    </row>
    <row r="160" spans="1:27">
      <c r="A160" s="64">
        <f t="shared" si="2"/>
        <v>78</v>
      </c>
      <c r="B160" s="64" t="s">
        <v>688</v>
      </c>
      <c r="C160" s="255" t="s">
        <v>256</v>
      </c>
      <c r="D160" s="256">
        <v>75</v>
      </c>
      <c r="E160" s="251" t="s">
        <v>544</v>
      </c>
      <c r="F160" s="256">
        <v>20</v>
      </c>
      <c r="G160" s="205">
        <v>44455</v>
      </c>
      <c r="H160" s="251" t="s">
        <v>1485</v>
      </c>
      <c r="I160" s="251" t="s">
        <v>1483</v>
      </c>
      <c r="J160" s="251" t="s">
        <v>615</v>
      </c>
      <c r="K160" s="251" t="s">
        <v>689</v>
      </c>
      <c r="L160" s="263" t="s">
        <v>624</v>
      </c>
      <c r="N160" s="251" t="s">
        <v>1484</v>
      </c>
      <c r="O160" s="252" t="s">
        <v>549</v>
      </c>
      <c r="P160" s="252" t="s">
        <v>1487</v>
      </c>
      <c r="Q160" s="252" t="s">
        <v>496</v>
      </c>
      <c r="R160" s="252" t="s">
        <v>496</v>
      </c>
      <c r="S160" s="252" t="s">
        <v>496</v>
      </c>
      <c r="T160" s="252" t="s">
        <v>496</v>
      </c>
      <c r="U160" s="252" t="s">
        <v>496</v>
      </c>
      <c r="V160" s="252" t="s">
        <v>496</v>
      </c>
      <c r="W160" s="252" t="s">
        <v>496</v>
      </c>
      <c r="X160" s="252" t="s">
        <v>496</v>
      </c>
      <c r="Y160" s="252" t="s">
        <v>496</v>
      </c>
      <c r="Z160" s="252" t="s">
        <v>496</v>
      </c>
      <c r="AA160" s="251" t="s">
        <v>1482</v>
      </c>
    </row>
    <row r="161" spans="1:27">
      <c r="A161" s="251">
        <f t="shared" si="2"/>
        <v>79</v>
      </c>
      <c r="B161" s="251" t="s">
        <v>690</v>
      </c>
      <c r="C161" s="255" t="s">
        <v>256</v>
      </c>
      <c r="D161" s="256">
        <v>75</v>
      </c>
      <c r="E161" s="251" t="s">
        <v>544</v>
      </c>
      <c r="F161" s="256">
        <v>20</v>
      </c>
      <c r="G161" s="205">
        <v>44371</v>
      </c>
      <c r="H161" s="251" t="s">
        <v>1501</v>
      </c>
      <c r="I161" s="251" t="s">
        <v>1502</v>
      </c>
      <c r="J161" s="251" t="s">
        <v>614</v>
      </c>
      <c r="K161" s="251" t="s">
        <v>640</v>
      </c>
      <c r="L161" s="263">
        <v>2020</v>
      </c>
      <c r="N161" s="251" t="s">
        <v>1503</v>
      </c>
      <c r="O161" s="252" t="s">
        <v>496</v>
      </c>
      <c r="P161" s="252" t="s">
        <v>496</v>
      </c>
      <c r="Q161" s="252" t="s">
        <v>496</v>
      </c>
      <c r="R161" s="252" t="s">
        <v>496</v>
      </c>
      <c r="S161" s="252" t="s">
        <v>496</v>
      </c>
      <c r="T161" s="252" t="s">
        <v>496</v>
      </c>
      <c r="U161" s="252" t="s">
        <v>496</v>
      </c>
      <c r="V161" s="252" t="s">
        <v>496</v>
      </c>
      <c r="W161" s="252" t="s">
        <v>496</v>
      </c>
      <c r="X161" s="252" t="s">
        <v>496</v>
      </c>
      <c r="Y161" s="252" t="s">
        <v>496</v>
      </c>
      <c r="Z161" s="252" t="s">
        <v>496</v>
      </c>
      <c r="AA161" s="251" t="s">
        <v>1110</v>
      </c>
    </row>
    <row r="162" spans="1:27">
      <c r="B162" s="251" t="s">
        <v>466</v>
      </c>
      <c r="C162" s="255" t="s">
        <v>256</v>
      </c>
      <c r="D162" s="256">
        <v>75</v>
      </c>
      <c r="E162" s="251" t="s">
        <v>549</v>
      </c>
      <c r="F162" s="256">
        <v>20</v>
      </c>
      <c r="G162" s="254">
        <v>44594</v>
      </c>
      <c r="H162" s="251" t="s">
        <v>2416</v>
      </c>
      <c r="I162" s="251" t="s">
        <v>2414</v>
      </c>
      <c r="J162" s="251" t="s">
        <v>658</v>
      </c>
      <c r="K162" s="251" t="s">
        <v>2415</v>
      </c>
      <c r="L162" s="251">
        <v>2021</v>
      </c>
      <c r="N162" s="251" t="s">
        <v>496</v>
      </c>
      <c r="O162" s="251" t="s">
        <v>496</v>
      </c>
      <c r="P162" s="251" t="s">
        <v>496</v>
      </c>
      <c r="Q162" s="251" t="s">
        <v>496</v>
      </c>
      <c r="R162" s="251" t="s">
        <v>496</v>
      </c>
      <c r="S162" s="251" t="s">
        <v>496</v>
      </c>
      <c r="T162" s="251" t="s">
        <v>496</v>
      </c>
      <c r="U162" s="251" t="s">
        <v>496</v>
      </c>
      <c r="V162" s="251" t="s">
        <v>496</v>
      </c>
      <c r="W162" s="251" t="s">
        <v>496</v>
      </c>
      <c r="X162" s="251" t="s">
        <v>496</v>
      </c>
      <c r="Y162" s="251" t="s">
        <v>496</v>
      </c>
      <c r="Z162" s="251" t="s">
        <v>496</v>
      </c>
      <c r="AA162" s="251" t="s">
        <v>1305</v>
      </c>
    </row>
    <row r="163" spans="1:27">
      <c r="B163" s="251" t="s">
        <v>504</v>
      </c>
      <c r="C163" s="255" t="s">
        <v>256</v>
      </c>
      <c r="D163" s="256">
        <v>75</v>
      </c>
      <c r="E163" s="251" t="s">
        <v>549</v>
      </c>
      <c r="F163" s="256">
        <v>18</v>
      </c>
      <c r="G163" s="254">
        <v>45022</v>
      </c>
      <c r="H163" s="251" t="s">
        <v>2383</v>
      </c>
      <c r="J163" s="251" t="s">
        <v>614</v>
      </c>
      <c r="K163" s="251" t="s">
        <v>2380</v>
      </c>
      <c r="L163" s="251">
        <v>2022</v>
      </c>
      <c r="N163" s="251" t="s">
        <v>2381</v>
      </c>
      <c r="O163" s="252" t="s">
        <v>669</v>
      </c>
      <c r="P163" s="252">
        <v>2.2999999999999998</v>
      </c>
      <c r="Q163" s="252" t="s">
        <v>2382</v>
      </c>
      <c r="R163" s="252" t="s">
        <v>496</v>
      </c>
      <c r="S163" s="252" t="s">
        <v>496</v>
      </c>
      <c r="T163" s="252" t="s">
        <v>496</v>
      </c>
      <c r="U163" s="252" t="s">
        <v>496</v>
      </c>
      <c r="V163" s="252" t="s">
        <v>496</v>
      </c>
      <c r="W163" s="252" t="s">
        <v>496</v>
      </c>
      <c r="X163" s="252" t="s">
        <v>496</v>
      </c>
      <c r="Y163" s="252" t="s">
        <v>496</v>
      </c>
      <c r="Z163" s="252" t="s">
        <v>496</v>
      </c>
      <c r="AA163" s="251" t="s">
        <v>1853</v>
      </c>
    </row>
    <row r="164" spans="1:27">
      <c r="A164" s="64">
        <f>+A161+1</f>
        <v>80</v>
      </c>
      <c r="B164" s="64" t="s">
        <v>692</v>
      </c>
      <c r="C164" s="190" t="s">
        <v>256</v>
      </c>
      <c r="D164" s="188">
        <v>75</v>
      </c>
      <c r="E164" s="64" t="s">
        <v>544</v>
      </c>
      <c r="F164" s="188">
        <v>17</v>
      </c>
      <c r="G164" s="202">
        <v>44679</v>
      </c>
      <c r="H164" s="64" t="s">
        <v>1504</v>
      </c>
      <c r="I164" s="64" t="s">
        <v>1505</v>
      </c>
      <c r="J164" s="64" t="s">
        <v>615</v>
      </c>
      <c r="K164" s="64" t="s">
        <v>689</v>
      </c>
      <c r="L164" s="64">
        <v>2019</v>
      </c>
      <c r="N164" s="251" t="s">
        <v>1506</v>
      </c>
      <c r="O164" s="252" t="s">
        <v>549</v>
      </c>
      <c r="P164" s="252">
        <v>4.5</v>
      </c>
      <c r="Q164" s="252" t="s">
        <v>1515</v>
      </c>
      <c r="R164" s="252" t="s">
        <v>496</v>
      </c>
      <c r="S164" s="252" t="s">
        <v>496</v>
      </c>
      <c r="T164" s="252" t="s">
        <v>496</v>
      </c>
      <c r="U164" s="252" t="s">
        <v>496</v>
      </c>
      <c r="V164" s="252" t="s">
        <v>496</v>
      </c>
      <c r="W164" s="252" t="s">
        <v>496</v>
      </c>
      <c r="X164" s="252" t="s">
        <v>496</v>
      </c>
      <c r="Y164" s="252" t="s">
        <v>496</v>
      </c>
      <c r="Z164" s="252" t="s">
        <v>496</v>
      </c>
      <c r="AA164" s="251" t="s">
        <v>834</v>
      </c>
    </row>
    <row r="165" spans="1:27" s="64" customFormat="1">
      <c r="B165" s="64" t="s">
        <v>695</v>
      </c>
      <c r="C165" s="190" t="s">
        <v>256</v>
      </c>
      <c r="D165" s="188">
        <v>75</v>
      </c>
      <c r="E165" s="64" t="s">
        <v>549</v>
      </c>
      <c r="F165" s="188">
        <v>16</v>
      </c>
      <c r="G165" s="209">
        <v>44434</v>
      </c>
      <c r="H165" s="64" t="s">
        <v>1717</v>
      </c>
      <c r="I165" s="64" t="s">
        <v>1560</v>
      </c>
      <c r="J165" s="64" t="s">
        <v>613</v>
      </c>
      <c r="K165" s="64" t="s">
        <v>619</v>
      </c>
      <c r="L165" s="64">
        <v>2020</v>
      </c>
      <c r="N165" s="64" t="s">
        <v>1562</v>
      </c>
      <c r="O165" s="204" t="s">
        <v>669</v>
      </c>
      <c r="P165" s="204" t="s">
        <v>496</v>
      </c>
      <c r="Q165" s="204" t="s">
        <v>1561</v>
      </c>
      <c r="R165" s="204" t="s">
        <v>496</v>
      </c>
      <c r="S165" s="204" t="s">
        <v>496</v>
      </c>
      <c r="T165" s="204" t="s">
        <v>496</v>
      </c>
      <c r="U165" s="204" t="s">
        <v>496</v>
      </c>
      <c r="V165" s="204" t="s">
        <v>496</v>
      </c>
      <c r="W165" s="204" t="s">
        <v>496</v>
      </c>
      <c r="X165" s="204" t="s">
        <v>496</v>
      </c>
      <c r="Y165" s="204" t="s">
        <v>496</v>
      </c>
      <c r="Z165" s="204" t="s">
        <v>496</v>
      </c>
      <c r="AA165" s="64" t="s">
        <v>1031</v>
      </c>
    </row>
    <row r="166" spans="1:27">
      <c r="A166" s="251">
        <f>+A216+1</f>
        <v>83</v>
      </c>
      <c r="B166" s="251" t="s">
        <v>693</v>
      </c>
      <c r="C166" s="255" t="s">
        <v>256</v>
      </c>
      <c r="D166" s="256">
        <v>75</v>
      </c>
      <c r="E166" s="251" t="s">
        <v>549</v>
      </c>
      <c r="F166" s="256">
        <v>16</v>
      </c>
      <c r="G166" s="205">
        <v>44298</v>
      </c>
      <c r="I166" s="251" t="s">
        <v>1552</v>
      </c>
      <c r="J166" s="251" t="s">
        <v>614</v>
      </c>
      <c r="K166" s="251" t="s">
        <v>694</v>
      </c>
      <c r="L166" s="251">
        <v>2019</v>
      </c>
      <c r="N166" s="251" t="s">
        <v>1553</v>
      </c>
      <c r="O166" s="252" t="s">
        <v>549</v>
      </c>
      <c r="P166" s="252" t="s">
        <v>496</v>
      </c>
      <c r="Q166" s="252" t="s">
        <v>1559</v>
      </c>
      <c r="R166" s="252" t="s">
        <v>496</v>
      </c>
      <c r="S166" s="252" t="s">
        <v>496</v>
      </c>
      <c r="T166" s="252" t="s">
        <v>496</v>
      </c>
      <c r="U166" s="252" t="s">
        <v>496</v>
      </c>
      <c r="V166" s="252" t="s">
        <v>496</v>
      </c>
      <c r="W166" s="252" t="s">
        <v>496</v>
      </c>
      <c r="X166" s="252" t="s">
        <v>496</v>
      </c>
      <c r="Y166" s="252" t="s">
        <v>496</v>
      </c>
      <c r="Z166" s="252" t="s">
        <v>496</v>
      </c>
      <c r="AA166" s="251" t="s">
        <v>834</v>
      </c>
    </row>
    <row r="167" spans="1:27">
      <c r="B167" s="251" t="s">
        <v>1663</v>
      </c>
      <c r="C167" s="255" t="s">
        <v>256</v>
      </c>
      <c r="D167" s="256">
        <v>75</v>
      </c>
      <c r="E167" s="251" t="s">
        <v>544</v>
      </c>
      <c r="F167" s="256">
        <v>30</v>
      </c>
      <c r="G167" s="254">
        <v>44474</v>
      </c>
      <c r="H167" s="251" t="s">
        <v>3724</v>
      </c>
      <c r="I167" s="251" t="s">
        <v>3723</v>
      </c>
      <c r="J167" s="251" t="s">
        <v>614</v>
      </c>
      <c r="K167" s="251" t="s">
        <v>633</v>
      </c>
      <c r="L167" s="251">
        <v>2017</v>
      </c>
      <c r="N167" s="251" t="s">
        <v>3725</v>
      </c>
      <c r="O167" s="252" t="s">
        <v>549</v>
      </c>
      <c r="P167" s="252">
        <v>15</v>
      </c>
      <c r="Q167" s="252" t="s">
        <v>3728</v>
      </c>
      <c r="R167" s="252" t="s">
        <v>496</v>
      </c>
      <c r="S167" s="252" t="s">
        <v>496</v>
      </c>
      <c r="T167" s="252" t="s">
        <v>496</v>
      </c>
      <c r="U167" s="252" t="s">
        <v>496</v>
      </c>
      <c r="V167" s="252" t="s">
        <v>496</v>
      </c>
      <c r="W167" s="252" t="s">
        <v>496</v>
      </c>
      <c r="X167" s="252" t="s">
        <v>496</v>
      </c>
      <c r="Y167" s="252" t="s">
        <v>496</v>
      </c>
      <c r="Z167" s="252" t="s">
        <v>496</v>
      </c>
      <c r="AA167" s="251" t="s">
        <v>3722</v>
      </c>
    </row>
    <row r="168" spans="1:27">
      <c r="A168" s="251">
        <f>+A166+1</f>
        <v>84</v>
      </c>
      <c r="B168" s="251" t="s">
        <v>696</v>
      </c>
      <c r="C168" s="255" t="s">
        <v>256</v>
      </c>
      <c r="D168" s="256">
        <v>75</v>
      </c>
      <c r="E168" s="251" t="s">
        <v>544</v>
      </c>
      <c r="F168" s="256">
        <v>15</v>
      </c>
      <c r="G168" s="254">
        <v>44468</v>
      </c>
      <c r="H168" s="64" t="s">
        <v>1564</v>
      </c>
      <c r="J168" s="251" t="s">
        <v>614</v>
      </c>
      <c r="K168" s="251" t="s">
        <v>543</v>
      </c>
      <c r="L168" s="251">
        <v>2021</v>
      </c>
      <c r="N168" s="251" t="s">
        <v>1563</v>
      </c>
      <c r="O168" s="252" t="s">
        <v>496</v>
      </c>
      <c r="P168" s="252" t="s">
        <v>496</v>
      </c>
      <c r="Q168" s="252" t="s">
        <v>496</v>
      </c>
      <c r="R168" s="252" t="s">
        <v>496</v>
      </c>
      <c r="S168" s="252" t="s">
        <v>496</v>
      </c>
      <c r="T168" s="252" t="s">
        <v>496</v>
      </c>
      <c r="U168" s="252" t="s">
        <v>496</v>
      </c>
      <c r="V168" s="252" t="s">
        <v>496</v>
      </c>
      <c r="W168" s="252" t="s">
        <v>496</v>
      </c>
      <c r="X168" s="252" t="s">
        <v>496</v>
      </c>
      <c r="Y168" s="252" t="s">
        <v>496</v>
      </c>
      <c r="Z168" s="252" t="s">
        <v>496</v>
      </c>
      <c r="AA168" s="251" t="s">
        <v>832</v>
      </c>
    </row>
    <row r="169" spans="1:27">
      <c r="B169" s="251" t="s">
        <v>1145</v>
      </c>
      <c r="C169" s="255" t="s">
        <v>256</v>
      </c>
      <c r="D169" s="256">
        <v>75</v>
      </c>
      <c r="E169" s="251" t="s">
        <v>544</v>
      </c>
      <c r="F169" s="256">
        <v>13</v>
      </c>
      <c r="G169" s="254">
        <v>44516</v>
      </c>
      <c r="H169" s="251" t="s">
        <v>2467</v>
      </c>
      <c r="I169" s="251" t="s">
        <v>2466</v>
      </c>
      <c r="J169" s="251" t="s">
        <v>614</v>
      </c>
      <c r="K169" s="251" t="s">
        <v>2469</v>
      </c>
      <c r="L169" s="251">
        <v>2017</v>
      </c>
      <c r="N169" s="251" t="s">
        <v>2470</v>
      </c>
      <c r="O169" s="252" t="s">
        <v>549</v>
      </c>
      <c r="P169" s="252">
        <v>2.5</v>
      </c>
      <c r="Q169" s="252" t="s">
        <v>2476</v>
      </c>
      <c r="R169" s="252" t="s">
        <v>549</v>
      </c>
      <c r="S169" s="252" t="s">
        <v>496</v>
      </c>
      <c r="T169" s="252" t="s">
        <v>2478</v>
      </c>
      <c r="U169" s="252" t="s">
        <v>496</v>
      </c>
      <c r="V169" s="252" t="s">
        <v>496</v>
      </c>
      <c r="W169" s="252" t="s">
        <v>496</v>
      </c>
      <c r="X169" s="252" t="s">
        <v>496</v>
      </c>
      <c r="Y169" s="252" t="s">
        <v>496</v>
      </c>
      <c r="Z169" s="252" t="s">
        <v>496</v>
      </c>
      <c r="AA169" s="251" t="s">
        <v>1853</v>
      </c>
    </row>
    <row r="170" spans="1:27">
      <c r="B170" s="251" t="s">
        <v>463</v>
      </c>
      <c r="C170" s="255" t="s">
        <v>256</v>
      </c>
      <c r="D170" s="256">
        <v>60</v>
      </c>
      <c r="E170" s="251" t="s">
        <v>544</v>
      </c>
      <c r="F170" s="256">
        <v>21.7</v>
      </c>
      <c r="G170" s="254">
        <v>44909</v>
      </c>
      <c r="H170" s="251" t="s">
        <v>2365</v>
      </c>
      <c r="J170" s="251" t="s">
        <v>646</v>
      </c>
      <c r="K170" s="251" t="s">
        <v>2364</v>
      </c>
      <c r="L170" s="251">
        <v>2022</v>
      </c>
      <c r="N170" s="251" t="s">
        <v>2363</v>
      </c>
      <c r="O170" s="252" t="s">
        <v>496</v>
      </c>
      <c r="P170" s="252" t="s">
        <v>496</v>
      </c>
      <c r="Q170" s="252" t="s">
        <v>496</v>
      </c>
      <c r="R170" s="252" t="s">
        <v>496</v>
      </c>
      <c r="S170" s="252" t="s">
        <v>496</v>
      </c>
      <c r="T170" s="252" t="s">
        <v>496</v>
      </c>
      <c r="U170" s="252" t="s">
        <v>496</v>
      </c>
      <c r="V170" s="252" t="s">
        <v>496</v>
      </c>
      <c r="W170" s="252" t="s">
        <v>496</v>
      </c>
      <c r="X170" s="252" t="s">
        <v>496</v>
      </c>
      <c r="Y170" s="252" t="s">
        <v>496</v>
      </c>
      <c r="Z170" s="252" t="s">
        <v>496</v>
      </c>
      <c r="AA170" s="251" t="s">
        <v>840</v>
      </c>
    </row>
    <row r="171" spans="1:27">
      <c r="B171" s="251" t="s">
        <v>1647</v>
      </c>
      <c r="C171" s="255" t="s">
        <v>256</v>
      </c>
      <c r="D171" s="256">
        <v>60</v>
      </c>
      <c r="E171" s="251" t="s">
        <v>544</v>
      </c>
      <c r="F171" s="256">
        <v>10</v>
      </c>
      <c r="G171" s="254">
        <v>44637</v>
      </c>
      <c r="H171" s="251" t="s">
        <v>3229</v>
      </c>
      <c r="I171" s="251" t="s">
        <v>3227</v>
      </c>
      <c r="J171" s="251" t="s">
        <v>614</v>
      </c>
      <c r="K171" s="251" t="s">
        <v>3230</v>
      </c>
      <c r="L171" s="251">
        <v>2014</v>
      </c>
      <c r="N171" s="251" t="s">
        <v>3228</v>
      </c>
      <c r="O171" s="252" t="s">
        <v>549</v>
      </c>
      <c r="P171" s="252">
        <v>4.5</v>
      </c>
      <c r="Q171" s="252" t="s">
        <v>3233</v>
      </c>
      <c r="R171" s="252" t="s">
        <v>549</v>
      </c>
      <c r="S171" s="252">
        <v>1.8</v>
      </c>
      <c r="T171" s="252" t="s">
        <v>3239</v>
      </c>
      <c r="U171" s="252" t="s">
        <v>496</v>
      </c>
      <c r="V171" s="252" t="s">
        <v>496</v>
      </c>
      <c r="W171" s="252" t="s">
        <v>496</v>
      </c>
      <c r="X171" s="252" t="s">
        <v>496</v>
      </c>
      <c r="Y171" s="252" t="s">
        <v>496</v>
      </c>
      <c r="Z171" s="252" t="s">
        <v>496</v>
      </c>
      <c r="AA171" s="251" t="s">
        <v>1853</v>
      </c>
    </row>
    <row r="172" spans="1:27">
      <c r="B172" s="251" t="s">
        <v>1203</v>
      </c>
      <c r="C172" s="255" t="s">
        <v>256</v>
      </c>
      <c r="D172" s="256">
        <v>50</v>
      </c>
      <c r="E172" s="251" t="s">
        <v>544</v>
      </c>
      <c r="F172" s="256">
        <v>20.9</v>
      </c>
      <c r="G172" s="254">
        <v>44411</v>
      </c>
      <c r="H172" s="251" t="s">
        <v>2527</v>
      </c>
      <c r="I172" s="251" t="s">
        <v>2530</v>
      </c>
      <c r="J172" s="251" t="s">
        <v>614</v>
      </c>
      <c r="K172" s="251" t="s">
        <v>2528</v>
      </c>
      <c r="L172" s="251">
        <v>2018</v>
      </c>
      <c r="N172" s="251" t="s">
        <v>2531</v>
      </c>
      <c r="O172" s="252" t="s">
        <v>549</v>
      </c>
      <c r="P172" s="252">
        <v>1.5</v>
      </c>
      <c r="Q172" s="252" t="s">
        <v>2532</v>
      </c>
      <c r="R172" s="252" t="s">
        <v>496</v>
      </c>
      <c r="S172" s="252" t="s">
        <v>496</v>
      </c>
      <c r="T172" s="252" t="s">
        <v>496</v>
      </c>
      <c r="U172" s="252" t="s">
        <v>496</v>
      </c>
      <c r="V172" s="252" t="s">
        <v>496</v>
      </c>
      <c r="W172" s="252" t="s">
        <v>496</v>
      </c>
      <c r="X172" s="252" t="s">
        <v>496</v>
      </c>
      <c r="Y172" s="252" t="s">
        <v>496</v>
      </c>
      <c r="Z172" s="252" t="s">
        <v>496</v>
      </c>
      <c r="AA172" s="251" t="s">
        <v>2529</v>
      </c>
    </row>
    <row r="173" spans="1:27">
      <c r="A173" s="251">
        <f>+A115+1</f>
        <v>58</v>
      </c>
      <c r="B173" s="251" t="s">
        <v>514</v>
      </c>
      <c r="C173" s="255" t="s">
        <v>256</v>
      </c>
      <c r="D173" s="256">
        <v>50</v>
      </c>
      <c r="E173" s="251" t="s">
        <v>549</v>
      </c>
      <c r="F173" s="188">
        <v>18.5</v>
      </c>
      <c r="G173" s="254">
        <v>45050</v>
      </c>
      <c r="H173" s="251" t="s">
        <v>1201</v>
      </c>
      <c r="I173" s="251" t="s">
        <v>562</v>
      </c>
      <c r="J173" s="251" t="s">
        <v>614</v>
      </c>
      <c r="K173" s="251" t="s">
        <v>636</v>
      </c>
      <c r="L173" s="251">
        <v>2023</v>
      </c>
      <c r="N173" s="251" t="s">
        <v>563</v>
      </c>
      <c r="O173" s="252" t="s">
        <v>496</v>
      </c>
      <c r="P173" s="252" t="s">
        <v>496</v>
      </c>
      <c r="Q173" s="252" t="s">
        <v>496</v>
      </c>
      <c r="R173" s="252" t="s">
        <v>496</v>
      </c>
      <c r="S173" s="252" t="s">
        <v>496</v>
      </c>
      <c r="T173" s="252" t="s">
        <v>496</v>
      </c>
      <c r="U173" s="252" t="s">
        <v>496</v>
      </c>
      <c r="V173" s="252" t="s">
        <v>496</v>
      </c>
      <c r="W173" s="252" t="s">
        <v>496</v>
      </c>
      <c r="X173" s="252" t="s">
        <v>496</v>
      </c>
      <c r="Y173" s="252" t="s">
        <v>496</v>
      </c>
      <c r="Z173" s="252" t="s">
        <v>496</v>
      </c>
      <c r="AA173" s="251" t="s">
        <v>834</v>
      </c>
    </row>
    <row r="174" spans="1:27">
      <c r="B174" s="251" t="s">
        <v>1202</v>
      </c>
      <c r="C174" s="255" t="s">
        <v>256</v>
      </c>
      <c r="D174" s="256">
        <v>50</v>
      </c>
      <c r="E174" s="251" t="s">
        <v>544</v>
      </c>
      <c r="F174" s="256">
        <v>15.5</v>
      </c>
      <c r="G174" s="254">
        <v>44727</v>
      </c>
      <c r="H174" s="251" t="s">
        <v>2520</v>
      </c>
      <c r="I174" s="251" t="s">
        <v>2519</v>
      </c>
      <c r="J174" s="251" t="s">
        <v>614</v>
      </c>
      <c r="K174" s="251" t="s">
        <v>461</v>
      </c>
      <c r="L174" s="251">
        <v>2013</v>
      </c>
      <c r="N174" s="251" t="s">
        <v>2521</v>
      </c>
      <c r="O174" s="252" t="s">
        <v>544</v>
      </c>
      <c r="P174" s="252">
        <v>12</v>
      </c>
      <c r="Q174" s="260" t="s">
        <v>2526</v>
      </c>
      <c r="R174" s="252" t="s">
        <v>549</v>
      </c>
      <c r="S174" s="252">
        <v>2</v>
      </c>
      <c r="T174" s="252" t="s">
        <v>1240</v>
      </c>
      <c r="U174" s="252" t="s">
        <v>496</v>
      </c>
      <c r="V174" s="252" t="s">
        <v>496</v>
      </c>
      <c r="W174" s="252" t="s">
        <v>496</v>
      </c>
      <c r="X174" s="252" t="s">
        <v>496</v>
      </c>
      <c r="Y174" s="252" t="s">
        <v>496</v>
      </c>
      <c r="Z174" s="252" t="s">
        <v>496</v>
      </c>
      <c r="AA174" s="251" t="s">
        <v>933</v>
      </c>
    </row>
    <row r="175" spans="1:27">
      <c r="B175" s="251" t="s">
        <v>1193</v>
      </c>
      <c r="C175" s="255" t="s">
        <v>256</v>
      </c>
      <c r="D175" s="256">
        <v>50</v>
      </c>
      <c r="E175" s="251" t="s">
        <v>544</v>
      </c>
      <c r="F175" s="256">
        <v>16</v>
      </c>
      <c r="G175" s="254">
        <v>44663</v>
      </c>
      <c r="H175" s="251" t="s">
        <v>3062</v>
      </c>
      <c r="I175" s="251" t="s">
        <v>3061</v>
      </c>
      <c r="J175" s="251" t="s">
        <v>614</v>
      </c>
      <c r="K175" s="251" t="s">
        <v>2548</v>
      </c>
      <c r="L175" s="251">
        <v>2019</v>
      </c>
      <c r="N175" s="251" t="s">
        <v>3063</v>
      </c>
      <c r="O175" s="252" t="s">
        <v>549</v>
      </c>
      <c r="P175" s="252">
        <v>12</v>
      </c>
      <c r="Q175" s="252" t="s">
        <v>3064</v>
      </c>
      <c r="R175" s="252" t="s">
        <v>496</v>
      </c>
      <c r="S175" s="252" t="s">
        <v>496</v>
      </c>
      <c r="T175" s="252" t="s">
        <v>496</v>
      </c>
      <c r="U175" s="252" t="s">
        <v>496</v>
      </c>
      <c r="V175" s="252" t="s">
        <v>496</v>
      </c>
      <c r="W175" s="252" t="s">
        <v>496</v>
      </c>
      <c r="X175" s="252" t="s">
        <v>496</v>
      </c>
      <c r="Y175" s="252" t="s">
        <v>496</v>
      </c>
      <c r="Z175" s="252" t="s">
        <v>496</v>
      </c>
      <c r="AA175" s="251" t="s">
        <v>933</v>
      </c>
    </row>
    <row r="176" spans="1:27">
      <c r="B176" s="251" t="s">
        <v>1655</v>
      </c>
      <c r="C176" s="255" t="s">
        <v>256</v>
      </c>
      <c r="D176" s="256">
        <v>50</v>
      </c>
      <c r="E176" s="251" t="s">
        <v>544</v>
      </c>
      <c r="F176" s="256">
        <v>15</v>
      </c>
      <c r="G176" s="254">
        <v>44314</v>
      </c>
      <c r="H176" s="251" t="s">
        <v>3242</v>
      </c>
      <c r="I176" s="251" t="s">
        <v>3241</v>
      </c>
      <c r="J176" s="251" t="s">
        <v>614</v>
      </c>
      <c r="K176" s="251" t="s">
        <v>3243</v>
      </c>
      <c r="L176" s="251">
        <v>2017</v>
      </c>
      <c r="N176" s="251" t="s">
        <v>3244</v>
      </c>
      <c r="O176" s="252" t="s">
        <v>669</v>
      </c>
      <c r="P176" s="252" t="s">
        <v>496</v>
      </c>
      <c r="Q176" s="252" t="s">
        <v>3248</v>
      </c>
      <c r="R176" s="252" t="s">
        <v>496</v>
      </c>
      <c r="S176" s="252" t="s">
        <v>496</v>
      </c>
      <c r="T176" s="252" t="s">
        <v>496</v>
      </c>
      <c r="U176" s="252" t="s">
        <v>496</v>
      </c>
      <c r="V176" s="252" t="s">
        <v>496</v>
      </c>
      <c r="W176" s="252" t="s">
        <v>496</v>
      </c>
      <c r="X176" s="252" t="s">
        <v>496</v>
      </c>
      <c r="Y176" s="252" t="s">
        <v>496</v>
      </c>
      <c r="Z176" s="252" t="s">
        <v>496</v>
      </c>
      <c r="AA176" s="251" t="s">
        <v>3240</v>
      </c>
    </row>
    <row r="177" spans="1:27" s="64" customFormat="1">
      <c r="A177" s="64">
        <f>+A173+1</f>
        <v>59</v>
      </c>
      <c r="B177" s="64" t="s">
        <v>568</v>
      </c>
      <c r="C177" s="190" t="s">
        <v>256</v>
      </c>
      <c r="D177" s="188">
        <v>50</v>
      </c>
      <c r="E177" s="64" t="s">
        <v>544</v>
      </c>
      <c r="F177" s="188">
        <v>11</v>
      </c>
      <c r="G177" s="202">
        <v>45070</v>
      </c>
      <c r="H177" s="64" t="s">
        <v>725</v>
      </c>
      <c r="J177" s="197" t="s">
        <v>614</v>
      </c>
      <c r="K177" s="197" t="s">
        <v>543</v>
      </c>
      <c r="L177" s="64">
        <v>2018</v>
      </c>
      <c r="N177" s="64" t="s">
        <v>1204</v>
      </c>
      <c r="O177" s="204" t="s">
        <v>549</v>
      </c>
      <c r="P177" s="204" t="s">
        <v>496</v>
      </c>
      <c r="Q177" s="204" t="s">
        <v>1213</v>
      </c>
      <c r="R177" s="204" t="s">
        <v>669</v>
      </c>
      <c r="S177" s="204" t="s">
        <v>496</v>
      </c>
      <c r="T177" s="204" t="s">
        <v>1214</v>
      </c>
      <c r="U177" s="252" t="s">
        <v>496</v>
      </c>
      <c r="V177" s="252" t="s">
        <v>496</v>
      </c>
      <c r="W177" s="252" t="s">
        <v>496</v>
      </c>
      <c r="X177" s="252" t="s">
        <v>496</v>
      </c>
      <c r="Y177" s="252" t="s">
        <v>496</v>
      </c>
      <c r="Z177" s="252" t="s">
        <v>496</v>
      </c>
      <c r="AA177" s="64" t="s">
        <v>832</v>
      </c>
    </row>
    <row r="178" spans="1:27">
      <c r="A178" s="251">
        <f>+A226+1</f>
        <v>88</v>
      </c>
      <c r="B178" s="251" t="s">
        <v>697</v>
      </c>
      <c r="C178" s="255" t="s">
        <v>256</v>
      </c>
      <c r="D178" s="256">
        <v>50</v>
      </c>
      <c r="E178" s="251" t="s">
        <v>544</v>
      </c>
      <c r="F178" s="256">
        <v>15</v>
      </c>
      <c r="G178" s="254">
        <v>44838</v>
      </c>
      <c r="H178" s="251" t="s">
        <v>1590</v>
      </c>
      <c r="I178" s="251" t="s">
        <v>1591</v>
      </c>
      <c r="J178" s="251" t="s">
        <v>614</v>
      </c>
      <c r="K178" s="251" t="s">
        <v>559</v>
      </c>
      <c r="L178" s="251">
        <v>2020</v>
      </c>
      <c r="N178" s="251" t="s">
        <v>1592</v>
      </c>
      <c r="O178" s="252" t="s">
        <v>496</v>
      </c>
      <c r="P178" s="252" t="s">
        <v>496</v>
      </c>
      <c r="Q178" s="252" t="s">
        <v>496</v>
      </c>
      <c r="R178" s="252" t="s">
        <v>496</v>
      </c>
      <c r="S178" s="252" t="s">
        <v>496</v>
      </c>
      <c r="T178" s="252" t="s">
        <v>496</v>
      </c>
      <c r="U178" s="252" t="s">
        <v>496</v>
      </c>
      <c r="V178" s="252" t="s">
        <v>496</v>
      </c>
      <c r="W178" s="252" t="s">
        <v>496</v>
      </c>
      <c r="X178" s="252" t="s">
        <v>496</v>
      </c>
      <c r="Y178" s="252" t="s">
        <v>496</v>
      </c>
      <c r="Z178" s="252" t="s">
        <v>496</v>
      </c>
      <c r="AA178" s="251" t="s">
        <v>841</v>
      </c>
    </row>
    <row r="179" spans="1:27" s="64" customFormat="1">
      <c r="B179" s="64" t="s">
        <v>1479</v>
      </c>
      <c r="C179" s="190" t="s">
        <v>256</v>
      </c>
      <c r="D179" s="188">
        <v>50</v>
      </c>
      <c r="E179" s="64" t="s">
        <v>544</v>
      </c>
      <c r="F179" s="188">
        <v>12.5</v>
      </c>
      <c r="G179" s="202">
        <v>44784</v>
      </c>
      <c r="H179" s="64" t="s">
        <v>1491</v>
      </c>
      <c r="I179" s="64" t="s">
        <v>1492</v>
      </c>
      <c r="J179" s="64" t="s">
        <v>614</v>
      </c>
      <c r="K179" s="64" t="s">
        <v>430</v>
      </c>
      <c r="L179" s="226">
        <v>2018</v>
      </c>
      <c r="N179" s="64" t="s">
        <v>1490</v>
      </c>
      <c r="O179" s="204" t="s">
        <v>544</v>
      </c>
      <c r="P179" s="204">
        <v>10</v>
      </c>
      <c r="Q179" s="204" t="s">
        <v>1497</v>
      </c>
      <c r="R179" s="204" t="s">
        <v>669</v>
      </c>
      <c r="S179" s="204" t="s">
        <v>496</v>
      </c>
      <c r="T179" s="204" t="s">
        <v>1499</v>
      </c>
      <c r="U179" s="204" t="s">
        <v>549</v>
      </c>
      <c r="V179" s="204" t="s">
        <v>496</v>
      </c>
      <c r="W179" s="204" t="s">
        <v>1500</v>
      </c>
      <c r="X179" s="204" t="s">
        <v>496</v>
      </c>
      <c r="Y179" s="204" t="s">
        <v>496</v>
      </c>
      <c r="Z179" s="204" t="s">
        <v>496</v>
      </c>
      <c r="AA179" s="64" t="s">
        <v>1489</v>
      </c>
    </row>
    <row r="180" spans="1:27" s="64" customFormat="1">
      <c r="B180" s="64" t="s">
        <v>571</v>
      </c>
      <c r="C180" s="190" t="s">
        <v>256</v>
      </c>
      <c r="D180" s="188">
        <v>50</v>
      </c>
      <c r="E180" s="64" t="s">
        <v>549</v>
      </c>
      <c r="F180" s="188">
        <v>5.3</v>
      </c>
      <c r="G180" s="202">
        <v>45069</v>
      </c>
      <c r="H180" s="64" t="s">
        <v>1598</v>
      </c>
      <c r="I180" s="64" t="s">
        <v>1597</v>
      </c>
      <c r="J180" s="64" t="s">
        <v>614</v>
      </c>
      <c r="K180" s="64" t="s">
        <v>639</v>
      </c>
      <c r="L180" s="194">
        <v>44531</v>
      </c>
      <c r="N180" s="64" t="s">
        <v>1599</v>
      </c>
      <c r="O180" s="204" t="s">
        <v>669</v>
      </c>
      <c r="P180" s="204" t="s">
        <v>496</v>
      </c>
      <c r="Q180" s="204" t="s">
        <v>1600</v>
      </c>
      <c r="R180" s="204" t="s">
        <v>496</v>
      </c>
      <c r="S180" s="204" t="s">
        <v>496</v>
      </c>
      <c r="T180" s="204" t="s">
        <v>496</v>
      </c>
      <c r="U180" s="204" t="s">
        <v>496</v>
      </c>
      <c r="V180" s="204" t="s">
        <v>496</v>
      </c>
      <c r="W180" s="204" t="s">
        <v>496</v>
      </c>
      <c r="X180" s="204" t="s">
        <v>496</v>
      </c>
      <c r="Y180" s="204" t="s">
        <v>496</v>
      </c>
      <c r="Z180" s="204" t="s">
        <v>496</v>
      </c>
      <c r="AA180" s="64" t="s">
        <v>1596</v>
      </c>
    </row>
    <row r="181" spans="1:27">
      <c r="B181" s="251" t="s">
        <v>467</v>
      </c>
      <c r="C181" s="255" t="s">
        <v>256</v>
      </c>
      <c r="D181" s="256">
        <v>50</v>
      </c>
      <c r="E181" s="251" t="s">
        <v>549</v>
      </c>
      <c r="F181" s="256">
        <v>15</v>
      </c>
      <c r="G181" s="254">
        <v>44691</v>
      </c>
      <c r="H181" s="251" t="s">
        <v>1444</v>
      </c>
      <c r="I181" s="251" t="s">
        <v>1602</v>
      </c>
      <c r="J181" s="251" t="s">
        <v>614</v>
      </c>
      <c r="K181" s="251" t="s">
        <v>698</v>
      </c>
      <c r="L181" s="258">
        <v>44362</v>
      </c>
      <c r="N181" s="251" t="s">
        <v>1604</v>
      </c>
      <c r="O181" s="252" t="s">
        <v>496</v>
      </c>
      <c r="P181" s="252" t="s">
        <v>496</v>
      </c>
      <c r="Q181" s="252" t="s">
        <v>496</v>
      </c>
      <c r="R181" s="252" t="s">
        <v>496</v>
      </c>
      <c r="S181" s="252" t="s">
        <v>496</v>
      </c>
      <c r="T181" s="252" t="s">
        <v>496</v>
      </c>
      <c r="U181" s="252" t="s">
        <v>496</v>
      </c>
      <c r="V181" s="252" t="s">
        <v>496</v>
      </c>
      <c r="W181" s="252" t="s">
        <v>496</v>
      </c>
      <c r="X181" s="252" t="s">
        <v>496</v>
      </c>
      <c r="Y181" s="252" t="s">
        <v>496</v>
      </c>
      <c r="Z181" s="252" t="s">
        <v>496</v>
      </c>
      <c r="AA181" s="251" t="s">
        <v>844</v>
      </c>
    </row>
    <row r="182" spans="1:27">
      <c r="B182" s="251" t="s">
        <v>699</v>
      </c>
      <c r="C182" s="255" t="s">
        <v>256</v>
      </c>
      <c r="D182" s="256">
        <v>50</v>
      </c>
      <c r="E182" s="251" t="s">
        <v>544</v>
      </c>
      <c r="F182" s="256">
        <v>15</v>
      </c>
      <c r="G182" s="205">
        <v>44482</v>
      </c>
      <c r="H182" s="251" t="s">
        <v>1615</v>
      </c>
      <c r="I182" s="251" t="s">
        <v>1612</v>
      </c>
      <c r="J182" s="251" t="s">
        <v>614</v>
      </c>
      <c r="K182" s="251" t="s">
        <v>636</v>
      </c>
      <c r="L182" s="251">
        <v>2020</v>
      </c>
      <c r="N182" s="251" t="s">
        <v>1614</v>
      </c>
      <c r="O182" s="252" t="s">
        <v>549</v>
      </c>
      <c r="P182" s="252">
        <v>4.5</v>
      </c>
      <c r="Q182" s="252" t="s">
        <v>1616</v>
      </c>
      <c r="R182" s="252" t="s">
        <v>669</v>
      </c>
      <c r="S182" s="252">
        <v>0.125</v>
      </c>
      <c r="T182" s="252" t="s">
        <v>740</v>
      </c>
      <c r="U182" s="252" t="s">
        <v>496</v>
      </c>
      <c r="V182" s="252" t="s">
        <v>496</v>
      </c>
      <c r="W182" s="252" t="s">
        <v>496</v>
      </c>
      <c r="X182" s="252" t="s">
        <v>496</v>
      </c>
      <c r="Y182" s="252" t="s">
        <v>496</v>
      </c>
      <c r="Z182" s="252" t="s">
        <v>496</v>
      </c>
      <c r="AA182" s="251" t="s">
        <v>833</v>
      </c>
    </row>
    <row r="183" spans="1:27">
      <c r="B183" s="251" t="s">
        <v>700</v>
      </c>
      <c r="C183" s="255" t="s">
        <v>256</v>
      </c>
      <c r="D183" s="256">
        <v>50</v>
      </c>
      <c r="E183" s="251" t="s">
        <v>544</v>
      </c>
      <c r="F183" s="256">
        <v>14.5</v>
      </c>
      <c r="G183" s="205">
        <v>44389</v>
      </c>
      <c r="H183" s="251" t="s">
        <v>1622</v>
      </c>
      <c r="I183" s="251" t="s">
        <v>1620</v>
      </c>
      <c r="J183" s="251" t="s">
        <v>614</v>
      </c>
      <c r="K183" s="251" t="s">
        <v>636</v>
      </c>
      <c r="L183" s="251">
        <v>2019</v>
      </c>
      <c r="N183" s="251" t="s">
        <v>1621</v>
      </c>
      <c r="O183" s="252" t="s">
        <v>549</v>
      </c>
      <c r="P183" s="252">
        <v>3</v>
      </c>
      <c r="Q183" s="252" t="s">
        <v>1630</v>
      </c>
      <c r="R183" s="252" t="s">
        <v>669</v>
      </c>
      <c r="S183" s="252" t="s">
        <v>496</v>
      </c>
      <c r="T183" s="252" t="s">
        <v>1631</v>
      </c>
      <c r="U183" s="252" t="s">
        <v>496</v>
      </c>
      <c r="V183" s="252" t="s">
        <v>496</v>
      </c>
      <c r="W183" s="252" t="s">
        <v>496</v>
      </c>
      <c r="X183" s="252" t="s">
        <v>496</v>
      </c>
      <c r="Y183" s="252" t="s">
        <v>496</v>
      </c>
      <c r="Z183" s="252" t="s">
        <v>496</v>
      </c>
      <c r="AA183" s="251" t="s">
        <v>834</v>
      </c>
    </row>
    <row r="184" spans="1:27">
      <c r="B184" s="251" t="s">
        <v>701</v>
      </c>
      <c r="C184" s="255" t="s">
        <v>256</v>
      </c>
      <c r="D184" s="256">
        <v>50</v>
      </c>
      <c r="E184" s="251" t="s">
        <v>549</v>
      </c>
      <c r="F184" s="256">
        <v>15</v>
      </c>
      <c r="G184" s="254">
        <v>44999</v>
      </c>
      <c r="H184" s="251" t="s">
        <v>916</v>
      </c>
      <c r="I184" s="251" t="s">
        <v>1636</v>
      </c>
      <c r="J184" s="251" t="s">
        <v>614</v>
      </c>
      <c r="K184" s="251" t="s">
        <v>636</v>
      </c>
      <c r="L184" s="251">
        <v>2021</v>
      </c>
      <c r="M184" s="251" t="s">
        <v>1637</v>
      </c>
      <c r="N184" s="251" t="s">
        <v>496</v>
      </c>
      <c r="O184" s="252" t="s">
        <v>669</v>
      </c>
      <c r="P184" s="252">
        <v>4.5</v>
      </c>
      <c r="Q184" s="252" t="s">
        <v>1633</v>
      </c>
      <c r="R184" s="252" t="s">
        <v>496</v>
      </c>
      <c r="S184" s="252" t="s">
        <v>496</v>
      </c>
      <c r="T184" s="252" t="s">
        <v>496</v>
      </c>
      <c r="U184" s="252" t="s">
        <v>496</v>
      </c>
      <c r="V184" s="252" t="s">
        <v>496</v>
      </c>
      <c r="W184" s="252" t="s">
        <v>496</v>
      </c>
      <c r="X184" s="252" t="s">
        <v>496</v>
      </c>
      <c r="Y184" s="252" t="s">
        <v>496</v>
      </c>
      <c r="Z184" s="252" t="s">
        <v>496</v>
      </c>
      <c r="AA184" s="251" t="s">
        <v>834</v>
      </c>
    </row>
    <row r="185" spans="1:27">
      <c r="B185" s="251" t="s">
        <v>702</v>
      </c>
      <c r="C185" s="255" t="s">
        <v>256</v>
      </c>
      <c r="D185" s="256">
        <v>50</v>
      </c>
      <c r="E185" s="251" t="s">
        <v>544</v>
      </c>
      <c r="F185" s="256">
        <v>14</v>
      </c>
      <c r="G185" s="254">
        <v>44705</v>
      </c>
      <c r="H185" s="251" t="s">
        <v>1444</v>
      </c>
      <c r="I185" s="251" t="s">
        <v>1638</v>
      </c>
      <c r="J185" s="251" t="s">
        <v>614</v>
      </c>
      <c r="K185" s="251" t="s">
        <v>698</v>
      </c>
      <c r="L185" s="251">
        <v>2019</v>
      </c>
      <c r="N185" s="251" t="s">
        <v>1639</v>
      </c>
      <c r="O185" s="252" t="s">
        <v>549</v>
      </c>
      <c r="P185" s="252">
        <v>5</v>
      </c>
      <c r="Q185" s="252" t="s">
        <v>1641</v>
      </c>
      <c r="R185" s="252" t="s">
        <v>669</v>
      </c>
      <c r="S185" s="252">
        <v>0.62</v>
      </c>
      <c r="T185" s="252" t="s">
        <v>1642</v>
      </c>
      <c r="U185" s="252" t="s">
        <v>496</v>
      </c>
      <c r="V185" s="252" t="s">
        <v>496</v>
      </c>
      <c r="W185" s="252" t="s">
        <v>496</v>
      </c>
      <c r="X185" s="252" t="s">
        <v>496</v>
      </c>
      <c r="Y185" s="252" t="s">
        <v>496</v>
      </c>
      <c r="Z185" s="252" t="s">
        <v>496</v>
      </c>
      <c r="AA185" s="251" t="s">
        <v>1480</v>
      </c>
    </row>
    <row r="186" spans="1:27">
      <c r="B186" s="251" t="s">
        <v>1524</v>
      </c>
      <c r="C186" s="255" t="s">
        <v>256</v>
      </c>
      <c r="D186" s="256">
        <v>50</v>
      </c>
      <c r="E186" s="251" t="s">
        <v>544</v>
      </c>
      <c r="F186" s="256">
        <v>13.6</v>
      </c>
      <c r="G186" s="254">
        <v>44134</v>
      </c>
      <c r="H186" s="251" t="s">
        <v>2836</v>
      </c>
      <c r="I186" s="251" t="s">
        <v>2835</v>
      </c>
      <c r="J186" s="251" t="s">
        <v>614</v>
      </c>
      <c r="K186" s="251" t="s">
        <v>1008</v>
      </c>
      <c r="L186" s="251">
        <v>2016</v>
      </c>
      <c r="N186" s="251" t="s">
        <v>2837</v>
      </c>
      <c r="O186" s="252" t="s">
        <v>544</v>
      </c>
      <c r="P186" s="252">
        <v>6</v>
      </c>
      <c r="Q186" s="252" t="s">
        <v>2838</v>
      </c>
      <c r="R186" s="252" t="s">
        <v>549</v>
      </c>
      <c r="S186" s="252">
        <v>5</v>
      </c>
      <c r="T186" s="252" t="s">
        <v>2838</v>
      </c>
      <c r="U186" s="252" t="s">
        <v>549</v>
      </c>
      <c r="V186" s="252">
        <v>3</v>
      </c>
      <c r="W186" s="252" t="s">
        <v>2839</v>
      </c>
      <c r="X186" s="252" t="s">
        <v>549</v>
      </c>
      <c r="Y186" s="252">
        <v>2</v>
      </c>
      <c r="Z186" s="252" t="s">
        <v>2839</v>
      </c>
      <c r="AA186" s="251" t="s">
        <v>2615</v>
      </c>
    </row>
    <row r="187" spans="1:27">
      <c r="B187" s="251" t="s">
        <v>468</v>
      </c>
      <c r="C187" s="255" t="s">
        <v>256</v>
      </c>
      <c r="D187" s="256">
        <v>50</v>
      </c>
      <c r="E187" s="251" t="s">
        <v>549</v>
      </c>
      <c r="F187" s="256">
        <v>13.75</v>
      </c>
      <c r="G187" s="254">
        <v>45014</v>
      </c>
      <c r="H187" s="251" t="s">
        <v>2418</v>
      </c>
      <c r="I187" s="251" t="s">
        <v>1689</v>
      </c>
      <c r="J187" s="251" t="s">
        <v>615</v>
      </c>
      <c r="K187" s="251" t="s">
        <v>703</v>
      </c>
      <c r="L187" s="251">
        <v>2021</v>
      </c>
      <c r="M187" s="251" t="s">
        <v>1688</v>
      </c>
      <c r="N187" s="251" t="s">
        <v>496</v>
      </c>
      <c r="O187" s="252" t="s">
        <v>549</v>
      </c>
      <c r="P187" s="252">
        <v>5.4</v>
      </c>
      <c r="Q187" s="252" t="s">
        <v>496</v>
      </c>
      <c r="R187" s="252" t="s">
        <v>496</v>
      </c>
      <c r="S187" s="252" t="s">
        <v>496</v>
      </c>
      <c r="T187" s="252" t="s">
        <v>496</v>
      </c>
      <c r="U187" s="252" t="s">
        <v>496</v>
      </c>
      <c r="V187" s="252" t="s">
        <v>496</v>
      </c>
      <c r="W187" s="252" t="s">
        <v>496</v>
      </c>
      <c r="X187" s="252" t="s">
        <v>496</v>
      </c>
      <c r="Y187" s="252" t="s">
        <v>496</v>
      </c>
      <c r="Z187" s="252" t="s">
        <v>496</v>
      </c>
      <c r="AA187" s="251" t="s">
        <v>833</v>
      </c>
    </row>
    <row r="188" spans="1:27">
      <c r="B188" s="251" t="s">
        <v>578</v>
      </c>
      <c r="C188" s="255" t="s">
        <v>256</v>
      </c>
      <c r="D188" s="256">
        <v>50</v>
      </c>
      <c r="E188" s="251" t="s">
        <v>544</v>
      </c>
      <c r="F188" s="256">
        <v>12.7</v>
      </c>
      <c r="G188" s="254">
        <v>44952</v>
      </c>
      <c r="H188" s="251" t="s">
        <v>1669</v>
      </c>
      <c r="I188" s="251" t="s">
        <v>1662</v>
      </c>
      <c r="J188" s="251" t="s">
        <v>614</v>
      </c>
      <c r="K188" s="251" t="s">
        <v>708</v>
      </c>
      <c r="L188" s="251">
        <v>2021</v>
      </c>
      <c r="N188" s="251" t="s">
        <v>1664</v>
      </c>
      <c r="O188" s="252" t="s">
        <v>549</v>
      </c>
      <c r="P188" s="252">
        <v>5</v>
      </c>
      <c r="Q188" s="252" t="s">
        <v>1668</v>
      </c>
      <c r="R188" s="252" t="s">
        <v>496</v>
      </c>
      <c r="S188" s="252" t="s">
        <v>496</v>
      </c>
      <c r="T188" s="252" t="s">
        <v>496</v>
      </c>
      <c r="U188" s="252" t="s">
        <v>496</v>
      </c>
      <c r="V188" s="252" t="s">
        <v>496</v>
      </c>
      <c r="W188" s="252" t="s">
        <v>496</v>
      </c>
      <c r="X188" s="252" t="s">
        <v>496</v>
      </c>
      <c r="Y188" s="252" t="s">
        <v>496</v>
      </c>
      <c r="Z188" s="252" t="s">
        <v>496</v>
      </c>
      <c r="AA188" s="251" t="s">
        <v>1110</v>
      </c>
    </row>
    <row r="189" spans="1:27">
      <c r="B189" s="64" t="s">
        <v>704</v>
      </c>
      <c r="C189" s="190" t="s">
        <v>256</v>
      </c>
      <c r="D189" s="188">
        <v>50</v>
      </c>
      <c r="E189" s="64" t="s">
        <v>549</v>
      </c>
      <c r="F189" s="188">
        <v>13</v>
      </c>
      <c r="G189" s="202">
        <v>44896</v>
      </c>
      <c r="H189" s="64" t="s">
        <v>1698</v>
      </c>
      <c r="I189" s="251" t="s">
        <v>1695</v>
      </c>
      <c r="J189" s="64" t="s">
        <v>614</v>
      </c>
      <c r="K189" s="64" t="s">
        <v>685</v>
      </c>
      <c r="L189" s="64">
        <v>2019</v>
      </c>
      <c r="N189" s="251" t="s">
        <v>1697</v>
      </c>
      <c r="O189" s="252" t="s">
        <v>669</v>
      </c>
      <c r="P189" s="252">
        <v>1</v>
      </c>
      <c r="Q189" s="252" t="s">
        <v>496</v>
      </c>
      <c r="R189" s="252" t="s">
        <v>496</v>
      </c>
      <c r="S189" s="252" t="s">
        <v>496</v>
      </c>
      <c r="T189" s="252" t="s">
        <v>496</v>
      </c>
      <c r="U189" s="252" t="s">
        <v>496</v>
      </c>
      <c r="V189" s="252" t="s">
        <v>496</v>
      </c>
      <c r="W189" s="252" t="s">
        <v>496</v>
      </c>
      <c r="X189" s="252" t="s">
        <v>496</v>
      </c>
      <c r="Y189" s="252" t="s">
        <v>496</v>
      </c>
      <c r="Z189" s="252" t="s">
        <v>496</v>
      </c>
      <c r="AA189" s="251" t="s">
        <v>1694</v>
      </c>
    </row>
    <row r="190" spans="1:27">
      <c r="B190" s="251" t="s">
        <v>707</v>
      </c>
      <c r="C190" s="255" t="s">
        <v>256</v>
      </c>
      <c r="D190" s="256">
        <v>50</v>
      </c>
      <c r="E190" s="251" t="s">
        <v>544</v>
      </c>
      <c r="F190" s="256">
        <v>12.6</v>
      </c>
      <c r="G190" s="254">
        <v>44579</v>
      </c>
      <c r="H190" s="251" t="s">
        <v>1008</v>
      </c>
      <c r="I190" s="251" t="s">
        <v>1726</v>
      </c>
      <c r="J190" s="251" t="s">
        <v>614</v>
      </c>
      <c r="K190" s="251" t="s">
        <v>636</v>
      </c>
      <c r="L190" s="251">
        <v>2020</v>
      </c>
      <c r="N190" s="251" t="s">
        <v>1731</v>
      </c>
      <c r="O190" s="252" t="s">
        <v>549</v>
      </c>
      <c r="P190" s="252">
        <v>3</v>
      </c>
      <c r="Q190" s="252" t="s">
        <v>1730</v>
      </c>
      <c r="R190" s="251" t="s">
        <v>496</v>
      </c>
      <c r="S190" s="251" t="s">
        <v>496</v>
      </c>
      <c r="T190" s="251" t="s">
        <v>496</v>
      </c>
      <c r="U190" s="251" t="s">
        <v>496</v>
      </c>
      <c r="V190" s="251" t="s">
        <v>496</v>
      </c>
      <c r="W190" s="251" t="s">
        <v>496</v>
      </c>
      <c r="X190" s="251" t="s">
        <v>496</v>
      </c>
      <c r="Y190" s="251" t="s">
        <v>496</v>
      </c>
      <c r="Z190" s="251" t="s">
        <v>496</v>
      </c>
      <c r="AA190" s="251" t="s">
        <v>834</v>
      </c>
    </row>
    <row r="191" spans="1:27">
      <c r="B191" s="251" t="s">
        <v>705</v>
      </c>
      <c r="C191" s="255" t="s">
        <v>256</v>
      </c>
      <c r="D191" s="256">
        <v>50</v>
      </c>
      <c r="E191" s="251" t="s">
        <v>544</v>
      </c>
      <c r="F191" s="256">
        <v>12.5</v>
      </c>
      <c r="G191" s="254">
        <v>45005</v>
      </c>
      <c r="H191" s="251" t="s">
        <v>1705</v>
      </c>
      <c r="J191" s="251" t="s">
        <v>614</v>
      </c>
      <c r="K191" s="251" t="s">
        <v>636</v>
      </c>
      <c r="L191" s="251">
        <v>2021</v>
      </c>
      <c r="N191" s="251" t="s">
        <v>1704</v>
      </c>
      <c r="O191" s="252" t="s">
        <v>549</v>
      </c>
      <c r="P191" s="252">
        <v>5</v>
      </c>
      <c r="Q191" s="252" t="s">
        <v>1707</v>
      </c>
      <c r="R191" s="252" t="s">
        <v>496</v>
      </c>
      <c r="S191" s="252" t="s">
        <v>496</v>
      </c>
      <c r="T191" s="252" t="s">
        <v>496</v>
      </c>
      <c r="U191" s="252" t="s">
        <v>496</v>
      </c>
      <c r="V191" s="252" t="s">
        <v>496</v>
      </c>
      <c r="W191" s="252" t="s">
        <v>496</v>
      </c>
      <c r="X191" s="252" t="s">
        <v>496</v>
      </c>
      <c r="Y191" s="252" t="s">
        <v>496</v>
      </c>
      <c r="Z191" s="252" t="s">
        <v>496</v>
      </c>
      <c r="AA191" s="251" t="s">
        <v>1703</v>
      </c>
    </row>
    <row r="192" spans="1:27" s="64" customFormat="1">
      <c r="B192" s="64" t="s">
        <v>706</v>
      </c>
      <c r="C192" s="190" t="s">
        <v>256</v>
      </c>
      <c r="D192" s="188">
        <v>50</v>
      </c>
      <c r="E192" s="64" t="s">
        <v>544</v>
      </c>
      <c r="F192" s="188">
        <v>12.5</v>
      </c>
      <c r="G192" s="202">
        <v>44978</v>
      </c>
      <c r="H192" s="64" t="s">
        <v>1710</v>
      </c>
      <c r="I192" s="64" t="s">
        <v>1708</v>
      </c>
      <c r="J192" s="64" t="s">
        <v>614</v>
      </c>
      <c r="K192" s="64" t="s">
        <v>636</v>
      </c>
      <c r="L192" s="64">
        <v>2019</v>
      </c>
      <c r="N192" s="64" t="s">
        <v>1709</v>
      </c>
      <c r="O192" s="204" t="s">
        <v>549</v>
      </c>
      <c r="P192" s="204" t="s">
        <v>496</v>
      </c>
      <c r="Q192" s="204" t="s">
        <v>740</v>
      </c>
      <c r="R192" s="204" t="s">
        <v>496</v>
      </c>
      <c r="S192" s="204" t="s">
        <v>496</v>
      </c>
      <c r="T192" s="204" t="s">
        <v>496</v>
      </c>
      <c r="U192" s="204" t="s">
        <v>496</v>
      </c>
      <c r="V192" s="204" t="s">
        <v>496</v>
      </c>
      <c r="W192" s="204" t="s">
        <v>496</v>
      </c>
      <c r="X192" s="204" t="s">
        <v>496</v>
      </c>
      <c r="Y192" s="204" t="s">
        <v>496</v>
      </c>
      <c r="Z192" s="204" t="s">
        <v>496</v>
      </c>
      <c r="AA192" s="64" t="s">
        <v>834</v>
      </c>
    </row>
    <row r="193" spans="2:27">
      <c r="B193" s="251" t="s">
        <v>711</v>
      </c>
      <c r="C193" s="255" t="s">
        <v>256</v>
      </c>
      <c r="D193" s="256">
        <v>50</v>
      </c>
      <c r="E193" s="251" t="s">
        <v>544</v>
      </c>
      <c r="F193" s="256">
        <v>12.8</v>
      </c>
      <c r="G193" s="254">
        <v>44698</v>
      </c>
      <c r="H193" s="251" t="s">
        <v>1746</v>
      </c>
      <c r="J193" s="251" t="s">
        <v>614</v>
      </c>
      <c r="K193" s="251" t="s">
        <v>636</v>
      </c>
      <c r="L193" s="251">
        <v>2020</v>
      </c>
      <c r="N193" s="251" t="s">
        <v>1741</v>
      </c>
      <c r="O193" s="252" t="s">
        <v>549</v>
      </c>
      <c r="P193" s="252">
        <v>5.5</v>
      </c>
      <c r="Q193" s="252" t="s">
        <v>1744</v>
      </c>
      <c r="R193" s="251" t="s">
        <v>496</v>
      </c>
      <c r="S193" s="251" t="s">
        <v>496</v>
      </c>
      <c r="T193" s="251" t="s">
        <v>496</v>
      </c>
      <c r="U193" s="251" t="s">
        <v>496</v>
      </c>
      <c r="V193" s="251" t="s">
        <v>496</v>
      </c>
      <c r="W193" s="251" t="s">
        <v>496</v>
      </c>
      <c r="X193" s="251" t="s">
        <v>496</v>
      </c>
      <c r="Y193" s="251" t="s">
        <v>496</v>
      </c>
      <c r="Z193" s="251" t="s">
        <v>496</v>
      </c>
      <c r="AA193" s="251" t="s">
        <v>834</v>
      </c>
    </row>
    <row r="194" spans="2:27">
      <c r="B194" s="251" t="s">
        <v>713</v>
      </c>
      <c r="C194" s="255" t="s">
        <v>256</v>
      </c>
      <c r="D194" s="256">
        <v>50</v>
      </c>
      <c r="E194" s="251" t="s">
        <v>544</v>
      </c>
      <c r="F194" s="256">
        <v>12.5</v>
      </c>
      <c r="G194" s="254">
        <v>43391</v>
      </c>
      <c r="H194" s="251" t="s">
        <v>1789</v>
      </c>
      <c r="I194" s="251" t="s">
        <v>1788</v>
      </c>
      <c r="J194" s="251" t="s">
        <v>614</v>
      </c>
      <c r="K194" s="251" t="s">
        <v>636</v>
      </c>
      <c r="L194" s="251">
        <v>2018</v>
      </c>
      <c r="N194" s="251" t="s">
        <v>1795</v>
      </c>
      <c r="O194" s="252" t="s">
        <v>549</v>
      </c>
      <c r="P194" s="252">
        <v>2</v>
      </c>
      <c r="Q194" s="252" t="s">
        <v>1794</v>
      </c>
      <c r="R194" s="252" t="s">
        <v>496</v>
      </c>
      <c r="S194" s="252" t="s">
        <v>496</v>
      </c>
      <c r="T194" s="252" t="s">
        <v>496</v>
      </c>
      <c r="U194" s="252" t="s">
        <v>496</v>
      </c>
      <c r="V194" s="252" t="s">
        <v>496</v>
      </c>
      <c r="W194" s="252" t="s">
        <v>496</v>
      </c>
      <c r="X194" s="252" t="s">
        <v>496</v>
      </c>
      <c r="Y194" s="252" t="s">
        <v>496</v>
      </c>
      <c r="Z194" s="252" t="s">
        <v>496</v>
      </c>
      <c r="AA194" s="251" t="s">
        <v>1787</v>
      </c>
    </row>
    <row r="195" spans="2:27">
      <c r="B195" s="251" t="s">
        <v>712</v>
      </c>
      <c r="C195" s="255" t="s">
        <v>256</v>
      </c>
      <c r="D195" s="256">
        <v>50</v>
      </c>
      <c r="E195" s="251" t="s">
        <v>544</v>
      </c>
      <c r="F195" s="256">
        <v>13</v>
      </c>
      <c r="G195" s="254">
        <v>44642</v>
      </c>
      <c r="H195" s="251" t="s">
        <v>1781</v>
      </c>
      <c r="I195" s="251" t="s">
        <v>1780</v>
      </c>
      <c r="J195" s="251" t="s">
        <v>614</v>
      </c>
      <c r="K195" s="251" t="s">
        <v>636</v>
      </c>
      <c r="L195" s="251">
        <v>2019</v>
      </c>
      <c r="N195" s="251" t="s">
        <v>1783</v>
      </c>
      <c r="O195" s="252" t="s">
        <v>549</v>
      </c>
      <c r="P195" s="252">
        <v>3.5</v>
      </c>
      <c r="Q195" s="252" t="s">
        <v>2378</v>
      </c>
      <c r="R195" s="252" t="s">
        <v>669</v>
      </c>
      <c r="S195" s="252">
        <v>1</v>
      </c>
      <c r="T195" s="252" t="s">
        <v>2379</v>
      </c>
      <c r="U195" s="252" t="s">
        <v>496</v>
      </c>
      <c r="V195" s="252" t="s">
        <v>496</v>
      </c>
      <c r="W195" s="252" t="s">
        <v>496</v>
      </c>
      <c r="X195" s="252" t="s">
        <v>496</v>
      </c>
      <c r="Y195" s="252" t="s">
        <v>496</v>
      </c>
      <c r="Z195" s="252" t="s">
        <v>496</v>
      </c>
      <c r="AA195" s="251" t="s">
        <v>1779</v>
      </c>
    </row>
    <row r="196" spans="2:27">
      <c r="B196" s="251" t="s">
        <v>714</v>
      </c>
      <c r="C196" s="255" t="s">
        <v>256</v>
      </c>
      <c r="D196" s="256">
        <v>50</v>
      </c>
      <c r="E196" s="251" t="s">
        <v>549</v>
      </c>
      <c r="F196" s="256">
        <v>12.25</v>
      </c>
      <c r="G196" s="254">
        <v>44622</v>
      </c>
      <c r="H196" s="251" t="s">
        <v>1797</v>
      </c>
      <c r="I196" s="251" t="s">
        <v>1796</v>
      </c>
      <c r="J196" s="251" t="s">
        <v>614</v>
      </c>
      <c r="K196" s="251" t="s">
        <v>636</v>
      </c>
      <c r="L196" s="251">
        <v>2019</v>
      </c>
      <c r="M196" s="251" t="s">
        <v>1799</v>
      </c>
      <c r="N196" s="251" t="s">
        <v>1798</v>
      </c>
      <c r="O196" s="252" t="s">
        <v>549</v>
      </c>
      <c r="P196" s="252">
        <v>3.8</v>
      </c>
      <c r="Q196" s="252" t="s">
        <v>496</v>
      </c>
      <c r="R196" s="252" t="s">
        <v>496</v>
      </c>
      <c r="S196" s="252" t="s">
        <v>496</v>
      </c>
      <c r="T196" s="252" t="s">
        <v>496</v>
      </c>
      <c r="U196" s="252" t="s">
        <v>496</v>
      </c>
      <c r="V196" s="252" t="s">
        <v>496</v>
      </c>
      <c r="W196" s="252" t="s">
        <v>496</v>
      </c>
      <c r="X196" s="252" t="s">
        <v>496</v>
      </c>
      <c r="Y196" s="252" t="s">
        <v>496</v>
      </c>
      <c r="Z196" s="252" t="s">
        <v>496</v>
      </c>
      <c r="AA196" s="251" t="s">
        <v>834</v>
      </c>
    </row>
    <row r="197" spans="2:27">
      <c r="B197" s="251" t="s">
        <v>502</v>
      </c>
      <c r="C197" s="255" t="s">
        <v>256</v>
      </c>
      <c r="D197" s="256">
        <v>50</v>
      </c>
      <c r="E197" s="251" t="s">
        <v>544</v>
      </c>
      <c r="F197" s="256">
        <v>12</v>
      </c>
      <c r="G197" s="254">
        <v>44340</v>
      </c>
      <c r="H197" s="251" t="s">
        <v>2369</v>
      </c>
      <c r="I197" s="251" t="s">
        <v>2367</v>
      </c>
      <c r="J197" s="251" t="s">
        <v>614</v>
      </c>
      <c r="K197" s="251" t="s">
        <v>633</v>
      </c>
      <c r="L197" s="251">
        <v>2014</v>
      </c>
      <c r="N197" s="251" t="s">
        <v>2368</v>
      </c>
      <c r="O197" s="252" t="s">
        <v>549</v>
      </c>
      <c r="P197" s="252">
        <v>4</v>
      </c>
      <c r="Q197" s="252" t="s">
        <v>2370</v>
      </c>
      <c r="R197" s="252" t="s">
        <v>549</v>
      </c>
      <c r="S197" s="252">
        <v>1.7</v>
      </c>
      <c r="T197" s="252" t="s">
        <v>2371</v>
      </c>
      <c r="U197" s="252" t="s">
        <v>549</v>
      </c>
      <c r="V197" s="252" t="s">
        <v>496</v>
      </c>
      <c r="W197" s="252" t="s">
        <v>2372</v>
      </c>
      <c r="X197" s="252" t="s">
        <v>549</v>
      </c>
      <c r="Y197" s="252" t="s">
        <v>496</v>
      </c>
      <c r="Z197" s="252" t="s">
        <v>2373</v>
      </c>
      <c r="AA197" s="251" t="s">
        <v>2366</v>
      </c>
    </row>
    <row r="198" spans="2:27">
      <c r="B198" s="251" t="s">
        <v>715</v>
      </c>
      <c r="C198" s="255" t="s">
        <v>256</v>
      </c>
      <c r="D198" s="256">
        <v>50</v>
      </c>
      <c r="E198" s="251" t="s">
        <v>544</v>
      </c>
      <c r="F198" s="256">
        <v>12</v>
      </c>
      <c r="G198" s="254">
        <v>44677</v>
      </c>
      <c r="H198" s="251" t="s">
        <v>1772</v>
      </c>
      <c r="I198" s="251" t="s">
        <v>1773</v>
      </c>
      <c r="J198" s="251" t="s">
        <v>614</v>
      </c>
      <c r="K198" s="251" t="s">
        <v>636</v>
      </c>
      <c r="L198" s="251">
        <v>2019</v>
      </c>
      <c r="N198" s="251" t="s">
        <v>1777</v>
      </c>
      <c r="O198" s="252" t="s">
        <v>549</v>
      </c>
      <c r="P198" s="252">
        <v>8</v>
      </c>
      <c r="Q198" s="251" t="s">
        <v>1774</v>
      </c>
      <c r="R198" s="252" t="s">
        <v>496</v>
      </c>
      <c r="S198" s="252" t="s">
        <v>496</v>
      </c>
      <c r="T198" s="252" t="s">
        <v>496</v>
      </c>
      <c r="U198" s="252" t="s">
        <v>496</v>
      </c>
      <c r="V198" s="252" t="s">
        <v>496</v>
      </c>
      <c r="W198" s="252" t="s">
        <v>496</v>
      </c>
      <c r="X198" s="252" t="s">
        <v>496</v>
      </c>
      <c r="Y198" s="252" t="s">
        <v>496</v>
      </c>
      <c r="Z198" s="252" t="s">
        <v>496</v>
      </c>
      <c r="AA198" s="251" t="s">
        <v>834</v>
      </c>
    </row>
    <row r="199" spans="2:27">
      <c r="B199" s="251" t="s">
        <v>716</v>
      </c>
      <c r="C199" s="255" t="s">
        <v>256</v>
      </c>
      <c r="D199" s="256">
        <v>50</v>
      </c>
      <c r="E199" s="251" t="s">
        <v>544</v>
      </c>
      <c r="F199" s="256">
        <v>12</v>
      </c>
      <c r="G199" s="254">
        <v>44860</v>
      </c>
      <c r="H199" s="251" t="s">
        <v>689</v>
      </c>
      <c r="I199" s="251" t="s">
        <v>1807</v>
      </c>
      <c r="J199" s="251" t="s">
        <v>614</v>
      </c>
      <c r="K199" s="251" t="s">
        <v>636</v>
      </c>
      <c r="L199" s="251">
        <v>2020</v>
      </c>
      <c r="M199" s="251" t="s">
        <v>1835</v>
      </c>
      <c r="N199" s="251" t="s">
        <v>1808</v>
      </c>
      <c r="O199" s="252" t="s">
        <v>549</v>
      </c>
      <c r="P199" s="252">
        <v>2.8</v>
      </c>
      <c r="Q199" s="252" t="s">
        <v>1836</v>
      </c>
      <c r="R199" s="252" t="s">
        <v>496</v>
      </c>
      <c r="S199" s="252" t="s">
        <v>496</v>
      </c>
      <c r="T199" s="252" t="s">
        <v>496</v>
      </c>
      <c r="U199" s="252" t="s">
        <v>496</v>
      </c>
      <c r="V199" s="252" t="s">
        <v>496</v>
      </c>
      <c r="W199" s="252" t="s">
        <v>496</v>
      </c>
      <c r="X199" s="252" t="s">
        <v>496</v>
      </c>
      <c r="Y199" s="252" t="s">
        <v>496</v>
      </c>
      <c r="Z199" s="252" t="s">
        <v>496</v>
      </c>
      <c r="AA199" s="251" t="s">
        <v>1806</v>
      </c>
    </row>
    <row r="200" spans="2:27">
      <c r="B200" s="251" t="s">
        <v>465</v>
      </c>
      <c r="C200" s="255" t="s">
        <v>256</v>
      </c>
      <c r="D200" s="256">
        <v>50</v>
      </c>
      <c r="E200" s="251" t="s">
        <v>544</v>
      </c>
      <c r="F200" s="256">
        <v>12</v>
      </c>
      <c r="G200" s="254">
        <v>44971</v>
      </c>
      <c r="H200" s="251" t="s">
        <v>1767</v>
      </c>
      <c r="I200" s="251" t="s">
        <v>1766</v>
      </c>
      <c r="J200" s="251" t="s">
        <v>614</v>
      </c>
      <c r="K200" s="251" t="s">
        <v>636</v>
      </c>
      <c r="L200" s="251">
        <v>2022</v>
      </c>
      <c r="N200" s="251" t="s">
        <v>1768</v>
      </c>
      <c r="O200" s="252" t="s">
        <v>549</v>
      </c>
      <c r="P200" s="252">
        <v>5</v>
      </c>
      <c r="Q200" s="252" t="s">
        <v>1770</v>
      </c>
      <c r="R200" s="252" t="s">
        <v>496</v>
      </c>
      <c r="S200" s="252" t="s">
        <v>496</v>
      </c>
      <c r="T200" s="252" t="s">
        <v>496</v>
      </c>
      <c r="U200" s="252" t="s">
        <v>496</v>
      </c>
      <c r="V200" s="252" t="s">
        <v>496</v>
      </c>
      <c r="W200" s="252" t="s">
        <v>496</v>
      </c>
      <c r="X200" s="252" t="s">
        <v>496</v>
      </c>
      <c r="Y200" s="252" t="s">
        <v>496</v>
      </c>
      <c r="Z200" s="252" t="s">
        <v>496</v>
      </c>
      <c r="AA200" s="251" t="s">
        <v>1771</v>
      </c>
    </row>
    <row r="201" spans="2:27">
      <c r="B201" s="251" t="s">
        <v>719</v>
      </c>
      <c r="C201" s="255" t="s">
        <v>256</v>
      </c>
      <c r="D201" s="256">
        <v>50</v>
      </c>
      <c r="E201" s="251" t="s">
        <v>544</v>
      </c>
      <c r="F201" s="256">
        <v>11</v>
      </c>
      <c r="G201" s="254">
        <v>44483</v>
      </c>
      <c r="H201" s="251" t="s">
        <v>720</v>
      </c>
      <c r="I201" s="251" t="s">
        <v>1847</v>
      </c>
      <c r="J201" s="251" t="s">
        <v>614</v>
      </c>
      <c r="K201" s="251" t="s">
        <v>721</v>
      </c>
      <c r="L201" s="251">
        <v>2020</v>
      </c>
      <c r="N201" s="251" t="s">
        <v>1848</v>
      </c>
      <c r="O201" s="252" t="s">
        <v>549</v>
      </c>
      <c r="P201" s="252">
        <v>2.9</v>
      </c>
      <c r="Q201" s="252" t="s">
        <v>1850</v>
      </c>
      <c r="R201" s="252" t="s">
        <v>669</v>
      </c>
      <c r="S201" s="252" t="s">
        <v>496</v>
      </c>
      <c r="T201" s="252" t="s">
        <v>1851</v>
      </c>
      <c r="U201" s="252" t="s">
        <v>496</v>
      </c>
      <c r="V201" s="252" t="s">
        <v>496</v>
      </c>
      <c r="W201" s="252" t="s">
        <v>496</v>
      </c>
      <c r="X201" s="252" t="s">
        <v>496</v>
      </c>
      <c r="Y201" s="252" t="s">
        <v>496</v>
      </c>
      <c r="Z201" s="252" t="s">
        <v>496</v>
      </c>
      <c r="AA201" s="251" t="s">
        <v>1846</v>
      </c>
    </row>
    <row r="202" spans="2:27">
      <c r="B202" s="251" t="s">
        <v>717</v>
      </c>
      <c r="C202" s="255" t="s">
        <v>256</v>
      </c>
      <c r="D202" s="256">
        <v>50</v>
      </c>
      <c r="E202" s="251" t="s">
        <v>544</v>
      </c>
      <c r="F202" s="256">
        <v>11</v>
      </c>
      <c r="G202" s="254">
        <v>44959</v>
      </c>
      <c r="H202" s="251" t="s">
        <v>718</v>
      </c>
      <c r="I202" s="251" t="s">
        <v>1845</v>
      </c>
      <c r="J202" s="251" t="s">
        <v>614</v>
      </c>
      <c r="K202" s="251" t="s">
        <v>721</v>
      </c>
      <c r="L202" s="251">
        <v>2020</v>
      </c>
      <c r="N202" s="251" t="s">
        <v>1839</v>
      </c>
      <c r="O202" s="252" t="s">
        <v>549</v>
      </c>
      <c r="P202" s="252">
        <v>2.2000000000000002</v>
      </c>
      <c r="Q202" s="252" t="s">
        <v>1842</v>
      </c>
      <c r="R202" s="252" t="s">
        <v>496</v>
      </c>
      <c r="S202" s="252" t="s">
        <v>496</v>
      </c>
      <c r="T202" s="252" t="s">
        <v>496</v>
      </c>
      <c r="U202" s="252" t="s">
        <v>496</v>
      </c>
      <c r="V202" s="252" t="s">
        <v>496</v>
      </c>
      <c r="W202" s="252" t="s">
        <v>496</v>
      </c>
      <c r="X202" s="252" t="s">
        <v>496</v>
      </c>
      <c r="Y202" s="252" t="s">
        <v>496</v>
      </c>
      <c r="Z202" s="252" t="s">
        <v>496</v>
      </c>
      <c r="AA202" s="251" t="s">
        <v>1110</v>
      </c>
    </row>
    <row r="203" spans="2:27">
      <c r="B203" s="251" t="s">
        <v>722</v>
      </c>
      <c r="C203" s="255" t="s">
        <v>256</v>
      </c>
      <c r="D203" s="256">
        <v>50</v>
      </c>
      <c r="E203" s="251" t="s">
        <v>544</v>
      </c>
      <c r="F203" s="256">
        <v>10.6</v>
      </c>
      <c r="G203" s="254">
        <v>44819</v>
      </c>
      <c r="H203" s="251" t="s">
        <v>1852</v>
      </c>
      <c r="I203" s="251" t="s">
        <v>1854</v>
      </c>
      <c r="J203" s="251" t="s">
        <v>614</v>
      </c>
      <c r="K203" s="251" t="s">
        <v>639</v>
      </c>
      <c r="L203" s="251">
        <v>2019</v>
      </c>
      <c r="N203" s="251" t="s">
        <v>1855</v>
      </c>
      <c r="O203" s="252" t="s">
        <v>549</v>
      </c>
      <c r="P203" s="252">
        <v>1.5</v>
      </c>
      <c r="Q203" s="252" t="s">
        <v>1861</v>
      </c>
      <c r="R203" s="252" t="s">
        <v>669</v>
      </c>
      <c r="S203" s="252">
        <v>0.1</v>
      </c>
      <c r="T203" s="252" t="s">
        <v>1860</v>
      </c>
      <c r="U203" s="252" t="s">
        <v>496</v>
      </c>
      <c r="V203" s="252" t="s">
        <v>496</v>
      </c>
      <c r="W203" s="252" t="s">
        <v>496</v>
      </c>
      <c r="X203" s="252" t="s">
        <v>496</v>
      </c>
      <c r="Y203" s="252" t="s">
        <v>496</v>
      </c>
      <c r="Z203" s="252" t="s">
        <v>496</v>
      </c>
      <c r="AA203" s="251" t="s">
        <v>1853</v>
      </c>
    </row>
    <row r="204" spans="2:27">
      <c r="B204" s="251" t="s">
        <v>584</v>
      </c>
      <c r="C204" s="255" t="s">
        <v>256</v>
      </c>
      <c r="D204" s="256">
        <v>50</v>
      </c>
      <c r="E204" s="251" t="s">
        <v>549</v>
      </c>
      <c r="F204" s="256">
        <v>10.6</v>
      </c>
      <c r="G204" s="254">
        <v>45007</v>
      </c>
      <c r="H204" s="251" t="s">
        <v>723</v>
      </c>
      <c r="I204" s="251" t="s">
        <v>1862</v>
      </c>
      <c r="J204" s="251" t="s">
        <v>614</v>
      </c>
      <c r="K204" s="251" t="s">
        <v>461</v>
      </c>
      <c r="L204" s="251">
        <v>2022</v>
      </c>
      <c r="N204" s="251" t="s">
        <v>1864</v>
      </c>
      <c r="O204" s="252" t="s">
        <v>496</v>
      </c>
      <c r="P204" s="252" t="s">
        <v>496</v>
      </c>
      <c r="Q204" s="252" t="s">
        <v>496</v>
      </c>
      <c r="R204" s="252" t="s">
        <v>496</v>
      </c>
      <c r="S204" s="252" t="s">
        <v>496</v>
      </c>
      <c r="T204" s="252" t="s">
        <v>496</v>
      </c>
      <c r="U204" s="252" t="s">
        <v>496</v>
      </c>
      <c r="V204" s="252" t="s">
        <v>496</v>
      </c>
      <c r="W204" s="252" t="s">
        <v>496</v>
      </c>
      <c r="X204" s="252" t="s">
        <v>496</v>
      </c>
      <c r="Y204" s="252" t="s">
        <v>496</v>
      </c>
      <c r="Z204" s="252" t="s">
        <v>496</v>
      </c>
      <c r="AA204" s="251" t="s">
        <v>933</v>
      </c>
    </row>
    <row r="205" spans="2:27">
      <c r="B205" s="251" t="s">
        <v>724</v>
      </c>
      <c r="C205" s="255" t="s">
        <v>256</v>
      </c>
      <c r="D205" s="256">
        <v>50</v>
      </c>
      <c r="E205" s="251" t="s">
        <v>549</v>
      </c>
      <c r="F205" s="256">
        <v>10.5</v>
      </c>
      <c r="G205" s="254">
        <v>44984</v>
      </c>
      <c r="H205" s="251" t="s">
        <v>725</v>
      </c>
      <c r="I205" s="251" t="s">
        <v>1866</v>
      </c>
      <c r="J205" s="251" t="s">
        <v>614</v>
      </c>
      <c r="K205" s="251" t="s">
        <v>543</v>
      </c>
      <c r="L205" s="251">
        <v>2019</v>
      </c>
      <c r="N205" s="251" t="s">
        <v>1867</v>
      </c>
      <c r="O205" s="252" t="s">
        <v>549</v>
      </c>
      <c r="P205" s="252">
        <v>3</v>
      </c>
      <c r="Q205" s="252" t="s">
        <v>1869</v>
      </c>
      <c r="R205" s="252" t="s">
        <v>549</v>
      </c>
      <c r="S205" s="252">
        <v>2</v>
      </c>
      <c r="T205" s="252" t="s">
        <v>1871</v>
      </c>
      <c r="U205" s="252" t="s">
        <v>669</v>
      </c>
      <c r="V205" s="252">
        <v>0.6</v>
      </c>
      <c r="W205" s="252" t="s">
        <v>496</v>
      </c>
      <c r="X205" s="252" t="s">
        <v>496</v>
      </c>
      <c r="Y205" s="252" t="s">
        <v>496</v>
      </c>
      <c r="Z205" s="252" t="s">
        <v>496</v>
      </c>
      <c r="AA205" s="251" t="s">
        <v>833</v>
      </c>
    </row>
    <row r="206" spans="2:27">
      <c r="B206" s="251" t="s">
        <v>596</v>
      </c>
      <c r="C206" s="255" t="s">
        <v>256</v>
      </c>
      <c r="D206" s="256">
        <v>50</v>
      </c>
      <c r="E206" s="251" t="s">
        <v>549</v>
      </c>
      <c r="F206" s="256">
        <v>10</v>
      </c>
      <c r="G206" s="254">
        <v>44887</v>
      </c>
      <c r="H206" s="251" t="s">
        <v>2248</v>
      </c>
      <c r="I206" s="251" t="s">
        <v>2247</v>
      </c>
      <c r="J206" s="251" t="s">
        <v>614</v>
      </c>
      <c r="K206" s="251" t="s">
        <v>430</v>
      </c>
      <c r="L206" s="251">
        <v>2021</v>
      </c>
      <c r="N206" s="251" t="s">
        <v>2249</v>
      </c>
      <c r="O206" s="252" t="s">
        <v>496</v>
      </c>
      <c r="P206" s="252" t="s">
        <v>496</v>
      </c>
      <c r="Q206" s="252" t="s">
        <v>496</v>
      </c>
      <c r="R206" s="252" t="s">
        <v>496</v>
      </c>
      <c r="S206" s="252" t="s">
        <v>496</v>
      </c>
      <c r="T206" s="252" t="s">
        <v>496</v>
      </c>
      <c r="U206" s="252" t="s">
        <v>496</v>
      </c>
      <c r="V206" s="252" t="s">
        <v>496</v>
      </c>
      <c r="W206" s="252" t="s">
        <v>496</v>
      </c>
      <c r="X206" s="252" t="s">
        <v>496</v>
      </c>
      <c r="Y206" s="252" t="s">
        <v>496</v>
      </c>
      <c r="Z206" s="252" t="s">
        <v>496</v>
      </c>
      <c r="AA206" s="251" t="s">
        <v>1110</v>
      </c>
    </row>
    <row r="207" spans="2:27">
      <c r="B207" s="251" t="s">
        <v>585</v>
      </c>
      <c r="C207" s="255" t="s">
        <v>256</v>
      </c>
      <c r="D207" s="256">
        <v>50</v>
      </c>
      <c r="E207" s="251" t="s">
        <v>549</v>
      </c>
      <c r="F207" s="256">
        <v>10</v>
      </c>
      <c r="G207" s="254">
        <v>44858</v>
      </c>
      <c r="H207" s="251" t="s">
        <v>1753</v>
      </c>
      <c r="I207" s="251" t="s">
        <v>1748</v>
      </c>
      <c r="J207" s="251" t="s">
        <v>613</v>
      </c>
      <c r="K207" s="251" t="s">
        <v>733</v>
      </c>
      <c r="L207" s="251">
        <v>2021</v>
      </c>
      <c r="N207" s="251" t="s">
        <v>1752</v>
      </c>
      <c r="O207" s="252" t="s">
        <v>549</v>
      </c>
      <c r="P207" s="252">
        <v>4.5999999999999996</v>
      </c>
      <c r="Q207" s="252" t="s">
        <v>1754</v>
      </c>
      <c r="R207" s="252" t="s">
        <v>496</v>
      </c>
      <c r="S207" s="252" t="s">
        <v>496</v>
      </c>
      <c r="T207" s="252" t="s">
        <v>496</v>
      </c>
      <c r="U207" s="252" t="s">
        <v>496</v>
      </c>
      <c r="V207" s="252" t="s">
        <v>496</v>
      </c>
      <c r="W207" s="252" t="s">
        <v>496</v>
      </c>
      <c r="X207" s="252" t="s">
        <v>496</v>
      </c>
      <c r="Y207" s="252" t="s">
        <v>496</v>
      </c>
      <c r="Z207" s="252" t="s">
        <v>496</v>
      </c>
      <c r="AA207" s="251" t="s">
        <v>1747</v>
      </c>
    </row>
    <row r="208" spans="2:27">
      <c r="B208" s="251" t="s">
        <v>1932</v>
      </c>
      <c r="C208" s="255" t="s">
        <v>256</v>
      </c>
      <c r="D208" s="256">
        <v>50</v>
      </c>
      <c r="E208" s="251" t="s">
        <v>544</v>
      </c>
      <c r="F208" s="256">
        <v>10</v>
      </c>
      <c r="G208" s="254">
        <v>44740</v>
      </c>
      <c r="H208" s="251" t="s">
        <v>2726</v>
      </c>
      <c r="I208" s="251" t="s">
        <v>2723</v>
      </c>
      <c r="J208" s="251" t="s">
        <v>614</v>
      </c>
      <c r="K208" s="251" t="s">
        <v>1933</v>
      </c>
      <c r="L208" s="251">
        <v>2016</v>
      </c>
      <c r="N208" s="251" t="s">
        <v>2727</v>
      </c>
      <c r="O208" s="252" t="s">
        <v>549</v>
      </c>
      <c r="P208" s="252">
        <v>4</v>
      </c>
      <c r="Q208" s="252" t="s">
        <v>2733</v>
      </c>
      <c r="R208" s="252" t="s">
        <v>496</v>
      </c>
      <c r="S208" s="252" t="s">
        <v>496</v>
      </c>
      <c r="T208" s="252" t="s">
        <v>496</v>
      </c>
      <c r="U208" s="252" t="s">
        <v>496</v>
      </c>
      <c r="V208" s="252" t="s">
        <v>496</v>
      </c>
      <c r="W208" s="252" t="s">
        <v>496</v>
      </c>
      <c r="X208" s="252" t="s">
        <v>496</v>
      </c>
      <c r="Y208" s="252" t="s">
        <v>496</v>
      </c>
      <c r="Z208" s="252" t="s">
        <v>496</v>
      </c>
      <c r="AA208" s="251" t="s">
        <v>1122</v>
      </c>
    </row>
    <row r="209" spans="1:27">
      <c r="B209" s="251" t="s">
        <v>597</v>
      </c>
      <c r="C209" s="255" t="s">
        <v>256</v>
      </c>
      <c r="D209" s="256">
        <v>50</v>
      </c>
      <c r="E209" s="251" t="s">
        <v>549</v>
      </c>
      <c r="F209" s="256">
        <v>9</v>
      </c>
      <c r="G209" s="254">
        <v>44859</v>
      </c>
      <c r="H209" s="251" t="s">
        <v>2258</v>
      </c>
      <c r="I209" s="251" t="s">
        <v>2256</v>
      </c>
      <c r="J209" s="251" t="s">
        <v>614</v>
      </c>
      <c r="K209" s="251" t="s">
        <v>459</v>
      </c>
      <c r="L209" s="251">
        <v>2021</v>
      </c>
      <c r="M209" s="251" t="s">
        <v>2257</v>
      </c>
      <c r="N209" s="251" t="s">
        <v>2259</v>
      </c>
      <c r="O209" s="252" t="s">
        <v>496</v>
      </c>
      <c r="P209" s="252" t="s">
        <v>496</v>
      </c>
      <c r="Q209" s="252" t="s">
        <v>496</v>
      </c>
      <c r="R209" s="252" t="s">
        <v>496</v>
      </c>
      <c r="S209" s="252" t="s">
        <v>496</v>
      </c>
      <c r="T209" s="252" t="s">
        <v>496</v>
      </c>
      <c r="U209" s="252" t="s">
        <v>496</v>
      </c>
      <c r="V209" s="252" t="s">
        <v>496</v>
      </c>
      <c r="W209" s="252" t="s">
        <v>496</v>
      </c>
      <c r="X209" s="252" t="s">
        <v>496</v>
      </c>
      <c r="Y209" s="252" t="s">
        <v>496</v>
      </c>
      <c r="Z209" s="252" t="s">
        <v>496</v>
      </c>
      <c r="AA209" s="251" t="s">
        <v>933</v>
      </c>
    </row>
    <row r="210" spans="1:27">
      <c r="B210" s="251" t="s">
        <v>1522</v>
      </c>
      <c r="C210" s="255" t="s">
        <v>256</v>
      </c>
      <c r="D210" s="256">
        <v>50</v>
      </c>
      <c r="E210" s="251" t="s">
        <v>544</v>
      </c>
      <c r="F210" s="256">
        <v>8.5</v>
      </c>
      <c r="G210" s="254">
        <v>44307</v>
      </c>
      <c r="H210" s="251" t="s">
        <v>2665</v>
      </c>
      <c r="I210" s="251" t="s">
        <v>2664</v>
      </c>
      <c r="J210" s="251" t="s">
        <v>614</v>
      </c>
      <c r="K210" s="251" t="s">
        <v>2666</v>
      </c>
      <c r="L210" s="251">
        <v>2016</v>
      </c>
      <c r="N210" s="251" t="s">
        <v>2667</v>
      </c>
      <c r="O210" s="252" t="s">
        <v>549</v>
      </c>
      <c r="P210" s="252">
        <v>4.4000000000000004</v>
      </c>
      <c r="Q210" s="252" t="s">
        <v>496</v>
      </c>
      <c r="R210" s="252" t="s">
        <v>496</v>
      </c>
      <c r="S210" s="252" t="s">
        <v>496</v>
      </c>
      <c r="T210" s="252" t="s">
        <v>496</v>
      </c>
      <c r="U210" s="252" t="s">
        <v>496</v>
      </c>
      <c r="V210" s="252" t="s">
        <v>496</v>
      </c>
      <c r="W210" s="252" t="s">
        <v>496</v>
      </c>
      <c r="X210" s="252" t="s">
        <v>496</v>
      </c>
      <c r="Y210" s="252" t="s">
        <v>496</v>
      </c>
      <c r="Z210" s="252" t="s">
        <v>496</v>
      </c>
      <c r="AA210" s="251" t="s">
        <v>2662</v>
      </c>
    </row>
    <row r="211" spans="1:27">
      <c r="B211" s="251" t="s">
        <v>595</v>
      </c>
      <c r="C211" s="255" t="s">
        <v>256</v>
      </c>
      <c r="D211" s="256">
        <v>50</v>
      </c>
      <c r="E211" s="251" t="s">
        <v>549</v>
      </c>
      <c r="F211" s="256">
        <v>8</v>
      </c>
      <c r="G211" s="254">
        <v>44711</v>
      </c>
      <c r="H211" s="251" t="s">
        <v>2243</v>
      </c>
      <c r="I211" s="251" t="s">
        <v>2242</v>
      </c>
      <c r="L211" s="251">
        <v>2021</v>
      </c>
      <c r="M211" s="251" t="s">
        <v>2246</v>
      </c>
      <c r="N211" s="251" t="s">
        <v>2244</v>
      </c>
      <c r="O211" s="252" t="s">
        <v>496</v>
      </c>
      <c r="P211" s="252" t="s">
        <v>496</v>
      </c>
      <c r="Q211" s="252" t="s">
        <v>496</v>
      </c>
      <c r="R211" s="252" t="s">
        <v>496</v>
      </c>
      <c r="S211" s="252" t="s">
        <v>496</v>
      </c>
      <c r="T211" s="252" t="s">
        <v>496</v>
      </c>
      <c r="U211" s="252" t="s">
        <v>496</v>
      </c>
      <c r="V211" s="252" t="s">
        <v>496</v>
      </c>
      <c r="W211" s="252" t="s">
        <v>496</v>
      </c>
      <c r="X211" s="252" t="s">
        <v>496</v>
      </c>
      <c r="Y211" s="252" t="s">
        <v>496</v>
      </c>
      <c r="Z211" s="252" t="s">
        <v>496</v>
      </c>
      <c r="AA211" s="251" t="s">
        <v>933</v>
      </c>
    </row>
    <row r="212" spans="1:27">
      <c r="B212" s="251" t="s">
        <v>2190</v>
      </c>
      <c r="C212" s="255" t="s">
        <v>256</v>
      </c>
      <c r="D212" s="256">
        <v>50</v>
      </c>
      <c r="E212" s="251" t="s">
        <v>544</v>
      </c>
      <c r="F212" s="256">
        <v>8</v>
      </c>
      <c r="G212" s="254">
        <v>45020</v>
      </c>
      <c r="H212" s="251" t="s">
        <v>2192</v>
      </c>
      <c r="J212" s="251" t="s">
        <v>614</v>
      </c>
      <c r="K212" s="251" t="s">
        <v>639</v>
      </c>
      <c r="L212" s="251">
        <v>2019</v>
      </c>
      <c r="N212" s="251" t="s">
        <v>2191</v>
      </c>
      <c r="O212" s="252" t="s">
        <v>496</v>
      </c>
      <c r="P212" s="252" t="s">
        <v>496</v>
      </c>
      <c r="Q212" s="252" t="s">
        <v>496</v>
      </c>
      <c r="R212" s="252" t="s">
        <v>496</v>
      </c>
      <c r="S212" s="252" t="s">
        <v>496</v>
      </c>
      <c r="T212" s="252" t="s">
        <v>496</v>
      </c>
      <c r="U212" s="252" t="s">
        <v>496</v>
      </c>
      <c r="V212" s="252" t="s">
        <v>496</v>
      </c>
      <c r="W212" s="252" t="s">
        <v>496</v>
      </c>
      <c r="X212" s="252" t="s">
        <v>496</v>
      </c>
      <c r="Y212" s="252" t="s">
        <v>496</v>
      </c>
      <c r="Z212" s="252" t="s">
        <v>496</v>
      </c>
      <c r="AA212" s="251" t="s">
        <v>2189</v>
      </c>
    </row>
    <row r="213" spans="1:27">
      <c r="B213" s="251" t="s">
        <v>591</v>
      </c>
      <c r="C213" s="255" t="s">
        <v>256</v>
      </c>
      <c r="D213" s="256">
        <v>50</v>
      </c>
      <c r="E213" s="251" t="s">
        <v>549</v>
      </c>
      <c r="F213" s="256">
        <v>6.8</v>
      </c>
      <c r="G213" s="254">
        <v>44964</v>
      </c>
      <c r="H213" s="251" t="s">
        <v>2197</v>
      </c>
      <c r="I213" s="251" t="s">
        <v>2195</v>
      </c>
      <c r="J213" s="251" t="s">
        <v>614</v>
      </c>
      <c r="K213" s="251" t="s">
        <v>2196</v>
      </c>
      <c r="L213" s="251">
        <v>2021</v>
      </c>
      <c r="N213" s="251" t="s">
        <v>2194</v>
      </c>
      <c r="O213" s="252" t="s">
        <v>549</v>
      </c>
      <c r="P213" s="252">
        <v>1.6</v>
      </c>
      <c r="Q213" s="252" t="s">
        <v>2200</v>
      </c>
      <c r="R213" s="252" t="s">
        <v>496</v>
      </c>
      <c r="S213" s="252" t="s">
        <v>496</v>
      </c>
      <c r="T213" s="252" t="s">
        <v>496</v>
      </c>
      <c r="U213" s="252" t="s">
        <v>496</v>
      </c>
      <c r="V213" s="252" t="s">
        <v>496</v>
      </c>
      <c r="W213" s="252" t="s">
        <v>496</v>
      </c>
      <c r="X213" s="252" t="s">
        <v>496</v>
      </c>
      <c r="Y213" s="252" t="s">
        <v>496</v>
      </c>
      <c r="Z213" s="252" t="s">
        <v>496</v>
      </c>
      <c r="AA213" s="251" t="s">
        <v>2193</v>
      </c>
    </row>
    <row r="214" spans="1:27">
      <c r="B214" s="251" t="s">
        <v>1286</v>
      </c>
      <c r="C214" s="255" t="s">
        <v>256</v>
      </c>
      <c r="D214" s="256">
        <v>50</v>
      </c>
      <c r="E214" s="251" t="s">
        <v>549</v>
      </c>
      <c r="F214" s="256">
        <v>7</v>
      </c>
      <c r="G214" s="254">
        <v>44602</v>
      </c>
      <c r="H214" s="251" t="s">
        <v>2603</v>
      </c>
      <c r="I214" s="251" t="s">
        <v>2602</v>
      </c>
      <c r="J214" s="251" t="s">
        <v>614</v>
      </c>
      <c r="K214" s="251" t="s">
        <v>2604</v>
      </c>
      <c r="L214" s="251">
        <v>2019</v>
      </c>
      <c r="N214" s="251" t="s">
        <v>2605</v>
      </c>
      <c r="O214" s="252" t="s">
        <v>669</v>
      </c>
      <c r="P214" s="252">
        <v>1.1000000000000001</v>
      </c>
      <c r="Q214" s="252" t="s">
        <v>2611</v>
      </c>
      <c r="R214" s="252" t="s">
        <v>496</v>
      </c>
      <c r="S214" s="252" t="s">
        <v>496</v>
      </c>
      <c r="T214" s="252" t="s">
        <v>496</v>
      </c>
      <c r="U214" s="252" t="s">
        <v>496</v>
      </c>
      <c r="V214" s="252" t="s">
        <v>496</v>
      </c>
      <c r="W214" s="252" t="s">
        <v>496</v>
      </c>
      <c r="X214" s="252" t="s">
        <v>496</v>
      </c>
      <c r="Y214" s="252" t="s">
        <v>496</v>
      </c>
      <c r="Z214" s="252" t="s">
        <v>496</v>
      </c>
      <c r="AA214" s="251" t="s">
        <v>844</v>
      </c>
    </row>
    <row r="215" spans="1:27">
      <c r="A215" s="251">
        <f>+A164+1</f>
        <v>81</v>
      </c>
      <c r="B215" s="251" t="s">
        <v>575</v>
      </c>
      <c r="C215" s="255" t="s">
        <v>256</v>
      </c>
      <c r="D215" s="256">
        <v>50</v>
      </c>
      <c r="E215" s="251" t="s">
        <v>549</v>
      </c>
      <c r="F215" s="256">
        <v>4.5</v>
      </c>
      <c r="G215" s="254">
        <v>45056</v>
      </c>
      <c r="H215" s="251" t="s">
        <v>1537</v>
      </c>
      <c r="I215" s="251" t="s">
        <v>1535</v>
      </c>
      <c r="J215" s="251" t="s">
        <v>614</v>
      </c>
      <c r="K215" s="251" t="s">
        <v>1533</v>
      </c>
      <c r="L215" s="251">
        <v>2022</v>
      </c>
      <c r="N215" s="251" t="s">
        <v>1534</v>
      </c>
      <c r="O215" s="252" t="s">
        <v>496</v>
      </c>
      <c r="P215" s="252" t="s">
        <v>496</v>
      </c>
      <c r="Q215" s="252" t="s">
        <v>496</v>
      </c>
      <c r="R215" s="252" t="s">
        <v>496</v>
      </c>
      <c r="S215" s="252" t="s">
        <v>496</v>
      </c>
      <c r="T215" s="252" t="s">
        <v>496</v>
      </c>
      <c r="U215" s="252" t="s">
        <v>496</v>
      </c>
      <c r="V215" s="252" t="s">
        <v>496</v>
      </c>
      <c r="W215" s="252" t="s">
        <v>496</v>
      </c>
      <c r="X215" s="252" t="s">
        <v>496</v>
      </c>
      <c r="Y215" s="252" t="s">
        <v>496</v>
      </c>
      <c r="Z215" s="252" t="s">
        <v>496</v>
      </c>
      <c r="AA215" s="251" t="s">
        <v>837</v>
      </c>
    </row>
    <row r="216" spans="1:27">
      <c r="A216" s="251">
        <f>+A215+1</f>
        <v>82</v>
      </c>
      <c r="B216" s="251" t="s">
        <v>1531</v>
      </c>
      <c r="C216" s="255" t="s">
        <v>256</v>
      </c>
      <c r="D216" s="256">
        <v>50</v>
      </c>
      <c r="E216" s="251" t="s">
        <v>549</v>
      </c>
      <c r="F216" s="256">
        <v>5.5</v>
      </c>
      <c r="G216" s="254">
        <v>45092</v>
      </c>
      <c r="H216" s="251" t="s">
        <v>1532</v>
      </c>
      <c r="J216" s="251" t="s">
        <v>614</v>
      </c>
      <c r="K216" s="251" t="s">
        <v>636</v>
      </c>
      <c r="L216" s="258">
        <v>44176</v>
      </c>
      <c r="N216" s="251" t="s">
        <v>1538</v>
      </c>
      <c r="O216" s="252" t="s">
        <v>669</v>
      </c>
      <c r="P216" s="252">
        <v>0.125</v>
      </c>
      <c r="Q216" s="252" t="s">
        <v>1413</v>
      </c>
      <c r="R216" s="252" t="s">
        <v>496</v>
      </c>
      <c r="S216" s="252" t="s">
        <v>496</v>
      </c>
      <c r="T216" s="252" t="s">
        <v>496</v>
      </c>
      <c r="U216" s="252" t="s">
        <v>496</v>
      </c>
      <c r="V216" s="252" t="s">
        <v>496</v>
      </c>
      <c r="W216" s="252" t="s">
        <v>496</v>
      </c>
      <c r="X216" s="252" t="s">
        <v>496</v>
      </c>
      <c r="Y216" s="252" t="s">
        <v>496</v>
      </c>
      <c r="Z216" s="252" t="s">
        <v>496</v>
      </c>
      <c r="AA216" s="251" t="s">
        <v>834</v>
      </c>
    </row>
    <row r="217" spans="1:27" s="64" customFormat="1">
      <c r="B217" s="64" t="s">
        <v>2268</v>
      </c>
      <c r="C217" s="190" t="s">
        <v>256</v>
      </c>
      <c r="D217" s="188">
        <v>50</v>
      </c>
      <c r="E217" s="64" t="s">
        <v>549</v>
      </c>
      <c r="F217" s="188">
        <v>5.6</v>
      </c>
      <c r="G217" s="202">
        <v>45048</v>
      </c>
      <c r="H217" s="64" t="s">
        <v>2272</v>
      </c>
      <c r="I217" s="64" t="s">
        <v>2269</v>
      </c>
      <c r="J217" s="64" t="s">
        <v>614</v>
      </c>
      <c r="K217" s="64" t="s">
        <v>559</v>
      </c>
      <c r="L217" s="64">
        <v>2022</v>
      </c>
      <c r="M217" s="64" t="s">
        <v>2271</v>
      </c>
      <c r="N217" s="64" t="s">
        <v>2270</v>
      </c>
      <c r="O217" s="204" t="s">
        <v>496</v>
      </c>
      <c r="P217" s="204" t="s">
        <v>496</v>
      </c>
      <c r="Q217" s="204" t="s">
        <v>496</v>
      </c>
      <c r="R217" s="204" t="s">
        <v>496</v>
      </c>
      <c r="S217" s="204" t="s">
        <v>496</v>
      </c>
      <c r="T217" s="204" t="s">
        <v>496</v>
      </c>
      <c r="U217" s="204" t="s">
        <v>496</v>
      </c>
      <c r="V217" s="204" t="s">
        <v>496</v>
      </c>
      <c r="W217" s="204" t="s">
        <v>496</v>
      </c>
      <c r="X217" s="204" t="s">
        <v>496</v>
      </c>
      <c r="Y217" s="204" t="s">
        <v>496</v>
      </c>
      <c r="Z217" s="204" t="s">
        <v>496</v>
      </c>
      <c r="AA217" s="64" t="s">
        <v>1853</v>
      </c>
    </row>
    <row r="218" spans="1:27">
      <c r="B218" s="251" t="s">
        <v>592</v>
      </c>
      <c r="C218" s="255" t="s">
        <v>256</v>
      </c>
      <c r="D218" s="256">
        <v>50</v>
      </c>
      <c r="E218" s="251" t="s">
        <v>549</v>
      </c>
      <c r="F218" s="256">
        <v>6</v>
      </c>
      <c r="G218" s="254">
        <v>44852</v>
      </c>
      <c r="H218" s="251" t="s">
        <v>2205</v>
      </c>
      <c r="I218" s="251" t="s">
        <v>2201</v>
      </c>
      <c r="J218" s="251" t="s">
        <v>614</v>
      </c>
      <c r="K218" s="251" t="s">
        <v>2202</v>
      </c>
      <c r="L218" s="251">
        <v>2022</v>
      </c>
      <c r="N218" s="251" t="s">
        <v>2203</v>
      </c>
      <c r="O218" s="252" t="s">
        <v>496</v>
      </c>
      <c r="P218" s="252" t="s">
        <v>496</v>
      </c>
      <c r="Q218" s="252" t="s">
        <v>496</v>
      </c>
      <c r="R218" s="252" t="s">
        <v>496</v>
      </c>
      <c r="S218" s="252" t="s">
        <v>496</v>
      </c>
      <c r="T218" s="252" t="s">
        <v>496</v>
      </c>
      <c r="U218" s="252" t="s">
        <v>496</v>
      </c>
      <c r="V218" s="252" t="s">
        <v>496</v>
      </c>
      <c r="W218" s="252" t="s">
        <v>496</v>
      </c>
      <c r="X218" s="252" t="s">
        <v>496</v>
      </c>
      <c r="Y218" s="252" t="s">
        <v>496</v>
      </c>
      <c r="Z218" s="252" t="s">
        <v>496</v>
      </c>
      <c r="AA218" s="251" t="s">
        <v>844</v>
      </c>
    </row>
    <row r="219" spans="1:27">
      <c r="B219" s="251" t="s">
        <v>1195</v>
      </c>
      <c r="C219" s="255" t="s">
        <v>256</v>
      </c>
      <c r="D219" s="256">
        <v>50</v>
      </c>
      <c r="E219" s="251" t="s">
        <v>549</v>
      </c>
      <c r="F219" s="256">
        <v>6</v>
      </c>
      <c r="G219" s="254">
        <v>45104</v>
      </c>
      <c r="H219" s="251" t="s">
        <v>2511</v>
      </c>
      <c r="J219" s="251" t="s">
        <v>614</v>
      </c>
      <c r="K219" s="251" t="s">
        <v>2510</v>
      </c>
      <c r="L219" s="251">
        <v>2023</v>
      </c>
      <c r="N219" s="251" t="s">
        <v>2504</v>
      </c>
      <c r="O219" s="252" t="s">
        <v>496</v>
      </c>
      <c r="P219" s="252" t="s">
        <v>496</v>
      </c>
      <c r="Q219" s="252" t="s">
        <v>496</v>
      </c>
      <c r="R219" s="252" t="s">
        <v>496</v>
      </c>
      <c r="S219" s="252" t="s">
        <v>496</v>
      </c>
      <c r="T219" s="252" t="s">
        <v>496</v>
      </c>
      <c r="U219" s="252" t="s">
        <v>496</v>
      </c>
      <c r="V219" s="252" t="s">
        <v>496</v>
      </c>
      <c r="W219" s="252" t="s">
        <v>496</v>
      </c>
      <c r="X219" s="252" t="s">
        <v>496</v>
      </c>
      <c r="Y219" s="252" t="s">
        <v>496</v>
      </c>
      <c r="Z219" s="252" t="s">
        <v>496</v>
      </c>
      <c r="AA219" s="251" t="s">
        <v>1305</v>
      </c>
    </row>
    <row r="220" spans="1:27">
      <c r="B220" s="251" t="s">
        <v>586</v>
      </c>
      <c r="C220" s="255" t="s">
        <v>256</v>
      </c>
      <c r="D220" s="256">
        <v>50</v>
      </c>
      <c r="E220" s="251" t="s">
        <v>549</v>
      </c>
      <c r="F220" s="256">
        <v>6</v>
      </c>
      <c r="G220" s="254">
        <v>44781</v>
      </c>
      <c r="H220" s="251" t="s">
        <v>2181</v>
      </c>
      <c r="I220" s="251" t="s">
        <v>2179</v>
      </c>
      <c r="J220" s="251" t="s">
        <v>614</v>
      </c>
      <c r="K220" s="251" t="s">
        <v>2180</v>
      </c>
      <c r="L220" s="251">
        <v>2021</v>
      </c>
      <c r="N220" s="251" t="s">
        <v>2182</v>
      </c>
      <c r="O220" s="252" t="s">
        <v>669</v>
      </c>
      <c r="P220" s="252">
        <v>1</v>
      </c>
      <c r="Q220" s="252" t="s">
        <v>2185</v>
      </c>
      <c r="R220" s="252" t="s">
        <v>496</v>
      </c>
      <c r="S220" s="252" t="s">
        <v>496</v>
      </c>
      <c r="T220" s="252" t="s">
        <v>496</v>
      </c>
      <c r="U220" s="252" t="s">
        <v>496</v>
      </c>
      <c r="V220" s="252" t="s">
        <v>496</v>
      </c>
      <c r="W220" s="252" t="s">
        <v>496</v>
      </c>
      <c r="X220" s="252" t="s">
        <v>496</v>
      </c>
      <c r="Y220" s="252" t="s">
        <v>496</v>
      </c>
      <c r="Z220" s="252" t="s">
        <v>496</v>
      </c>
      <c r="AA220" s="251" t="s">
        <v>1771</v>
      </c>
    </row>
    <row r="221" spans="1:27">
      <c r="B221" s="251" t="s">
        <v>1227</v>
      </c>
      <c r="C221" s="255" t="s">
        <v>256</v>
      </c>
      <c r="D221" s="256">
        <v>50</v>
      </c>
      <c r="E221" s="251" t="s">
        <v>544</v>
      </c>
      <c r="F221" s="256">
        <v>5</v>
      </c>
      <c r="G221" s="205">
        <v>44514</v>
      </c>
      <c r="H221" s="251" t="s">
        <v>2544</v>
      </c>
      <c r="I221" s="251" t="s">
        <v>2541</v>
      </c>
      <c r="J221" s="251" t="s">
        <v>614</v>
      </c>
      <c r="K221" s="251" t="s">
        <v>2545</v>
      </c>
      <c r="L221" s="251">
        <v>2018</v>
      </c>
      <c r="N221" s="251" t="s">
        <v>2543</v>
      </c>
      <c r="O221" s="252" t="s">
        <v>549</v>
      </c>
      <c r="P221" s="252" t="s">
        <v>496</v>
      </c>
      <c r="Q221" s="252" t="s">
        <v>2546</v>
      </c>
      <c r="R221" s="252" t="s">
        <v>496</v>
      </c>
      <c r="S221" s="252" t="s">
        <v>496</v>
      </c>
      <c r="T221" s="252" t="s">
        <v>496</v>
      </c>
      <c r="U221" s="252" t="s">
        <v>496</v>
      </c>
      <c r="V221" s="252" t="s">
        <v>496</v>
      </c>
      <c r="W221" s="252" t="s">
        <v>496</v>
      </c>
      <c r="X221" s="252" t="s">
        <v>496</v>
      </c>
      <c r="Y221" s="252" t="s">
        <v>496</v>
      </c>
      <c r="Z221" s="252" t="s">
        <v>496</v>
      </c>
      <c r="AA221" s="251" t="s">
        <v>833</v>
      </c>
    </row>
    <row r="222" spans="1:27">
      <c r="B222" s="251" t="s">
        <v>1404</v>
      </c>
      <c r="C222" s="255" t="s">
        <v>256</v>
      </c>
      <c r="D222" s="256">
        <v>50</v>
      </c>
      <c r="E222" s="251" t="s">
        <v>402</v>
      </c>
      <c r="F222" s="256">
        <v>5</v>
      </c>
      <c r="G222" s="216" t="s">
        <v>496</v>
      </c>
      <c r="H222" s="251" t="s">
        <v>1683</v>
      </c>
      <c r="J222" s="251" t="s">
        <v>614</v>
      </c>
      <c r="K222" s="251" t="s">
        <v>639</v>
      </c>
      <c r="L222" s="258">
        <v>40483</v>
      </c>
      <c r="N222" s="251" t="s">
        <v>402</v>
      </c>
      <c r="O222" s="252" t="s">
        <v>496</v>
      </c>
      <c r="P222" s="252" t="s">
        <v>496</v>
      </c>
      <c r="Q222" s="252" t="s">
        <v>544</v>
      </c>
      <c r="R222" s="252" t="s">
        <v>496</v>
      </c>
      <c r="S222" s="252" t="s">
        <v>496</v>
      </c>
      <c r="T222" s="252" t="s">
        <v>496</v>
      </c>
      <c r="U222" s="252" t="s">
        <v>496</v>
      </c>
      <c r="V222" s="252" t="s">
        <v>496</v>
      </c>
      <c r="W222" s="252" t="s">
        <v>496</v>
      </c>
      <c r="X222" s="252" t="s">
        <v>496</v>
      </c>
      <c r="Y222" s="252" t="s">
        <v>496</v>
      </c>
      <c r="Z222" s="252" t="s">
        <v>496</v>
      </c>
      <c r="AA222" s="251" t="s">
        <v>1682</v>
      </c>
    </row>
    <row r="223" spans="1:27">
      <c r="A223" s="251">
        <f>+A168+1</f>
        <v>85</v>
      </c>
      <c r="B223" s="251" t="s">
        <v>1578</v>
      </c>
      <c r="C223" s="255" t="s">
        <v>256</v>
      </c>
      <c r="D223" s="256">
        <v>50</v>
      </c>
      <c r="E223" s="251" t="s">
        <v>544</v>
      </c>
      <c r="F223" s="256">
        <v>6</v>
      </c>
      <c r="G223" s="254">
        <v>44917</v>
      </c>
      <c r="H223" s="251" t="s">
        <v>1583</v>
      </c>
      <c r="J223" s="251" t="s">
        <v>614</v>
      </c>
      <c r="K223" s="251" t="s">
        <v>1582</v>
      </c>
      <c r="N223" s="251" t="s">
        <v>1581</v>
      </c>
      <c r="O223" s="252" t="s">
        <v>549</v>
      </c>
      <c r="P223" s="252">
        <v>5.9</v>
      </c>
      <c r="Q223" s="252" t="s">
        <v>1586</v>
      </c>
      <c r="R223" s="252" t="s">
        <v>549</v>
      </c>
      <c r="S223" s="252" t="s">
        <v>496</v>
      </c>
      <c r="T223" s="252" t="s">
        <v>1588</v>
      </c>
      <c r="U223" s="252" t="s">
        <v>549</v>
      </c>
      <c r="V223" s="252">
        <v>3.6</v>
      </c>
      <c r="W223" s="252" t="s">
        <v>1589</v>
      </c>
      <c r="X223" s="252" t="s">
        <v>496</v>
      </c>
      <c r="Y223" s="252" t="s">
        <v>496</v>
      </c>
      <c r="Z223" s="252" t="s">
        <v>496</v>
      </c>
      <c r="AA223" s="251" t="s">
        <v>1579</v>
      </c>
    </row>
    <row r="224" spans="1:27">
      <c r="B224" s="251" t="s">
        <v>1550</v>
      </c>
      <c r="C224" s="255" t="s">
        <v>256</v>
      </c>
      <c r="D224" s="256">
        <v>50</v>
      </c>
      <c r="E224" s="251" t="s">
        <v>3160</v>
      </c>
      <c r="F224" s="256">
        <v>2.5</v>
      </c>
      <c r="G224" s="254">
        <v>44805</v>
      </c>
      <c r="H224" s="251" t="s">
        <v>3155</v>
      </c>
      <c r="I224" s="251" t="s">
        <v>3154</v>
      </c>
      <c r="J224" s="251" t="s">
        <v>614</v>
      </c>
      <c r="K224" s="251" t="s">
        <v>1933</v>
      </c>
      <c r="L224" s="251">
        <v>2020</v>
      </c>
      <c r="M224" s="251" t="s">
        <v>3159</v>
      </c>
      <c r="N224" s="251" t="s">
        <v>496</v>
      </c>
      <c r="O224" s="252" t="s">
        <v>549</v>
      </c>
      <c r="P224" s="252">
        <v>5.0999999999999996</v>
      </c>
      <c r="Q224" s="252" t="s">
        <v>3161</v>
      </c>
      <c r="R224" s="252" t="s">
        <v>496</v>
      </c>
      <c r="S224" s="252" t="s">
        <v>496</v>
      </c>
      <c r="T224" s="252" t="s">
        <v>496</v>
      </c>
      <c r="U224" s="252" t="s">
        <v>496</v>
      </c>
      <c r="V224" s="252" t="s">
        <v>496</v>
      </c>
      <c r="W224" s="252" t="s">
        <v>496</v>
      </c>
      <c r="X224" s="252" t="s">
        <v>496</v>
      </c>
      <c r="Y224" s="252" t="s">
        <v>496</v>
      </c>
      <c r="Z224" s="252" t="s">
        <v>496</v>
      </c>
      <c r="AA224" s="251" t="s">
        <v>1898</v>
      </c>
    </row>
    <row r="225" spans="1:27">
      <c r="A225" s="251">
        <f>+A223+1</f>
        <v>86</v>
      </c>
      <c r="B225" s="251" t="s">
        <v>573</v>
      </c>
      <c r="C225" s="255" t="s">
        <v>256</v>
      </c>
      <c r="D225" s="256">
        <v>50</v>
      </c>
      <c r="E225" s="251" t="s">
        <v>549</v>
      </c>
      <c r="F225" s="256">
        <v>2.5</v>
      </c>
      <c r="G225" s="254">
        <v>44469</v>
      </c>
      <c r="H225" s="251" t="s">
        <v>1424</v>
      </c>
      <c r="I225" s="251" t="s">
        <v>1414</v>
      </c>
      <c r="J225" s="251" t="s">
        <v>614</v>
      </c>
      <c r="K225" s="251" t="s">
        <v>619</v>
      </c>
      <c r="L225" s="259">
        <v>44211</v>
      </c>
      <c r="N225" s="251" t="s">
        <v>1415</v>
      </c>
      <c r="O225" s="252" t="s">
        <v>669</v>
      </c>
      <c r="P225" s="252" t="s">
        <v>496</v>
      </c>
      <c r="Q225" s="252" t="s">
        <v>1413</v>
      </c>
      <c r="R225" s="252" t="s">
        <v>496</v>
      </c>
      <c r="S225" s="252" t="s">
        <v>496</v>
      </c>
      <c r="T225" s="252" t="s">
        <v>496</v>
      </c>
      <c r="U225" s="252" t="s">
        <v>496</v>
      </c>
      <c r="V225" s="252" t="s">
        <v>496</v>
      </c>
      <c r="W225" s="252" t="s">
        <v>496</v>
      </c>
      <c r="X225" s="252" t="s">
        <v>496</v>
      </c>
      <c r="Y225" s="252" t="s">
        <v>496</v>
      </c>
      <c r="Z225" s="252" t="s">
        <v>496</v>
      </c>
      <c r="AA225" s="251" t="s">
        <v>834</v>
      </c>
    </row>
    <row r="226" spans="1:27">
      <c r="A226" s="251">
        <f>+A225+1</f>
        <v>87</v>
      </c>
      <c r="B226" s="251" t="s">
        <v>574</v>
      </c>
      <c r="C226" s="255" t="s">
        <v>256</v>
      </c>
      <c r="D226" s="256">
        <v>50</v>
      </c>
      <c r="E226" s="251" t="s">
        <v>549</v>
      </c>
      <c r="F226" s="256">
        <v>1.5</v>
      </c>
      <c r="G226" s="254">
        <v>45061</v>
      </c>
      <c r="H226" s="251" t="s">
        <v>1476</v>
      </c>
      <c r="I226" s="251" t="s">
        <v>1481</v>
      </c>
      <c r="J226" s="251" t="s">
        <v>613</v>
      </c>
      <c r="K226" s="251" t="s">
        <v>1477</v>
      </c>
      <c r="L226" s="251">
        <v>2023</v>
      </c>
      <c r="N226" s="251" t="s">
        <v>1478</v>
      </c>
      <c r="O226" s="252" t="s">
        <v>496</v>
      </c>
      <c r="P226" s="252" t="s">
        <v>496</v>
      </c>
      <c r="Q226" s="252" t="s">
        <v>496</v>
      </c>
      <c r="R226" s="252" t="s">
        <v>496</v>
      </c>
      <c r="S226" s="252" t="s">
        <v>496</v>
      </c>
      <c r="T226" s="252" t="s">
        <v>496</v>
      </c>
      <c r="U226" s="252" t="s">
        <v>496</v>
      </c>
      <c r="V226" s="252" t="s">
        <v>496</v>
      </c>
      <c r="W226" s="252" t="s">
        <v>496</v>
      </c>
      <c r="X226" s="252" t="s">
        <v>496</v>
      </c>
      <c r="Y226" s="252" t="s">
        <v>496</v>
      </c>
      <c r="Z226" s="252" t="s">
        <v>496</v>
      </c>
      <c r="AA226" s="251" t="s">
        <v>1480</v>
      </c>
    </row>
    <row r="227" spans="1:27">
      <c r="B227" s="251" t="s">
        <v>589</v>
      </c>
      <c r="C227" s="255" t="s">
        <v>256</v>
      </c>
      <c r="D227" s="256">
        <v>50</v>
      </c>
      <c r="E227" s="251" t="s">
        <v>549</v>
      </c>
      <c r="F227" s="256">
        <v>0.5</v>
      </c>
      <c r="G227" s="254">
        <v>45021</v>
      </c>
      <c r="H227" s="251" t="s">
        <v>2336</v>
      </c>
      <c r="J227" s="251" t="s">
        <v>614</v>
      </c>
      <c r="K227" s="251" t="s">
        <v>2337</v>
      </c>
      <c r="L227" s="251">
        <v>2022</v>
      </c>
      <c r="M227" s="251" t="s">
        <v>2923</v>
      </c>
      <c r="N227" s="251" t="s">
        <v>740</v>
      </c>
      <c r="O227" s="252" t="s">
        <v>549</v>
      </c>
      <c r="P227" s="252">
        <v>0.56999999999999995</v>
      </c>
      <c r="Q227" s="252" t="s">
        <v>1776</v>
      </c>
      <c r="R227" s="252" t="s">
        <v>496</v>
      </c>
      <c r="S227" s="252" t="s">
        <v>496</v>
      </c>
      <c r="T227" s="252" t="s">
        <v>496</v>
      </c>
      <c r="U227" s="252" t="s">
        <v>496</v>
      </c>
      <c r="V227" s="252" t="s">
        <v>496</v>
      </c>
      <c r="W227" s="252" t="s">
        <v>496</v>
      </c>
      <c r="X227" s="252" t="s">
        <v>496</v>
      </c>
      <c r="Y227" s="252" t="s">
        <v>496</v>
      </c>
      <c r="Z227" s="252" t="s">
        <v>496</v>
      </c>
      <c r="AA227" s="251" t="s">
        <v>2335</v>
      </c>
    </row>
    <row r="228" spans="1:27" s="64" customFormat="1">
      <c r="B228" s="64" t="s">
        <v>1194</v>
      </c>
      <c r="C228" s="190" t="s">
        <v>256</v>
      </c>
      <c r="D228" s="188">
        <v>50</v>
      </c>
      <c r="E228" s="64" t="s">
        <v>669</v>
      </c>
      <c r="F228" s="188">
        <v>0.5</v>
      </c>
      <c r="G228" s="202">
        <v>45021</v>
      </c>
      <c r="H228" s="64" t="s">
        <v>1910</v>
      </c>
      <c r="I228" s="64" t="s">
        <v>1908</v>
      </c>
      <c r="J228" s="64" t="s">
        <v>614</v>
      </c>
      <c r="K228" s="64" t="s">
        <v>644</v>
      </c>
      <c r="L228" s="223">
        <v>42609</v>
      </c>
      <c r="M228" s="64" t="s">
        <v>2923</v>
      </c>
      <c r="N228" s="64" t="s">
        <v>1911</v>
      </c>
      <c r="O228" s="204" t="s">
        <v>496</v>
      </c>
      <c r="P228" s="204" t="s">
        <v>496</v>
      </c>
      <c r="Q228" s="204" t="s">
        <v>496</v>
      </c>
      <c r="R228" s="204" t="s">
        <v>496</v>
      </c>
      <c r="S228" s="204" t="s">
        <v>496</v>
      </c>
      <c r="T228" s="204" t="s">
        <v>496</v>
      </c>
      <c r="U228" s="204" t="s">
        <v>496</v>
      </c>
      <c r="V228" s="204" t="s">
        <v>496</v>
      </c>
      <c r="W228" s="204" t="s">
        <v>496</v>
      </c>
      <c r="X228" s="204" t="s">
        <v>496</v>
      </c>
      <c r="Y228" s="204" t="s">
        <v>496</v>
      </c>
      <c r="Z228" s="204" t="s">
        <v>496</v>
      </c>
      <c r="AA228" s="64" t="s">
        <v>834</v>
      </c>
    </row>
    <row r="229" spans="1:27">
      <c r="B229" s="251" t="s">
        <v>1410</v>
      </c>
      <c r="C229" s="255" t="s">
        <v>256</v>
      </c>
      <c r="D229" s="256">
        <v>40</v>
      </c>
      <c r="E229" s="251" t="s">
        <v>402</v>
      </c>
      <c r="F229" s="256">
        <v>5</v>
      </c>
      <c r="G229" s="205">
        <v>44008</v>
      </c>
      <c r="H229" s="251" t="s">
        <v>1715</v>
      </c>
      <c r="I229" s="251" t="s">
        <v>1714</v>
      </c>
      <c r="J229" s="251" t="s">
        <v>614</v>
      </c>
      <c r="K229" s="251" t="s">
        <v>646</v>
      </c>
      <c r="L229" s="251">
        <v>2016</v>
      </c>
      <c r="M229" s="251" t="s">
        <v>1716</v>
      </c>
      <c r="N229" s="251" t="s">
        <v>1437</v>
      </c>
      <c r="O229" s="252" t="s">
        <v>402</v>
      </c>
      <c r="P229" s="252">
        <v>14</v>
      </c>
      <c r="Q229" s="252" t="s">
        <v>1438</v>
      </c>
      <c r="R229" s="252" t="s">
        <v>544</v>
      </c>
      <c r="S229" s="252">
        <v>4</v>
      </c>
      <c r="T229" s="252" t="s">
        <v>1439</v>
      </c>
      <c r="U229" s="252" t="s">
        <v>549</v>
      </c>
      <c r="V229" s="252">
        <v>0.6</v>
      </c>
      <c r="W229" s="252" t="s">
        <v>1440</v>
      </c>
      <c r="X229" s="252" t="s">
        <v>496</v>
      </c>
      <c r="Y229" s="252" t="s">
        <v>496</v>
      </c>
      <c r="Z229" s="252" t="s">
        <v>496</v>
      </c>
      <c r="AA229" s="251" t="s">
        <v>1436</v>
      </c>
    </row>
    <row r="230" spans="1:27">
      <c r="B230" s="251" t="s">
        <v>727</v>
      </c>
      <c r="C230" s="255" t="s">
        <v>256</v>
      </c>
      <c r="D230" s="256">
        <v>40</v>
      </c>
      <c r="E230" s="251" t="s">
        <v>549</v>
      </c>
      <c r="F230" s="256">
        <v>10</v>
      </c>
      <c r="G230" s="254">
        <v>45026</v>
      </c>
      <c r="H230" s="251" t="s">
        <v>1878</v>
      </c>
      <c r="J230" s="251" t="s">
        <v>456</v>
      </c>
      <c r="K230" s="251" t="s">
        <v>456</v>
      </c>
      <c r="L230" s="64">
        <v>2023</v>
      </c>
      <c r="N230" s="251" t="s">
        <v>496</v>
      </c>
      <c r="O230" s="251" t="s">
        <v>496</v>
      </c>
      <c r="P230" s="251" t="s">
        <v>496</v>
      </c>
      <c r="Q230" s="251" t="s">
        <v>496</v>
      </c>
      <c r="R230" s="251" t="s">
        <v>496</v>
      </c>
      <c r="S230" s="251" t="s">
        <v>496</v>
      </c>
      <c r="T230" s="251" t="s">
        <v>496</v>
      </c>
      <c r="U230" s="251" t="s">
        <v>496</v>
      </c>
      <c r="V230" s="251" t="s">
        <v>496</v>
      </c>
      <c r="W230" s="251" t="s">
        <v>496</v>
      </c>
      <c r="X230" s="251" t="s">
        <v>496</v>
      </c>
      <c r="Y230" s="251" t="s">
        <v>496</v>
      </c>
      <c r="Z230" s="251" t="s">
        <v>496</v>
      </c>
      <c r="AA230" s="251" t="s">
        <v>496</v>
      </c>
    </row>
    <row r="231" spans="1:27">
      <c r="B231" s="251" t="s">
        <v>734</v>
      </c>
      <c r="C231" s="255" t="s">
        <v>256</v>
      </c>
      <c r="D231" s="256">
        <v>40</v>
      </c>
      <c r="E231" s="251" t="s">
        <v>544</v>
      </c>
      <c r="F231" s="256">
        <v>10</v>
      </c>
      <c r="G231" s="254">
        <v>44930</v>
      </c>
      <c r="H231" s="251" t="s">
        <v>1889</v>
      </c>
      <c r="I231" s="251" t="s">
        <v>1888</v>
      </c>
      <c r="J231" s="251" t="s">
        <v>614</v>
      </c>
      <c r="K231" s="251" t="s">
        <v>735</v>
      </c>
      <c r="L231" s="251">
        <v>2020</v>
      </c>
      <c r="N231" s="251" t="s">
        <v>1890</v>
      </c>
      <c r="O231" s="252" t="s">
        <v>549</v>
      </c>
      <c r="P231" s="252">
        <v>2</v>
      </c>
      <c r="Q231" s="252" t="s">
        <v>496</v>
      </c>
      <c r="R231" s="252" t="s">
        <v>496</v>
      </c>
      <c r="S231" s="252" t="s">
        <v>496</v>
      </c>
      <c r="T231" s="252" t="s">
        <v>496</v>
      </c>
      <c r="U231" s="252" t="s">
        <v>496</v>
      </c>
      <c r="V231" s="252" t="s">
        <v>496</v>
      </c>
      <c r="W231" s="252" t="s">
        <v>496</v>
      </c>
      <c r="X231" s="252" t="s">
        <v>496</v>
      </c>
      <c r="Y231" s="252" t="s">
        <v>496</v>
      </c>
      <c r="Z231" s="252" t="s">
        <v>496</v>
      </c>
      <c r="AA231" s="251" t="s">
        <v>1887</v>
      </c>
    </row>
    <row r="232" spans="1:27">
      <c r="B232" s="64" t="s">
        <v>583</v>
      </c>
      <c r="C232" s="190" t="s">
        <v>256</v>
      </c>
      <c r="D232" s="188">
        <v>40</v>
      </c>
      <c r="E232" s="64" t="s">
        <v>544</v>
      </c>
      <c r="F232" s="188">
        <v>10</v>
      </c>
      <c r="G232" s="202">
        <v>44825</v>
      </c>
      <c r="H232" s="64" t="s">
        <v>1883</v>
      </c>
      <c r="I232" s="64"/>
      <c r="J232" s="64" t="s">
        <v>614</v>
      </c>
      <c r="K232" s="64" t="s">
        <v>644</v>
      </c>
      <c r="L232" s="64">
        <v>2020</v>
      </c>
      <c r="N232" s="251" t="s">
        <v>1881</v>
      </c>
      <c r="O232" s="252" t="s">
        <v>549</v>
      </c>
      <c r="P232" s="252">
        <v>1.5</v>
      </c>
      <c r="Q232" s="252" t="s">
        <v>1882</v>
      </c>
      <c r="R232" s="252" t="s">
        <v>496</v>
      </c>
      <c r="S232" s="252" t="s">
        <v>496</v>
      </c>
      <c r="T232" s="252" t="s">
        <v>496</v>
      </c>
      <c r="U232" s="252" t="s">
        <v>496</v>
      </c>
      <c r="V232" s="252" t="s">
        <v>496</v>
      </c>
      <c r="W232" s="252" t="s">
        <v>496</v>
      </c>
      <c r="X232" s="252" t="s">
        <v>496</v>
      </c>
      <c r="Y232" s="252" t="s">
        <v>496</v>
      </c>
      <c r="Z232" s="252" t="s">
        <v>496</v>
      </c>
      <c r="AA232" s="251" t="s">
        <v>1880</v>
      </c>
    </row>
    <row r="233" spans="1:27">
      <c r="B233" s="251" t="s">
        <v>726</v>
      </c>
      <c r="C233" s="255" t="s">
        <v>256</v>
      </c>
      <c r="D233" s="256">
        <v>40</v>
      </c>
      <c r="E233" s="251" t="s">
        <v>544</v>
      </c>
      <c r="F233" s="256">
        <v>10</v>
      </c>
      <c r="G233" s="205">
        <v>43887</v>
      </c>
      <c r="H233" s="251" t="s">
        <v>1873</v>
      </c>
      <c r="I233" s="251" t="s">
        <v>1872</v>
      </c>
      <c r="J233" s="251" t="s">
        <v>614</v>
      </c>
      <c r="K233" s="251" t="s">
        <v>698</v>
      </c>
      <c r="L233" s="251">
        <v>2019</v>
      </c>
      <c r="N233" s="251" t="s">
        <v>1874</v>
      </c>
      <c r="O233" s="252" t="s">
        <v>544</v>
      </c>
      <c r="P233" s="252">
        <v>9</v>
      </c>
      <c r="Q233" s="252" t="s">
        <v>1875</v>
      </c>
      <c r="R233" s="252" t="s">
        <v>549</v>
      </c>
      <c r="S233" s="252">
        <v>2.4</v>
      </c>
      <c r="T233" s="252" t="s">
        <v>1876</v>
      </c>
      <c r="U233" s="252" t="s">
        <v>496</v>
      </c>
      <c r="V233" s="252" t="s">
        <v>496</v>
      </c>
      <c r="W233" s="252" t="s">
        <v>496</v>
      </c>
      <c r="X233" s="252" t="s">
        <v>496</v>
      </c>
      <c r="Y233" s="252" t="s">
        <v>496</v>
      </c>
      <c r="Z233" s="252" t="s">
        <v>496</v>
      </c>
      <c r="AA233" s="251" t="s">
        <v>844</v>
      </c>
    </row>
    <row r="234" spans="1:27">
      <c r="A234" s="251">
        <f>+A177+1</f>
        <v>60</v>
      </c>
      <c r="B234" s="251" t="s">
        <v>569</v>
      </c>
      <c r="C234" s="255" t="s">
        <v>256</v>
      </c>
      <c r="D234" s="256">
        <v>30</v>
      </c>
      <c r="E234" s="251" t="s">
        <v>549</v>
      </c>
      <c r="F234" s="256">
        <v>6</v>
      </c>
      <c r="G234" s="254">
        <v>45070</v>
      </c>
      <c r="H234" s="251" t="s">
        <v>1217</v>
      </c>
      <c r="I234" s="251" t="s">
        <v>1216</v>
      </c>
      <c r="J234" s="251" t="s">
        <v>613</v>
      </c>
      <c r="K234" s="251" t="s">
        <v>644</v>
      </c>
      <c r="L234" s="251">
        <v>2021</v>
      </c>
      <c r="N234" s="251" t="s">
        <v>496</v>
      </c>
      <c r="O234" s="251" t="s">
        <v>496</v>
      </c>
      <c r="P234" s="251" t="s">
        <v>496</v>
      </c>
      <c r="Q234" s="251" t="s">
        <v>496</v>
      </c>
      <c r="R234" s="251" t="s">
        <v>496</v>
      </c>
      <c r="S234" s="251" t="s">
        <v>496</v>
      </c>
      <c r="T234" s="251" t="s">
        <v>496</v>
      </c>
      <c r="U234" s="251" t="s">
        <v>496</v>
      </c>
      <c r="V234" s="251" t="s">
        <v>496</v>
      </c>
      <c r="W234" s="251" t="s">
        <v>496</v>
      </c>
      <c r="X234" s="251" t="s">
        <v>496</v>
      </c>
      <c r="Y234" s="251" t="s">
        <v>496</v>
      </c>
      <c r="Z234" s="251" t="s">
        <v>496</v>
      </c>
      <c r="AA234" s="251" t="s">
        <v>1215</v>
      </c>
    </row>
    <row r="235" spans="1:27">
      <c r="B235" s="251" t="s">
        <v>1778</v>
      </c>
      <c r="C235" s="269" t="s">
        <v>256</v>
      </c>
      <c r="D235" s="256">
        <v>30</v>
      </c>
      <c r="E235" s="268" t="s">
        <v>669</v>
      </c>
      <c r="F235" s="256">
        <v>0.5</v>
      </c>
      <c r="G235" s="254">
        <v>45021</v>
      </c>
      <c r="H235" s="268" t="s">
        <v>3808</v>
      </c>
      <c r="I235" s="268" t="s">
        <v>3807</v>
      </c>
      <c r="J235" s="268" t="s">
        <v>614</v>
      </c>
      <c r="K235" s="268" t="s">
        <v>430</v>
      </c>
      <c r="L235" s="251">
        <v>2021</v>
      </c>
      <c r="M235" s="251" t="s">
        <v>2923</v>
      </c>
      <c r="N235" s="268" t="s">
        <v>740</v>
      </c>
      <c r="O235" s="272" t="s">
        <v>496</v>
      </c>
      <c r="P235" s="272" t="s">
        <v>496</v>
      </c>
      <c r="Q235" s="272" t="s">
        <v>496</v>
      </c>
      <c r="R235" s="272" t="s">
        <v>496</v>
      </c>
      <c r="S235" s="272" t="s">
        <v>496</v>
      </c>
      <c r="T235" s="272" t="s">
        <v>496</v>
      </c>
      <c r="U235" s="272" t="s">
        <v>496</v>
      </c>
      <c r="V235" s="272" t="s">
        <v>496</v>
      </c>
      <c r="W235" s="272" t="s">
        <v>496</v>
      </c>
      <c r="X235" s="272" t="s">
        <v>496</v>
      </c>
      <c r="Y235" s="272" t="s">
        <v>496</v>
      </c>
      <c r="Z235" s="272" t="s">
        <v>496</v>
      </c>
      <c r="AA235" s="268" t="s">
        <v>1853</v>
      </c>
    </row>
    <row r="236" spans="1:27">
      <c r="B236" s="251" t="s">
        <v>579</v>
      </c>
      <c r="C236" s="255" t="s">
        <v>256</v>
      </c>
      <c r="D236" s="256">
        <v>30</v>
      </c>
      <c r="E236" s="251" t="s">
        <v>549</v>
      </c>
      <c r="F236" s="256">
        <v>5</v>
      </c>
      <c r="G236" s="254">
        <v>45062</v>
      </c>
      <c r="H236" s="251" t="s">
        <v>1755</v>
      </c>
      <c r="J236" s="251" t="s">
        <v>614</v>
      </c>
      <c r="K236" s="251" t="s">
        <v>461</v>
      </c>
      <c r="L236" s="251">
        <v>2023</v>
      </c>
      <c r="N236" s="251" t="s">
        <v>1756</v>
      </c>
      <c r="O236" s="252" t="s">
        <v>496</v>
      </c>
      <c r="P236" s="252" t="s">
        <v>496</v>
      </c>
      <c r="Q236" s="252" t="s">
        <v>496</v>
      </c>
      <c r="R236" s="252" t="s">
        <v>496</v>
      </c>
      <c r="S236" s="252" t="s">
        <v>496</v>
      </c>
      <c r="T236" s="252" t="s">
        <v>496</v>
      </c>
      <c r="U236" s="252" t="s">
        <v>496</v>
      </c>
      <c r="V236" s="252" t="s">
        <v>496</v>
      </c>
      <c r="W236" s="252" t="s">
        <v>496</v>
      </c>
      <c r="X236" s="252" t="s">
        <v>496</v>
      </c>
      <c r="Y236" s="252" t="s">
        <v>496</v>
      </c>
      <c r="Z236" s="252" t="s">
        <v>496</v>
      </c>
      <c r="AA236" s="251" t="s">
        <v>837</v>
      </c>
    </row>
    <row r="237" spans="1:27" s="64" customFormat="1">
      <c r="B237" s="64" t="s">
        <v>580</v>
      </c>
      <c r="C237" s="190" t="s">
        <v>256</v>
      </c>
      <c r="D237" s="188">
        <v>30</v>
      </c>
      <c r="E237" s="64" t="s">
        <v>549</v>
      </c>
      <c r="F237" s="188">
        <v>4</v>
      </c>
      <c r="G237" s="202">
        <v>45026</v>
      </c>
      <c r="H237" s="64" t="s">
        <v>430</v>
      </c>
      <c r="I237" s="64" t="s">
        <v>1758</v>
      </c>
      <c r="J237" s="64" t="s">
        <v>614</v>
      </c>
      <c r="K237" s="64" t="s">
        <v>430</v>
      </c>
      <c r="L237" s="64">
        <v>2021</v>
      </c>
      <c r="N237" s="64" t="s">
        <v>1761</v>
      </c>
      <c r="O237" s="204" t="s">
        <v>496</v>
      </c>
      <c r="P237" s="204" t="s">
        <v>496</v>
      </c>
      <c r="Q237" s="204" t="s">
        <v>496</v>
      </c>
      <c r="R237" s="204" t="s">
        <v>496</v>
      </c>
      <c r="S237" s="204" t="s">
        <v>496</v>
      </c>
      <c r="T237" s="204" t="s">
        <v>496</v>
      </c>
      <c r="U237" s="204" t="s">
        <v>496</v>
      </c>
      <c r="V237" s="204" t="s">
        <v>496</v>
      </c>
      <c r="W237" s="204" t="s">
        <v>496</v>
      </c>
      <c r="X237" s="204" t="s">
        <v>496</v>
      </c>
      <c r="Y237" s="204" t="s">
        <v>496</v>
      </c>
      <c r="Z237" s="204" t="s">
        <v>496</v>
      </c>
      <c r="AA237" s="64" t="s">
        <v>1703</v>
      </c>
    </row>
    <row r="238" spans="1:27">
      <c r="B238" s="251" t="s">
        <v>1548</v>
      </c>
      <c r="C238" s="255" t="s">
        <v>256</v>
      </c>
      <c r="D238" s="256">
        <v>30</v>
      </c>
      <c r="E238" s="251" t="s">
        <v>549</v>
      </c>
      <c r="F238" s="256">
        <v>3</v>
      </c>
      <c r="G238" s="254">
        <v>44327</v>
      </c>
      <c r="H238" s="251" t="s">
        <v>3142</v>
      </c>
      <c r="I238" s="251" t="s">
        <v>3145</v>
      </c>
      <c r="J238" s="251" t="s">
        <v>614</v>
      </c>
      <c r="K238" s="251" t="s">
        <v>3143</v>
      </c>
      <c r="L238" s="251">
        <v>2021</v>
      </c>
      <c r="N238" s="251" t="s">
        <v>3144</v>
      </c>
      <c r="O238" s="252" t="s">
        <v>669</v>
      </c>
      <c r="P238" s="252">
        <v>1.2</v>
      </c>
      <c r="Q238" s="252" t="s">
        <v>3146</v>
      </c>
      <c r="R238" s="252" t="s">
        <v>496</v>
      </c>
      <c r="S238" s="252" t="s">
        <v>496</v>
      </c>
      <c r="T238" s="252" t="s">
        <v>496</v>
      </c>
      <c r="U238" s="252" t="s">
        <v>496</v>
      </c>
      <c r="V238" s="252" t="s">
        <v>496</v>
      </c>
      <c r="W238" s="252" t="s">
        <v>496</v>
      </c>
      <c r="X238" s="252" t="s">
        <v>496</v>
      </c>
      <c r="Y238" s="252" t="s">
        <v>496</v>
      </c>
      <c r="Z238" s="252" t="s">
        <v>496</v>
      </c>
      <c r="AA238" s="251" t="s">
        <v>1110</v>
      </c>
    </row>
    <row r="239" spans="1:27">
      <c r="B239" s="251" t="s">
        <v>582</v>
      </c>
      <c r="C239" s="255" t="s">
        <v>256</v>
      </c>
      <c r="D239" s="256">
        <v>30</v>
      </c>
      <c r="E239" s="251" t="s">
        <v>669</v>
      </c>
      <c r="F239" s="256">
        <v>3</v>
      </c>
      <c r="G239" s="254">
        <v>45044</v>
      </c>
      <c r="H239" s="251" t="s">
        <v>1712</v>
      </c>
      <c r="I239" s="251" t="s">
        <v>1711</v>
      </c>
      <c r="J239" s="251" t="s">
        <v>614</v>
      </c>
      <c r="K239" s="251" t="s">
        <v>1713</v>
      </c>
      <c r="L239" s="259">
        <v>44986</v>
      </c>
      <c r="N239" s="251" t="s">
        <v>496</v>
      </c>
      <c r="O239" s="251" t="s">
        <v>496</v>
      </c>
      <c r="P239" s="251" t="s">
        <v>496</v>
      </c>
      <c r="Q239" s="251" t="s">
        <v>496</v>
      </c>
      <c r="R239" s="251" t="s">
        <v>496</v>
      </c>
      <c r="S239" s="251" t="s">
        <v>496</v>
      </c>
      <c r="T239" s="251" t="s">
        <v>496</v>
      </c>
      <c r="U239" s="251" t="s">
        <v>496</v>
      </c>
      <c r="V239" s="251" t="s">
        <v>496</v>
      </c>
      <c r="W239" s="251" t="s">
        <v>496</v>
      </c>
      <c r="X239" s="251" t="s">
        <v>496</v>
      </c>
      <c r="Y239" s="251" t="s">
        <v>496</v>
      </c>
      <c r="Z239" s="251" t="s">
        <v>496</v>
      </c>
      <c r="AA239" s="251" t="s">
        <v>834</v>
      </c>
    </row>
    <row r="240" spans="1:27">
      <c r="A240" s="251">
        <f>+A234+1</f>
        <v>61</v>
      </c>
      <c r="B240" s="251" t="s">
        <v>551</v>
      </c>
      <c r="C240" s="255" t="s">
        <v>256</v>
      </c>
      <c r="D240" s="256">
        <v>25</v>
      </c>
      <c r="E240" s="251" t="s">
        <v>549</v>
      </c>
      <c r="F240" s="256">
        <v>2.6</v>
      </c>
      <c r="G240" s="254">
        <v>44994</v>
      </c>
      <c r="H240" s="251" t="s">
        <v>550</v>
      </c>
      <c r="I240" s="251" t="s">
        <v>1219</v>
      </c>
      <c r="J240" s="251" t="s">
        <v>613</v>
      </c>
      <c r="K240" s="251" t="s">
        <v>548</v>
      </c>
      <c r="L240" s="258">
        <v>44013</v>
      </c>
      <c r="N240" s="251" t="s">
        <v>1220</v>
      </c>
      <c r="O240" s="252" t="s">
        <v>549</v>
      </c>
      <c r="P240" s="252" t="s">
        <v>1223</v>
      </c>
      <c r="R240" s="252" t="s">
        <v>669</v>
      </c>
      <c r="S240" s="252" t="s">
        <v>496</v>
      </c>
      <c r="T240" s="252" t="s">
        <v>1224</v>
      </c>
      <c r="U240" s="251" t="s">
        <v>496</v>
      </c>
      <c r="V240" s="251" t="s">
        <v>496</v>
      </c>
      <c r="W240" s="251" t="s">
        <v>496</v>
      </c>
      <c r="X240" s="251" t="s">
        <v>496</v>
      </c>
      <c r="Y240" s="251" t="s">
        <v>496</v>
      </c>
      <c r="Z240" s="251" t="s">
        <v>496</v>
      </c>
      <c r="AA240" s="251" t="s">
        <v>1110</v>
      </c>
    </row>
    <row r="241" spans="2:28">
      <c r="B241" s="251" t="s">
        <v>1541</v>
      </c>
      <c r="C241" s="255" t="s">
        <v>256</v>
      </c>
      <c r="D241" s="256">
        <v>25</v>
      </c>
      <c r="E241" s="251" t="s">
        <v>496</v>
      </c>
      <c r="F241" s="256" t="s">
        <v>496</v>
      </c>
      <c r="G241" s="253" t="s">
        <v>496</v>
      </c>
      <c r="H241" s="251" t="s">
        <v>1804</v>
      </c>
      <c r="J241" s="251" t="s">
        <v>614</v>
      </c>
      <c r="K241" s="251" t="s">
        <v>698</v>
      </c>
      <c r="L241" s="251">
        <v>2020</v>
      </c>
      <c r="N241" s="251" t="s">
        <v>496</v>
      </c>
      <c r="O241" s="251" t="s">
        <v>496</v>
      </c>
      <c r="P241" s="251" t="s">
        <v>496</v>
      </c>
      <c r="Q241" s="251" t="s">
        <v>496</v>
      </c>
      <c r="R241" s="251" t="s">
        <v>496</v>
      </c>
      <c r="S241" s="251" t="s">
        <v>496</v>
      </c>
      <c r="T241" s="251" t="s">
        <v>496</v>
      </c>
      <c r="U241" s="251" t="s">
        <v>496</v>
      </c>
      <c r="V241" s="251" t="s">
        <v>496</v>
      </c>
      <c r="W241" s="251" t="s">
        <v>496</v>
      </c>
      <c r="X241" s="251" t="s">
        <v>496</v>
      </c>
      <c r="Y241" s="251" t="s">
        <v>496</v>
      </c>
      <c r="Z241" s="251" t="s">
        <v>496</v>
      </c>
      <c r="AA241" s="251" t="s">
        <v>1542</v>
      </c>
    </row>
    <row r="242" spans="2:28">
      <c r="B242" s="251" t="s">
        <v>1546</v>
      </c>
      <c r="C242" s="255" t="s">
        <v>256</v>
      </c>
      <c r="D242" s="256">
        <v>20</v>
      </c>
      <c r="E242" s="251" t="s">
        <v>549</v>
      </c>
      <c r="F242" s="256">
        <v>3.5</v>
      </c>
      <c r="G242" s="254">
        <v>44636</v>
      </c>
      <c r="H242" s="251" t="s">
        <v>3130</v>
      </c>
      <c r="I242" s="251" t="s">
        <v>3129</v>
      </c>
      <c r="J242" s="251" t="s">
        <v>614</v>
      </c>
      <c r="K242" s="251" t="s">
        <v>1582</v>
      </c>
      <c r="L242" s="251">
        <v>2019</v>
      </c>
      <c r="N242" s="251" t="s">
        <v>3131</v>
      </c>
      <c r="O242" s="252" t="s">
        <v>669</v>
      </c>
      <c r="P242" s="252">
        <v>0.75</v>
      </c>
      <c r="Q242" s="252" t="s">
        <v>3132</v>
      </c>
      <c r="R242" s="252" t="s">
        <v>669</v>
      </c>
      <c r="S242" s="252">
        <v>0.12</v>
      </c>
      <c r="T242" s="252" t="s">
        <v>1860</v>
      </c>
      <c r="U242" s="252" t="s">
        <v>496</v>
      </c>
      <c r="V242" s="252" t="s">
        <v>496</v>
      </c>
      <c r="W242" s="252" t="s">
        <v>496</v>
      </c>
      <c r="X242" s="252" t="s">
        <v>496</v>
      </c>
      <c r="Y242" s="252" t="s">
        <v>496</v>
      </c>
      <c r="Z242" s="252" t="s">
        <v>496</v>
      </c>
      <c r="AA242" s="251" t="s">
        <v>1771</v>
      </c>
    </row>
    <row r="243" spans="2:28">
      <c r="B243" s="251" t="s">
        <v>1146</v>
      </c>
      <c r="C243" s="255" t="s">
        <v>256</v>
      </c>
      <c r="D243" s="256">
        <v>20</v>
      </c>
      <c r="E243" s="251" t="s">
        <v>549</v>
      </c>
      <c r="F243" s="256">
        <v>4</v>
      </c>
      <c r="G243" s="254">
        <v>44332</v>
      </c>
      <c r="I243" s="251" t="s">
        <v>2480</v>
      </c>
      <c r="J243" s="64" t="s">
        <v>614</v>
      </c>
      <c r="K243" s="64" t="s">
        <v>644</v>
      </c>
      <c r="L243" s="251">
        <v>2018</v>
      </c>
      <c r="N243" s="251" t="s">
        <v>2473</v>
      </c>
      <c r="O243" s="252" t="s">
        <v>549</v>
      </c>
      <c r="P243" s="252">
        <v>2</v>
      </c>
      <c r="Q243" s="252" t="s">
        <v>2482</v>
      </c>
      <c r="R243" s="252" t="s">
        <v>669</v>
      </c>
      <c r="S243" s="252" t="s">
        <v>496</v>
      </c>
      <c r="T243" s="252" t="s">
        <v>2486</v>
      </c>
      <c r="U243" s="252" t="s">
        <v>496</v>
      </c>
      <c r="V243" s="252" t="s">
        <v>496</v>
      </c>
      <c r="W243" s="252" t="s">
        <v>496</v>
      </c>
      <c r="X243" s="252" t="s">
        <v>496</v>
      </c>
      <c r="Y243" s="252" t="s">
        <v>496</v>
      </c>
      <c r="Z243" s="252" t="s">
        <v>496</v>
      </c>
      <c r="AA243" s="251" t="s">
        <v>2479</v>
      </c>
    </row>
    <row r="244" spans="2:28">
      <c r="B244" s="251" t="s">
        <v>576</v>
      </c>
      <c r="C244" s="255" t="s">
        <v>256</v>
      </c>
      <c r="D244" s="256">
        <v>20</v>
      </c>
      <c r="E244" s="251" t="s">
        <v>549</v>
      </c>
      <c r="F244" s="256">
        <v>3</v>
      </c>
      <c r="G244" s="254">
        <v>45037</v>
      </c>
      <c r="H244" s="251" t="s">
        <v>2391</v>
      </c>
      <c r="I244" s="251" t="s">
        <v>2390</v>
      </c>
      <c r="J244" s="251" t="s">
        <v>614</v>
      </c>
      <c r="K244" s="251" t="s">
        <v>2394</v>
      </c>
      <c r="L244" s="251">
        <v>2021</v>
      </c>
      <c r="N244" s="251" t="s">
        <v>2392</v>
      </c>
      <c r="O244" s="252" t="s">
        <v>669</v>
      </c>
      <c r="P244" s="252">
        <v>1.2</v>
      </c>
      <c r="Q244" s="252" t="s">
        <v>2393</v>
      </c>
      <c r="R244" s="252" t="s">
        <v>496</v>
      </c>
      <c r="S244" s="252" t="s">
        <v>496</v>
      </c>
      <c r="T244" s="252" t="s">
        <v>496</v>
      </c>
      <c r="U244" s="252" t="s">
        <v>496</v>
      </c>
      <c r="V244" s="252" t="s">
        <v>496</v>
      </c>
      <c r="W244" s="252" t="s">
        <v>496</v>
      </c>
      <c r="X244" s="252" t="s">
        <v>496</v>
      </c>
      <c r="Y244" s="252" t="s">
        <v>496</v>
      </c>
      <c r="Z244" s="252" t="s">
        <v>496</v>
      </c>
      <c r="AA244" s="251" t="s">
        <v>2389</v>
      </c>
    </row>
    <row r="245" spans="2:28">
      <c r="B245" s="251" t="s">
        <v>1733</v>
      </c>
      <c r="C245" s="269" t="s">
        <v>256</v>
      </c>
      <c r="D245" s="256">
        <v>20</v>
      </c>
      <c r="E245" s="268" t="s">
        <v>549</v>
      </c>
      <c r="F245" s="256">
        <v>2.6</v>
      </c>
      <c r="G245" s="254">
        <v>45008</v>
      </c>
      <c r="I245" s="268" t="s">
        <v>3786</v>
      </c>
      <c r="J245" s="268" t="s">
        <v>614</v>
      </c>
      <c r="K245" s="268" t="s">
        <v>639</v>
      </c>
      <c r="L245" s="251">
        <v>2019</v>
      </c>
      <c r="N245" s="268" t="s">
        <v>3787</v>
      </c>
      <c r="O245" s="272" t="s">
        <v>496</v>
      </c>
      <c r="P245" s="272" t="s">
        <v>496</v>
      </c>
      <c r="Q245" s="272" t="s">
        <v>496</v>
      </c>
      <c r="R245" s="272" t="s">
        <v>496</v>
      </c>
      <c r="S245" s="272" t="s">
        <v>496</v>
      </c>
      <c r="T245" s="272" t="s">
        <v>496</v>
      </c>
      <c r="U245" s="272" t="s">
        <v>496</v>
      </c>
      <c r="V245" s="272" t="s">
        <v>496</v>
      </c>
      <c r="W245" s="272" t="s">
        <v>496</v>
      </c>
      <c r="X245" s="272" t="s">
        <v>496</v>
      </c>
      <c r="Y245" s="272" t="s">
        <v>496</v>
      </c>
      <c r="Z245" s="272" t="s">
        <v>496</v>
      </c>
      <c r="AA245" s="268" t="s">
        <v>3785</v>
      </c>
    </row>
    <row r="246" spans="2:28">
      <c r="B246" s="251" t="s">
        <v>1790</v>
      </c>
      <c r="C246" s="269" t="s">
        <v>256</v>
      </c>
      <c r="D246" s="256">
        <v>20</v>
      </c>
      <c r="E246" s="268" t="s">
        <v>549</v>
      </c>
      <c r="F246" s="256">
        <v>0.125</v>
      </c>
      <c r="G246" s="254">
        <v>44265</v>
      </c>
      <c r="H246" s="268" t="s">
        <v>3814</v>
      </c>
      <c r="I246" s="268" t="s">
        <v>3810</v>
      </c>
      <c r="J246" s="268" t="s">
        <v>614</v>
      </c>
      <c r="K246" s="268" t="s">
        <v>3751</v>
      </c>
      <c r="L246" s="251">
        <v>2020</v>
      </c>
      <c r="N246" s="268" t="s">
        <v>3812</v>
      </c>
      <c r="O246" s="272" t="s">
        <v>669</v>
      </c>
      <c r="P246" s="272">
        <v>0.2</v>
      </c>
      <c r="Q246" s="272" t="s">
        <v>3813</v>
      </c>
      <c r="R246" s="272" t="s">
        <v>496</v>
      </c>
      <c r="S246" s="272" t="s">
        <v>496</v>
      </c>
      <c r="T246" s="272" t="s">
        <v>496</v>
      </c>
      <c r="U246" s="272" t="s">
        <v>496</v>
      </c>
      <c r="V246" s="272" t="s">
        <v>496</v>
      </c>
      <c r="W246" s="272" t="s">
        <v>496</v>
      </c>
      <c r="X246" s="272" t="s">
        <v>496</v>
      </c>
      <c r="Y246" s="272" t="s">
        <v>496</v>
      </c>
      <c r="Z246" s="272" t="s">
        <v>496</v>
      </c>
      <c r="AA246" s="268" t="s">
        <v>3809</v>
      </c>
      <c r="AB246" s="5" t="s">
        <v>3811</v>
      </c>
    </row>
    <row r="247" spans="2:28" ht="14">
      <c r="B247" s="251" t="s">
        <v>1702</v>
      </c>
      <c r="C247" s="255" t="s">
        <v>256</v>
      </c>
      <c r="D247" s="256">
        <v>20</v>
      </c>
      <c r="E247" s="256" t="s">
        <v>496</v>
      </c>
      <c r="F247" s="256" t="s">
        <v>496</v>
      </c>
      <c r="G247" s="256" t="s">
        <v>496</v>
      </c>
      <c r="H247" s="251" t="s">
        <v>3764</v>
      </c>
      <c r="I247" s="251" t="s">
        <v>3766</v>
      </c>
      <c r="J247" s="251" t="s">
        <v>614</v>
      </c>
      <c r="K247" s="251" t="s">
        <v>658</v>
      </c>
      <c r="L247" s="251">
        <v>2021</v>
      </c>
      <c r="M247" s="251" t="s">
        <v>3765</v>
      </c>
      <c r="N247" s="251" t="s">
        <v>496</v>
      </c>
      <c r="O247" s="251" t="s">
        <v>496</v>
      </c>
      <c r="P247" s="251" t="s">
        <v>496</v>
      </c>
      <c r="Q247" s="251" t="s">
        <v>496</v>
      </c>
      <c r="R247" s="251" t="s">
        <v>496</v>
      </c>
      <c r="S247" s="251" t="s">
        <v>496</v>
      </c>
      <c r="T247" s="251" t="s">
        <v>496</v>
      </c>
      <c r="U247" s="251" t="s">
        <v>496</v>
      </c>
      <c r="V247" s="251" t="s">
        <v>496</v>
      </c>
      <c r="W247" s="251" t="s">
        <v>496</v>
      </c>
      <c r="X247" s="251" t="s">
        <v>496</v>
      </c>
      <c r="Y247" s="251" t="s">
        <v>496</v>
      </c>
      <c r="Z247" s="251" t="s">
        <v>496</v>
      </c>
      <c r="AA247" s="251" t="s">
        <v>837</v>
      </c>
      <c r="AB247" s="257" t="s">
        <v>3762</v>
      </c>
    </row>
    <row r="248" spans="2:28">
      <c r="B248" s="251" t="s">
        <v>1805</v>
      </c>
      <c r="C248" s="269" t="s">
        <v>256</v>
      </c>
      <c r="D248" s="270">
        <v>20</v>
      </c>
      <c r="E248" s="270" t="s">
        <v>496</v>
      </c>
      <c r="F248" s="270" t="s">
        <v>496</v>
      </c>
      <c r="G248" s="270" t="s">
        <v>496</v>
      </c>
      <c r="H248" s="268" t="s">
        <v>3844</v>
      </c>
      <c r="J248" s="268" t="s">
        <v>614</v>
      </c>
      <c r="K248" s="268" t="s">
        <v>3845</v>
      </c>
      <c r="L248" s="273" t="s">
        <v>496</v>
      </c>
      <c r="N248" s="268" t="s">
        <v>496</v>
      </c>
      <c r="O248" s="268" t="s">
        <v>496</v>
      </c>
      <c r="P248" s="268" t="s">
        <v>496</v>
      </c>
      <c r="Q248" s="268" t="s">
        <v>496</v>
      </c>
      <c r="R248" s="268" t="s">
        <v>496</v>
      </c>
      <c r="S248" s="268" t="s">
        <v>496</v>
      </c>
      <c r="T248" s="268" t="s">
        <v>496</v>
      </c>
      <c r="U248" s="268" t="s">
        <v>496</v>
      </c>
      <c r="V248" s="268" t="s">
        <v>496</v>
      </c>
      <c r="W248" s="268" t="s">
        <v>496</v>
      </c>
      <c r="X248" s="268" t="s">
        <v>496</v>
      </c>
      <c r="Y248" s="268" t="s">
        <v>496</v>
      </c>
      <c r="Z248" s="268" t="s">
        <v>496</v>
      </c>
      <c r="AA248" s="268" t="s">
        <v>3843</v>
      </c>
      <c r="AB248" s="5" t="s">
        <v>3846</v>
      </c>
    </row>
    <row r="249" spans="2:28">
      <c r="B249" s="251" t="s">
        <v>1287</v>
      </c>
      <c r="C249" s="255" t="s">
        <v>256</v>
      </c>
      <c r="D249" s="256">
        <v>20</v>
      </c>
      <c r="E249" s="251" t="s">
        <v>669</v>
      </c>
      <c r="F249" s="256">
        <v>1.7</v>
      </c>
      <c r="G249" s="254">
        <v>44852</v>
      </c>
      <c r="H249" s="251" t="s">
        <v>2612</v>
      </c>
      <c r="J249" s="251" t="s">
        <v>614</v>
      </c>
      <c r="K249" s="251" t="s">
        <v>615</v>
      </c>
      <c r="L249" s="251">
        <v>2021</v>
      </c>
      <c r="N249" s="251" t="s">
        <v>2613</v>
      </c>
      <c r="O249" s="252" t="s">
        <v>496</v>
      </c>
      <c r="P249" s="252" t="s">
        <v>496</v>
      </c>
      <c r="Q249" s="252" t="s">
        <v>496</v>
      </c>
      <c r="R249" s="252" t="s">
        <v>496</v>
      </c>
      <c r="S249" s="252" t="s">
        <v>496</v>
      </c>
      <c r="T249" s="252" t="s">
        <v>496</v>
      </c>
      <c r="U249" s="252" t="s">
        <v>496</v>
      </c>
      <c r="V249" s="252" t="s">
        <v>496</v>
      </c>
      <c r="W249" s="252" t="s">
        <v>496</v>
      </c>
      <c r="X249" s="252" t="s">
        <v>496</v>
      </c>
      <c r="Y249" s="252" t="s">
        <v>496</v>
      </c>
      <c r="Z249" s="252" t="s">
        <v>496</v>
      </c>
      <c r="AA249" s="251" t="s">
        <v>1887</v>
      </c>
    </row>
    <row r="250" spans="2:28">
      <c r="B250" s="251" t="s">
        <v>1372</v>
      </c>
      <c r="C250" s="255" t="s">
        <v>256</v>
      </c>
      <c r="D250" s="256">
        <v>10</v>
      </c>
      <c r="E250" s="251" t="s">
        <v>549</v>
      </c>
      <c r="F250" s="256">
        <v>3</v>
      </c>
      <c r="G250" s="205">
        <v>44348</v>
      </c>
      <c r="H250" s="251" t="s">
        <v>1800</v>
      </c>
      <c r="J250" s="251" t="s">
        <v>613</v>
      </c>
      <c r="K250" s="251" t="s">
        <v>430</v>
      </c>
      <c r="L250" s="259">
        <v>44166</v>
      </c>
      <c r="N250" s="251" t="s">
        <v>1802</v>
      </c>
      <c r="O250" s="252" t="s">
        <v>669</v>
      </c>
      <c r="P250" s="252">
        <v>0.5</v>
      </c>
      <c r="Q250" s="252" t="s">
        <v>496</v>
      </c>
      <c r="R250" s="252" t="s">
        <v>496</v>
      </c>
      <c r="S250" s="252" t="s">
        <v>496</v>
      </c>
      <c r="T250" s="252" t="s">
        <v>496</v>
      </c>
      <c r="U250" s="252" t="s">
        <v>496</v>
      </c>
      <c r="V250" s="252" t="s">
        <v>496</v>
      </c>
      <c r="W250" s="252" t="s">
        <v>496</v>
      </c>
      <c r="X250" s="252" t="s">
        <v>496</v>
      </c>
      <c r="Y250" s="252" t="s">
        <v>496</v>
      </c>
      <c r="Z250" s="252" t="s">
        <v>496</v>
      </c>
      <c r="AA250" s="251" t="s">
        <v>1801</v>
      </c>
    </row>
    <row r="251" spans="2:28">
      <c r="B251" s="251" t="s">
        <v>1389</v>
      </c>
      <c r="C251" s="255" t="s">
        <v>256</v>
      </c>
      <c r="D251" s="256">
        <v>4</v>
      </c>
      <c r="E251" s="251" t="s">
        <v>549</v>
      </c>
      <c r="F251" s="256">
        <v>0.21</v>
      </c>
      <c r="G251" s="254">
        <v>44682</v>
      </c>
      <c r="H251" s="251" t="s">
        <v>2764</v>
      </c>
      <c r="I251" s="251" t="s">
        <v>2765</v>
      </c>
      <c r="J251" s="251" t="s">
        <v>613</v>
      </c>
      <c r="K251" s="251" t="s">
        <v>2763</v>
      </c>
      <c r="L251" s="251">
        <v>2021</v>
      </c>
      <c r="N251" s="251" t="s">
        <v>2766</v>
      </c>
      <c r="O251" s="252" t="s">
        <v>496</v>
      </c>
      <c r="P251" s="252" t="s">
        <v>496</v>
      </c>
      <c r="Q251" s="252" t="s">
        <v>496</v>
      </c>
      <c r="R251" s="252" t="s">
        <v>496</v>
      </c>
      <c r="S251" s="252" t="s">
        <v>496</v>
      </c>
      <c r="T251" s="252" t="s">
        <v>496</v>
      </c>
      <c r="U251" s="252" t="s">
        <v>496</v>
      </c>
      <c r="V251" s="252" t="s">
        <v>496</v>
      </c>
      <c r="W251" s="252" t="s">
        <v>496</v>
      </c>
      <c r="X251" s="252" t="s">
        <v>496</v>
      </c>
      <c r="Y251" s="252" t="s">
        <v>496</v>
      </c>
      <c r="Z251" s="252" t="s">
        <v>496</v>
      </c>
      <c r="AA251" s="251" t="s">
        <v>2360</v>
      </c>
    </row>
    <row r="252" spans="2:28">
      <c r="B252" s="251" t="s">
        <v>3037</v>
      </c>
      <c r="C252" s="255" t="s">
        <v>256</v>
      </c>
      <c r="D252" s="256">
        <v>0.5</v>
      </c>
      <c r="E252" s="251" t="s">
        <v>669</v>
      </c>
      <c r="F252" s="256">
        <v>0.5</v>
      </c>
      <c r="G252" s="254">
        <v>43173</v>
      </c>
      <c r="H252" s="251" t="s">
        <v>3040</v>
      </c>
      <c r="I252" s="251" t="s">
        <v>496</v>
      </c>
      <c r="J252" s="251" t="s">
        <v>496</v>
      </c>
      <c r="K252" s="251" t="s">
        <v>496</v>
      </c>
      <c r="L252" s="253" t="s">
        <v>496</v>
      </c>
      <c r="N252" s="251" t="s">
        <v>3039</v>
      </c>
      <c r="O252" s="252" t="s">
        <v>496</v>
      </c>
      <c r="P252" s="252" t="s">
        <v>496</v>
      </c>
      <c r="Q252" s="252" t="s">
        <v>496</v>
      </c>
      <c r="R252" s="252" t="s">
        <v>496</v>
      </c>
      <c r="S252" s="252" t="s">
        <v>496</v>
      </c>
      <c r="T252" s="252" t="s">
        <v>496</v>
      </c>
      <c r="U252" s="252" t="s">
        <v>496</v>
      </c>
      <c r="V252" s="252" t="s">
        <v>496</v>
      </c>
      <c r="W252" s="252" t="s">
        <v>496</v>
      </c>
      <c r="X252" s="252" t="s">
        <v>496</v>
      </c>
      <c r="Y252" s="252" t="s">
        <v>496</v>
      </c>
      <c r="Z252" s="252" t="s">
        <v>496</v>
      </c>
      <c r="AA252" s="251" t="s">
        <v>3038</v>
      </c>
    </row>
    <row r="253" spans="2:28">
      <c r="B253" s="251" t="s">
        <v>1385</v>
      </c>
      <c r="C253" s="255" t="s">
        <v>256</v>
      </c>
      <c r="D253" s="256" t="s">
        <v>496</v>
      </c>
      <c r="E253" s="256" t="s">
        <v>496</v>
      </c>
      <c r="F253" s="256" t="s">
        <v>496</v>
      </c>
      <c r="G253" s="256" t="s">
        <v>496</v>
      </c>
      <c r="H253" s="264" t="s">
        <v>2763</v>
      </c>
      <c r="I253" s="264" t="s">
        <v>2770</v>
      </c>
      <c r="J253" s="264" t="s">
        <v>613</v>
      </c>
      <c r="K253" s="264" t="s">
        <v>2771</v>
      </c>
      <c r="L253" s="251">
        <v>2023</v>
      </c>
      <c r="M253" s="251" t="s">
        <v>2769</v>
      </c>
      <c r="N253" s="251" t="s">
        <v>496</v>
      </c>
      <c r="O253" s="251" t="s">
        <v>496</v>
      </c>
      <c r="P253" s="251" t="s">
        <v>496</v>
      </c>
      <c r="Q253" s="251" t="s">
        <v>496</v>
      </c>
      <c r="R253" s="251" t="s">
        <v>496</v>
      </c>
      <c r="S253" s="251" t="s">
        <v>496</v>
      </c>
      <c r="T253" s="251" t="s">
        <v>496</v>
      </c>
      <c r="U253" s="251" t="s">
        <v>496</v>
      </c>
      <c r="V253" s="251" t="s">
        <v>496</v>
      </c>
      <c r="W253" s="251" t="s">
        <v>496</v>
      </c>
      <c r="X253" s="251" t="s">
        <v>496</v>
      </c>
      <c r="Y253" s="251" t="s">
        <v>496</v>
      </c>
      <c r="Z253" s="251" t="s">
        <v>496</v>
      </c>
      <c r="AA253" s="251" t="s">
        <v>496</v>
      </c>
    </row>
    <row r="254" spans="2:28">
      <c r="B254" s="251" t="s">
        <v>1392</v>
      </c>
      <c r="C254" s="255" t="s">
        <v>256</v>
      </c>
      <c r="D254" s="256" t="s">
        <v>496</v>
      </c>
      <c r="E254" s="256" t="s">
        <v>496</v>
      </c>
      <c r="F254" s="256" t="s">
        <v>496</v>
      </c>
      <c r="G254" s="256" t="s">
        <v>496</v>
      </c>
      <c r="H254" s="251" t="s">
        <v>2800</v>
      </c>
      <c r="J254" s="251" t="s">
        <v>613</v>
      </c>
      <c r="K254" s="251" t="s">
        <v>2787</v>
      </c>
      <c r="L254" s="251">
        <v>2023</v>
      </c>
      <c r="N254" s="251" t="s">
        <v>496</v>
      </c>
      <c r="O254" s="251" t="s">
        <v>496</v>
      </c>
      <c r="P254" s="251" t="s">
        <v>496</v>
      </c>
      <c r="Q254" s="251" t="s">
        <v>496</v>
      </c>
      <c r="R254" s="251" t="s">
        <v>496</v>
      </c>
      <c r="S254" s="251" t="s">
        <v>496</v>
      </c>
      <c r="T254" s="251" t="s">
        <v>496</v>
      </c>
      <c r="U254" s="251" t="s">
        <v>496</v>
      </c>
      <c r="V254" s="251" t="s">
        <v>496</v>
      </c>
      <c r="W254" s="251" t="s">
        <v>496</v>
      </c>
      <c r="X254" s="251" t="s">
        <v>496</v>
      </c>
      <c r="Y254" s="251" t="s">
        <v>496</v>
      </c>
      <c r="Z254" s="251" t="s">
        <v>496</v>
      </c>
      <c r="AA254" s="251" t="s">
        <v>496</v>
      </c>
    </row>
    <row r="255" spans="2:28">
      <c r="B255" s="251" t="s">
        <v>2786</v>
      </c>
      <c r="C255" s="255" t="s">
        <v>256</v>
      </c>
      <c r="D255" s="256" t="s">
        <v>496</v>
      </c>
      <c r="E255" s="256" t="s">
        <v>496</v>
      </c>
      <c r="F255" s="256" t="s">
        <v>496</v>
      </c>
      <c r="G255" s="256" t="s">
        <v>496</v>
      </c>
      <c r="J255" s="251" t="s">
        <v>613</v>
      </c>
      <c r="K255" s="251" t="s">
        <v>2787</v>
      </c>
      <c r="L255" s="251">
        <v>2023</v>
      </c>
      <c r="N255" s="251" t="s">
        <v>496</v>
      </c>
      <c r="O255" s="251" t="s">
        <v>496</v>
      </c>
      <c r="P255" s="251" t="s">
        <v>496</v>
      </c>
      <c r="Q255" s="251" t="s">
        <v>496</v>
      </c>
      <c r="R255" s="251" t="s">
        <v>496</v>
      </c>
      <c r="S255" s="251" t="s">
        <v>496</v>
      </c>
      <c r="T255" s="251" t="s">
        <v>496</v>
      </c>
      <c r="U255" s="251" t="s">
        <v>496</v>
      </c>
      <c r="V255" s="251" t="s">
        <v>496</v>
      </c>
      <c r="W255" s="251" t="s">
        <v>496</v>
      </c>
      <c r="X255" s="251" t="s">
        <v>496</v>
      </c>
      <c r="Y255" s="251" t="s">
        <v>496</v>
      </c>
      <c r="Z255" s="251" t="s">
        <v>496</v>
      </c>
    </row>
    <row r="256" spans="2:28">
      <c r="B256" s="251" t="s">
        <v>1399</v>
      </c>
      <c r="C256" s="255" t="s">
        <v>256</v>
      </c>
      <c r="D256" s="256" t="s">
        <v>496</v>
      </c>
      <c r="E256" s="256" t="s">
        <v>496</v>
      </c>
      <c r="F256" s="256" t="s">
        <v>496</v>
      </c>
      <c r="G256" s="256" t="s">
        <v>496</v>
      </c>
      <c r="H256" s="251" t="s">
        <v>821</v>
      </c>
      <c r="J256" s="251" t="s">
        <v>613</v>
      </c>
      <c r="K256" s="251" t="s">
        <v>821</v>
      </c>
      <c r="L256" s="251">
        <v>2021</v>
      </c>
      <c r="M256" s="251" t="s">
        <v>2842</v>
      </c>
      <c r="N256" s="251" t="s">
        <v>496</v>
      </c>
      <c r="O256" s="251" t="s">
        <v>496</v>
      </c>
      <c r="P256" s="251" t="s">
        <v>496</v>
      </c>
      <c r="Q256" s="251" t="s">
        <v>496</v>
      </c>
      <c r="R256" s="251" t="s">
        <v>496</v>
      </c>
      <c r="S256" s="251" t="s">
        <v>496</v>
      </c>
      <c r="T256" s="251" t="s">
        <v>496</v>
      </c>
      <c r="U256" s="251" t="s">
        <v>496</v>
      </c>
      <c r="V256" s="251" t="s">
        <v>496</v>
      </c>
      <c r="W256" s="251" t="s">
        <v>496</v>
      </c>
      <c r="X256" s="251" t="s">
        <v>496</v>
      </c>
      <c r="Y256" s="251" t="s">
        <v>496</v>
      </c>
      <c r="Z256" s="251" t="s">
        <v>496</v>
      </c>
      <c r="AA256" s="251" t="s">
        <v>496</v>
      </c>
    </row>
    <row r="257" spans="2:28">
      <c r="B257" s="251" t="s">
        <v>1387</v>
      </c>
      <c r="C257" s="255" t="s">
        <v>256</v>
      </c>
      <c r="D257" s="256" t="s">
        <v>496</v>
      </c>
      <c r="E257" s="256" t="s">
        <v>496</v>
      </c>
      <c r="F257" s="256" t="s">
        <v>496</v>
      </c>
      <c r="G257" s="256" t="s">
        <v>496</v>
      </c>
      <c r="H257" s="251" t="s">
        <v>2788</v>
      </c>
      <c r="J257" s="251" t="s">
        <v>613</v>
      </c>
      <c r="K257" s="251" t="s">
        <v>615</v>
      </c>
      <c r="L257" s="251">
        <v>2023</v>
      </c>
      <c r="N257" s="251" t="s">
        <v>496</v>
      </c>
      <c r="O257" s="251" t="s">
        <v>496</v>
      </c>
      <c r="P257" s="251" t="s">
        <v>496</v>
      </c>
      <c r="Q257" s="251" t="s">
        <v>496</v>
      </c>
      <c r="R257" s="251" t="s">
        <v>496</v>
      </c>
      <c r="S257" s="251" t="s">
        <v>496</v>
      </c>
      <c r="T257" s="251" t="s">
        <v>496</v>
      </c>
      <c r="U257" s="251" t="s">
        <v>496</v>
      </c>
      <c r="V257" s="251" t="s">
        <v>496</v>
      </c>
      <c r="W257" s="251" t="s">
        <v>496</v>
      </c>
      <c r="X257" s="251" t="s">
        <v>496</v>
      </c>
      <c r="Y257" s="251" t="s">
        <v>496</v>
      </c>
      <c r="Z257" s="251" t="s">
        <v>496</v>
      </c>
      <c r="AA257" s="251" t="s">
        <v>496</v>
      </c>
    </row>
    <row r="258" spans="2:28">
      <c r="B258" s="251" t="s">
        <v>1386</v>
      </c>
      <c r="C258" s="255" t="s">
        <v>256</v>
      </c>
      <c r="D258" s="256" t="s">
        <v>496</v>
      </c>
      <c r="E258" s="256" t="s">
        <v>496</v>
      </c>
      <c r="F258" s="256" t="s">
        <v>496</v>
      </c>
      <c r="G258" s="256" t="s">
        <v>496</v>
      </c>
      <c r="J258" s="251" t="s">
        <v>613</v>
      </c>
      <c r="K258" s="251" t="s">
        <v>2771</v>
      </c>
      <c r="L258" s="251">
        <v>2023</v>
      </c>
      <c r="M258" s="251" t="s">
        <v>2773</v>
      </c>
      <c r="N258" s="264" t="s">
        <v>496</v>
      </c>
      <c r="O258" s="264" t="s">
        <v>496</v>
      </c>
      <c r="P258" s="264" t="s">
        <v>496</v>
      </c>
      <c r="Q258" s="264" t="s">
        <v>496</v>
      </c>
      <c r="R258" s="264" t="s">
        <v>496</v>
      </c>
      <c r="S258" s="264" t="s">
        <v>496</v>
      </c>
      <c r="T258" s="264" t="s">
        <v>496</v>
      </c>
      <c r="U258" s="264" t="s">
        <v>496</v>
      </c>
      <c r="V258" s="264" t="s">
        <v>496</v>
      </c>
      <c r="W258" s="264" t="s">
        <v>496</v>
      </c>
      <c r="X258" s="264" t="s">
        <v>496</v>
      </c>
      <c r="Y258" s="264" t="s">
        <v>496</v>
      </c>
      <c r="Z258" s="264" t="s">
        <v>496</v>
      </c>
      <c r="AA258" s="264" t="s">
        <v>496</v>
      </c>
    </row>
    <row r="259" spans="2:28">
      <c r="B259" s="251" t="s">
        <v>1395</v>
      </c>
      <c r="C259" s="255" t="s">
        <v>256</v>
      </c>
      <c r="D259" s="256" t="s">
        <v>496</v>
      </c>
      <c r="E259" s="256" t="s">
        <v>496</v>
      </c>
      <c r="F259" s="256" t="s">
        <v>496</v>
      </c>
      <c r="G259" s="256" t="s">
        <v>496</v>
      </c>
      <c r="H259" s="251" t="s">
        <v>2806</v>
      </c>
      <c r="J259" s="251" t="s">
        <v>614</v>
      </c>
      <c r="K259" s="251" t="s">
        <v>1566</v>
      </c>
      <c r="L259" s="253" t="s">
        <v>496</v>
      </c>
      <c r="N259" s="252" t="s">
        <v>496</v>
      </c>
      <c r="O259" s="252" t="s">
        <v>496</v>
      </c>
      <c r="P259" s="252" t="s">
        <v>496</v>
      </c>
      <c r="Q259" s="252" t="s">
        <v>496</v>
      </c>
      <c r="R259" s="252" t="s">
        <v>496</v>
      </c>
      <c r="S259" s="252" t="s">
        <v>496</v>
      </c>
      <c r="T259" s="252" t="s">
        <v>496</v>
      </c>
      <c r="U259" s="252" t="s">
        <v>496</v>
      </c>
      <c r="V259" s="252" t="s">
        <v>496</v>
      </c>
      <c r="W259" s="252" t="s">
        <v>496</v>
      </c>
      <c r="X259" s="252" t="s">
        <v>496</v>
      </c>
      <c r="Y259" s="252" t="s">
        <v>496</v>
      </c>
      <c r="Z259" s="252" t="s">
        <v>496</v>
      </c>
      <c r="AA259" s="252" t="s">
        <v>496</v>
      </c>
    </row>
    <row r="260" spans="2:28">
      <c r="B260" s="251" t="s">
        <v>1393</v>
      </c>
      <c r="C260" s="255" t="s">
        <v>256</v>
      </c>
      <c r="D260" s="256" t="s">
        <v>496</v>
      </c>
      <c r="E260" s="256" t="s">
        <v>496</v>
      </c>
      <c r="F260" s="256" t="s">
        <v>496</v>
      </c>
      <c r="G260" s="256" t="s">
        <v>496</v>
      </c>
      <c r="H260" s="251" t="s">
        <v>2802</v>
      </c>
      <c r="J260" s="251" t="s">
        <v>613</v>
      </c>
      <c r="K260" s="251" t="s">
        <v>2787</v>
      </c>
      <c r="L260" s="251">
        <v>2020</v>
      </c>
      <c r="N260" s="251" t="s">
        <v>496</v>
      </c>
      <c r="O260" s="251" t="s">
        <v>496</v>
      </c>
      <c r="P260" s="251" t="s">
        <v>496</v>
      </c>
      <c r="Q260" s="251" t="s">
        <v>496</v>
      </c>
      <c r="R260" s="251" t="s">
        <v>496</v>
      </c>
      <c r="S260" s="251" t="s">
        <v>496</v>
      </c>
      <c r="T260" s="251" t="s">
        <v>496</v>
      </c>
      <c r="U260" s="251" t="s">
        <v>496</v>
      </c>
      <c r="V260" s="251" t="s">
        <v>496</v>
      </c>
      <c r="W260" s="251" t="s">
        <v>496</v>
      </c>
      <c r="X260" s="251" t="s">
        <v>496</v>
      </c>
      <c r="Y260" s="251" t="s">
        <v>496</v>
      </c>
      <c r="Z260" s="251" t="s">
        <v>496</v>
      </c>
      <c r="AA260" s="251" t="s">
        <v>2240</v>
      </c>
    </row>
    <row r="261" spans="2:28">
      <c r="B261" s="251" t="s">
        <v>2804</v>
      </c>
      <c r="C261" s="255" t="s">
        <v>256</v>
      </c>
      <c r="D261" s="256" t="s">
        <v>496</v>
      </c>
      <c r="E261" s="256" t="s">
        <v>496</v>
      </c>
      <c r="F261" s="256" t="s">
        <v>496</v>
      </c>
      <c r="G261" s="256" t="s">
        <v>496</v>
      </c>
      <c r="J261" s="251" t="s">
        <v>2805</v>
      </c>
      <c r="K261" s="251" t="s">
        <v>2805</v>
      </c>
      <c r="L261" s="256" t="s">
        <v>496</v>
      </c>
      <c r="N261" s="264" t="s">
        <v>496</v>
      </c>
      <c r="O261" s="264" t="s">
        <v>496</v>
      </c>
      <c r="P261" s="264" t="s">
        <v>496</v>
      </c>
      <c r="Q261" s="264" t="s">
        <v>496</v>
      </c>
      <c r="R261" s="264" t="s">
        <v>496</v>
      </c>
      <c r="S261" s="264" t="s">
        <v>496</v>
      </c>
      <c r="T261" s="264" t="s">
        <v>496</v>
      </c>
      <c r="U261" s="264" t="s">
        <v>496</v>
      </c>
      <c r="V261" s="264" t="s">
        <v>496</v>
      </c>
      <c r="W261" s="264" t="s">
        <v>496</v>
      </c>
      <c r="X261" s="264" t="s">
        <v>496</v>
      </c>
      <c r="Y261" s="264" t="s">
        <v>496</v>
      </c>
      <c r="Z261" s="264" t="s">
        <v>496</v>
      </c>
      <c r="AA261" s="264" t="s">
        <v>496</v>
      </c>
      <c r="AB261" s="256"/>
    </row>
    <row r="262" spans="2:28">
      <c r="B262" s="251" t="s">
        <v>1402</v>
      </c>
      <c r="C262" s="255" t="s">
        <v>256</v>
      </c>
      <c r="D262" s="256" t="s">
        <v>496</v>
      </c>
      <c r="E262" s="256" t="s">
        <v>496</v>
      </c>
      <c r="F262" s="256" t="s">
        <v>496</v>
      </c>
      <c r="G262" s="256" t="s">
        <v>496</v>
      </c>
      <c r="H262" s="251" t="s">
        <v>2848</v>
      </c>
      <c r="J262" s="251" t="s">
        <v>613</v>
      </c>
      <c r="K262" s="251" t="s">
        <v>821</v>
      </c>
      <c r="L262" s="253" t="s">
        <v>496</v>
      </c>
      <c r="N262" s="264" t="s">
        <v>496</v>
      </c>
      <c r="O262" s="264" t="s">
        <v>496</v>
      </c>
      <c r="P262" s="264" t="s">
        <v>496</v>
      </c>
      <c r="Q262" s="264" t="s">
        <v>496</v>
      </c>
      <c r="R262" s="264" t="s">
        <v>496</v>
      </c>
      <c r="S262" s="264" t="s">
        <v>496</v>
      </c>
      <c r="T262" s="264" t="s">
        <v>496</v>
      </c>
      <c r="U262" s="264" t="s">
        <v>496</v>
      </c>
      <c r="V262" s="264" t="s">
        <v>496</v>
      </c>
      <c r="W262" s="264" t="s">
        <v>496</v>
      </c>
      <c r="X262" s="264" t="s">
        <v>496</v>
      </c>
      <c r="Y262" s="264" t="s">
        <v>496</v>
      </c>
      <c r="Z262" s="264" t="s">
        <v>496</v>
      </c>
      <c r="AA262" s="264" t="s">
        <v>496</v>
      </c>
    </row>
    <row r="263" spans="2:28">
      <c r="B263" s="251" t="s">
        <v>1401</v>
      </c>
      <c r="C263" s="255" t="s">
        <v>256</v>
      </c>
      <c r="D263" s="256" t="s">
        <v>496</v>
      </c>
      <c r="E263" s="256" t="s">
        <v>496</v>
      </c>
      <c r="F263" s="256" t="s">
        <v>496</v>
      </c>
      <c r="G263" s="256" t="s">
        <v>496</v>
      </c>
      <c r="H263" s="251" t="s">
        <v>2844</v>
      </c>
      <c r="J263" s="251" t="s">
        <v>613</v>
      </c>
      <c r="K263" s="251" t="s">
        <v>561</v>
      </c>
      <c r="L263" s="253" t="s">
        <v>496</v>
      </c>
      <c r="N263" s="251" t="s">
        <v>496</v>
      </c>
      <c r="O263" s="251" t="s">
        <v>496</v>
      </c>
      <c r="P263" s="251" t="s">
        <v>496</v>
      </c>
      <c r="Q263" s="251" t="s">
        <v>496</v>
      </c>
      <c r="R263" s="251" t="s">
        <v>496</v>
      </c>
      <c r="S263" s="251" t="s">
        <v>496</v>
      </c>
      <c r="T263" s="251" t="s">
        <v>496</v>
      </c>
      <c r="U263" s="251" t="s">
        <v>496</v>
      </c>
      <c r="V263" s="251" t="s">
        <v>496</v>
      </c>
      <c r="W263" s="251" t="s">
        <v>496</v>
      </c>
      <c r="X263" s="251" t="s">
        <v>496</v>
      </c>
      <c r="Y263" s="251" t="s">
        <v>496</v>
      </c>
      <c r="Z263" s="251" t="s">
        <v>496</v>
      </c>
      <c r="AA263" s="251" t="s">
        <v>496</v>
      </c>
    </row>
    <row r="264" spans="2:28">
      <c r="B264" s="251" t="s">
        <v>2847</v>
      </c>
      <c r="C264" s="255" t="s">
        <v>256</v>
      </c>
      <c r="D264" s="256" t="s">
        <v>496</v>
      </c>
      <c r="E264" s="256" t="s">
        <v>496</v>
      </c>
      <c r="F264" s="256" t="s">
        <v>496</v>
      </c>
      <c r="G264" s="256" t="s">
        <v>496</v>
      </c>
      <c r="H264" s="251" t="s">
        <v>561</v>
      </c>
      <c r="J264" s="251" t="s">
        <v>613</v>
      </c>
      <c r="K264" s="251" t="s">
        <v>561</v>
      </c>
      <c r="L264" s="251">
        <v>2021</v>
      </c>
      <c r="N264" s="251" t="s">
        <v>496</v>
      </c>
      <c r="O264" s="251" t="s">
        <v>496</v>
      </c>
      <c r="P264" s="251" t="s">
        <v>496</v>
      </c>
      <c r="Q264" s="251" t="s">
        <v>496</v>
      </c>
      <c r="R264" s="251" t="s">
        <v>496</v>
      </c>
      <c r="S264" s="251" t="s">
        <v>496</v>
      </c>
      <c r="T264" s="251" t="s">
        <v>496</v>
      </c>
      <c r="U264" s="251" t="s">
        <v>496</v>
      </c>
      <c r="V264" s="251" t="s">
        <v>496</v>
      </c>
      <c r="W264" s="251" t="s">
        <v>496</v>
      </c>
      <c r="X264" s="251" t="s">
        <v>496</v>
      </c>
      <c r="Y264" s="251" t="s">
        <v>496</v>
      </c>
      <c r="Z264" s="251" t="s">
        <v>496</v>
      </c>
      <c r="AA264" s="251" t="s">
        <v>844</v>
      </c>
    </row>
    <row r="265" spans="2:28">
      <c r="B265" s="251" t="s">
        <v>1400</v>
      </c>
      <c r="C265" s="255" t="s">
        <v>256</v>
      </c>
      <c r="D265" s="256" t="s">
        <v>496</v>
      </c>
      <c r="E265" s="256" t="s">
        <v>496</v>
      </c>
      <c r="F265" s="256" t="s">
        <v>496</v>
      </c>
      <c r="G265" s="256" t="s">
        <v>496</v>
      </c>
      <c r="H265" s="251" t="s">
        <v>2843</v>
      </c>
      <c r="L265" s="251">
        <v>2022</v>
      </c>
      <c r="N265" s="264" t="s">
        <v>496</v>
      </c>
      <c r="O265" s="264" t="s">
        <v>496</v>
      </c>
      <c r="P265" s="264" t="s">
        <v>496</v>
      </c>
      <c r="Q265" s="264" t="s">
        <v>496</v>
      </c>
      <c r="R265" s="264" t="s">
        <v>496</v>
      </c>
      <c r="S265" s="264" t="s">
        <v>496</v>
      </c>
      <c r="T265" s="264" t="s">
        <v>496</v>
      </c>
      <c r="U265" s="264" t="s">
        <v>496</v>
      </c>
      <c r="V265" s="264" t="s">
        <v>496</v>
      </c>
      <c r="W265" s="264" t="s">
        <v>496</v>
      </c>
      <c r="X265" s="264" t="s">
        <v>496</v>
      </c>
      <c r="Y265" s="264" t="s">
        <v>496</v>
      </c>
      <c r="Z265" s="264" t="s">
        <v>496</v>
      </c>
      <c r="AA265" s="264" t="s">
        <v>496</v>
      </c>
    </row>
    <row r="266" spans="2:28">
      <c r="B266" s="251" t="s">
        <v>1394</v>
      </c>
      <c r="C266" s="255" t="s">
        <v>256</v>
      </c>
      <c r="D266" s="256" t="s">
        <v>496</v>
      </c>
      <c r="E266" s="256" t="s">
        <v>496</v>
      </c>
      <c r="F266" s="256" t="s">
        <v>496</v>
      </c>
      <c r="G266" s="256" t="s">
        <v>496</v>
      </c>
      <c r="H266" s="251" t="s">
        <v>2803</v>
      </c>
      <c r="J266" s="251" t="s">
        <v>613</v>
      </c>
      <c r="K266" s="251" t="s">
        <v>561</v>
      </c>
      <c r="L266" s="253" t="s">
        <v>496</v>
      </c>
      <c r="N266" s="251" t="s">
        <v>496</v>
      </c>
      <c r="O266" s="251" t="s">
        <v>496</v>
      </c>
      <c r="P266" s="251" t="s">
        <v>496</v>
      </c>
      <c r="Q266" s="251" t="s">
        <v>496</v>
      </c>
      <c r="R266" s="251" t="s">
        <v>496</v>
      </c>
      <c r="S266" s="251" t="s">
        <v>496</v>
      </c>
      <c r="T266" s="251" t="s">
        <v>496</v>
      </c>
      <c r="U266" s="251" t="s">
        <v>496</v>
      </c>
      <c r="V266" s="251" t="s">
        <v>496</v>
      </c>
      <c r="W266" s="251" t="s">
        <v>496</v>
      </c>
      <c r="X266" s="251" t="s">
        <v>496</v>
      </c>
      <c r="Y266" s="251" t="s">
        <v>496</v>
      </c>
      <c r="Z266" s="251" t="s">
        <v>496</v>
      </c>
      <c r="AA266" s="251" t="s">
        <v>496</v>
      </c>
    </row>
    <row r="267" spans="2:28">
      <c r="B267" s="251" t="s">
        <v>1397</v>
      </c>
      <c r="C267" s="255" t="s">
        <v>256</v>
      </c>
      <c r="D267" s="256" t="s">
        <v>496</v>
      </c>
      <c r="E267" s="256" t="s">
        <v>496</v>
      </c>
      <c r="F267" s="256" t="s">
        <v>496</v>
      </c>
      <c r="G267" s="256" t="s">
        <v>496</v>
      </c>
      <c r="H267" s="251" t="s">
        <v>2832</v>
      </c>
      <c r="J267" s="251" t="s">
        <v>613</v>
      </c>
      <c r="K267" s="251" t="s">
        <v>1566</v>
      </c>
      <c r="L267" s="253" t="s">
        <v>496</v>
      </c>
      <c r="N267" s="251" t="s">
        <v>496</v>
      </c>
      <c r="O267" s="251" t="s">
        <v>496</v>
      </c>
      <c r="P267" s="251" t="s">
        <v>496</v>
      </c>
      <c r="Q267" s="251" t="s">
        <v>496</v>
      </c>
      <c r="R267" s="251" t="s">
        <v>496</v>
      </c>
      <c r="S267" s="251" t="s">
        <v>496</v>
      </c>
      <c r="T267" s="251" t="s">
        <v>496</v>
      </c>
      <c r="U267" s="251" t="s">
        <v>496</v>
      </c>
      <c r="V267" s="251" t="s">
        <v>496</v>
      </c>
      <c r="W267" s="251" t="s">
        <v>496</v>
      </c>
      <c r="X267" s="251" t="s">
        <v>496</v>
      </c>
      <c r="Y267" s="251" t="s">
        <v>496</v>
      </c>
      <c r="Z267" s="251" t="s">
        <v>496</v>
      </c>
      <c r="AA267" s="251" t="s">
        <v>496</v>
      </c>
    </row>
    <row r="268" spans="2:28">
      <c r="B268" s="251" t="s">
        <v>1396</v>
      </c>
      <c r="C268" s="255" t="s">
        <v>256</v>
      </c>
      <c r="D268" s="256" t="s">
        <v>496</v>
      </c>
      <c r="E268" s="256" t="s">
        <v>496</v>
      </c>
      <c r="F268" s="256" t="s">
        <v>496</v>
      </c>
      <c r="G268" s="256" t="s">
        <v>496</v>
      </c>
      <c r="H268" s="251" t="s">
        <v>2830</v>
      </c>
      <c r="J268" s="251" t="s">
        <v>613</v>
      </c>
      <c r="K268" s="251" t="s">
        <v>2831</v>
      </c>
      <c r="L268" s="251">
        <v>2021</v>
      </c>
      <c r="N268" s="251" t="s">
        <v>496</v>
      </c>
      <c r="O268" s="251" t="s">
        <v>496</v>
      </c>
      <c r="P268" s="251" t="s">
        <v>496</v>
      </c>
      <c r="Q268" s="251" t="s">
        <v>496</v>
      </c>
      <c r="R268" s="251" t="s">
        <v>496</v>
      </c>
      <c r="S268" s="251" t="s">
        <v>496</v>
      </c>
      <c r="T268" s="251" t="s">
        <v>496</v>
      </c>
      <c r="U268" s="251" t="s">
        <v>496</v>
      </c>
      <c r="V268" s="251" t="s">
        <v>496</v>
      </c>
      <c r="W268" s="251" t="s">
        <v>496</v>
      </c>
      <c r="X268" s="251" t="s">
        <v>496</v>
      </c>
      <c r="Y268" s="251" t="s">
        <v>496</v>
      </c>
      <c r="Z268" s="251" t="s">
        <v>496</v>
      </c>
      <c r="AA268" s="251" t="s">
        <v>2829</v>
      </c>
    </row>
    <row r="269" spans="2:28">
      <c r="B269" s="251" t="s">
        <v>1384</v>
      </c>
      <c r="C269" s="255" t="s">
        <v>256</v>
      </c>
      <c r="D269" s="256" t="s">
        <v>496</v>
      </c>
      <c r="E269" s="256" t="s">
        <v>496</v>
      </c>
      <c r="F269" s="256" t="s">
        <v>496</v>
      </c>
      <c r="G269" s="256" t="s">
        <v>496</v>
      </c>
      <c r="H269" s="251" t="s">
        <v>2768</v>
      </c>
      <c r="J269" s="251" t="s">
        <v>613</v>
      </c>
      <c r="K269" s="251" t="s">
        <v>2767</v>
      </c>
      <c r="L269" s="251">
        <v>2023</v>
      </c>
      <c r="N269" s="251" t="s">
        <v>496</v>
      </c>
      <c r="O269" s="251" t="s">
        <v>496</v>
      </c>
      <c r="P269" s="251" t="s">
        <v>496</v>
      </c>
      <c r="Q269" s="251" t="s">
        <v>496</v>
      </c>
      <c r="R269" s="251" t="s">
        <v>496</v>
      </c>
      <c r="S269" s="251" t="s">
        <v>496</v>
      </c>
      <c r="T269" s="251" t="s">
        <v>496</v>
      </c>
      <c r="U269" s="251" t="s">
        <v>496</v>
      </c>
      <c r="V269" s="251" t="s">
        <v>496</v>
      </c>
      <c r="W269" s="251" t="s">
        <v>496</v>
      </c>
      <c r="X269" s="251" t="s">
        <v>496</v>
      </c>
      <c r="Y269" s="251" t="s">
        <v>496</v>
      </c>
      <c r="Z269" s="251" t="s">
        <v>496</v>
      </c>
      <c r="AA269" s="251" t="s">
        <v>496</v>
      </c>
    </row>
    <row r="270" spans="2:28">
      <c r="B270" s="251" t="s">
        <v>1398</v>
      </c>
      <c r="C270" s="255" t="s">
        <v>256</v>
      </c>
      <c r="D270" s="256" t="s">
        <v>496</v>
      </c>
      <c r="E270" s="256" t="s">
        <v>496</v>
      </c>
      <c r="F270" s="256" t="s">
        <v>496</v>
      </c>
      <c r="G270" s="256" t="s">
        <v>496</v>
      </c>
      <c r="H270" s="251" t="s">
        <v>2833</v>
      </c>
      <c r="J270" s="251" t="s">
        <v>613</v>
      </c>
      <c r="K270" s="251" t="s">
        <v>1280</v>
      </c>
      <c r="L270" s="251">
        <v>2023</v>
      </c>
      <c r="N270" s="251" t="s">
        <v>496</v>
      </c>
      <c r="O270" s="251" t="s">
        <v>496</v>
      </c>
      <c r="P270" s="251" t="s">
        <v>496</v>
      </c>
      <c r="Q270" s="251" t="s">
        <v>496</v>
      </c>
      <c r="R270" s="251" t="s">
        <v>496</v>
      </c>
      <c r="S270" s="251" t="s">
        <v>496</v>
      </c>
      <c r="T270" s="251" t="s">
        <v>496</v>
      </c>
      <c r="U270" s="251" t="s">
        <v>496</v>
      </c>
      <c r="V270" s="251" t="s">
        <v>496</v>
      </c>
      <c r="W270" s="251" t="s">
        <v>496</v>
      </c>
      <c r="X270" s="251" t="s">
        <v>496</v>
      </c>
      <c r="Y270" s="251" t="s">
        <v>496</v>
      </c>
      <c r="Z270" s="251" t="s">
        <v>496</v>
      </c>
      <c r="AA270" s="251" t="s">
        <v>496</v>
      </c>
    </row>
    <row r="271" spans="2:28">
      <c r="B271" s="251" t="s">
        <v>1391</v>
      </c>
      <c r="C271" s="255" t="s">
        <v>256</v>
      </c>
      <c r="D271" s="256" t="s">
        <v>496</v>
      </c>
      <c r="E271" s="256" t="s">
        <v>496</v>
      </c>
      <c r="F271" s="256" t="s">
        <v>496</v>
      </c>
      <c r="G271" s="256" t="s">
        <v>496</v>
      </c>
      <c r="H271" s="251" t="s">
        <v>561</v>
      </c>
      <c r="J271" s="251" t="s">
        <v>613</v>
      </c>
      <c r="K271" s="251" t="s">
        <v>2799</v>
      </c>
      <c r="L271" s="256" t="s">
        <v>496</v>
      </c>
      <c r="N271" s="264" t="s">
        <v>496</v>
      </c>
      <c r="O271" s="264" t="s">
        <v>496</v>
      </c>
      <c r="P271" s="264" t="s">
        <v>496</v>
      </c>
      <c r="Q271" s="264" t="s">
        <v>496</v>
      </c>
      <c r="R271" s="264" t="s">
        <v>496</v>
      </c>
      <c r="S271" s="264" t="s">
        <v>496</v>
      </c>
      <c r="T271" s="264" t="s">
        <v>496</v>
      </c>
      <c r="U271" s="264" t="s">
        <v>496</v>
      </c>
      <c r="V271" s="264" t="s">
        <v>496</v>
      </c>
      <c r="W271" s="264" t="s">
        <v>496</v>
      </c>
      <c r="X271" s="264" t="s">
        <v>496</v>
      </c>
      <c r="Y271" s="264" t="s">
        <v>496</v>
      </c>
      <c r="Z271" s="264" t="s">
        <v>496</v>
      </c>
      <c r="AA271" s="264" t="s">
        <v>496</v>
      </c>
    </row>
    <row r="272" spans="2:28">
      <c r="B272" s="251" t="s">
        <v>1528</v>
      </c>
      <c r="C272" s="255" t="s">
        <v>256</v>
      </c>
      <c r="D272" s="256" t="s">
        <v>496</v>
      </c>
      <c r="E272" s="256" t="s">
        <v>496</v>
      </c>
      <c r="F272" s="256" t="s">
        <v>496</v>
      </c>
      <c r="G272" s="256" t="s">
        <v>496</v>
      </c>
      <c r="H272" s="251" t="s">
        <v>2705</v>
      </c>
      <c r="I272" s="251" t="s">
        <v>2707</v>
      </c>
      <c r="J272" s="251" t="s">
        <v>614</v>
      </c>
      <c r="K272" s="251" t="s">
        <v>708</v>
      </c>
      <c r="L272" s="251">
        <v>2022</v>
      </c>
      <c r="N272" s="251" t="s">
        <v>496</v>
      </c>
      <c r="O272" s="251" t="s">
        <v>496</v>
      </c>
      <c r="P272" s="251" t="s">
        <v>496</v>
      </c>
      <c r="Q272" s="251" t="s">
        <v>496</v>
      </c>
      <c r="R272" s="251" t="s">
        <v>496</v>
      </c>
      <c r="S272" s="251" t="s">
        <v>496</v>
      </c>
      <c r="T272" s="251" t="s">
        <v>496</v>
      </c>
      <c r="U272" s="251" t="s">
        <v>496</v>
      </c>
      <c r="V272" s="251" t="s">
        <v>496</v>
      </c>
      <c r="W272" s="251" t="s">
        <v>496</v>
      </c>
      <c r="X272" s="251" t="s">
        <v>496</v>
      </c>
      <c r="Y272" s="251" t="s">
        <v>496</v>
      </c>
      <c r="Z272" s="251" t="s">
        <v>496</v>
      </c>
      <c r="AA272" s="251" t="s">
        <v>2706</v>
      </c>
    </row>
    <row r="273" spans="2:28" s="268" customFormat="1" ht="14">
      <c r="B273" s="268" t="s">
        <v>1722</v>
      </c>
      <c r="C273" s="269" t="s">
        <v>256</v>
      </c>
      <c r="D273" s="270" t="s">
        <v>496</v>
      </c>
      <c r="E273" s="270" t="s">
        <v>496</v>
      </c>
      <c r="F273" s="270" t="s">
        <v>496</v>
      </c>
      <c r="G273" s="270" t="s">
        <v>496</v>
      </c>
      <c r="H273" s="268" t="s">
        <v>3778</v>
      </c>
      <c r="L273" s="268">
        <v>2021</v>
      </c>
      <c r="N273" s="268" t="s">
        <v>496</v>
      </c>
      <c r="O273" s="268" t="s">
        <v>496</v>
      </c>
      <c r="P273" s="268" t="s">
        <v>496</v>
      </c>
      <c r="Q273" s="268" t="s">
        <v>496</v>
      </c>
      <c r="R273" s="268" t="s">
        <v>496</v>
      </c>
      <c r="S273" s="268" t="s">
        <v>496</v>
      </c>
      <c r="T273" s="268" t="s">
        <v>496</v>
      </c>
      <c r="U273" s="268" t="s">
        <v>496</v>
      </c>
      <c r="V273" s="268" t="s">
        <v>496</v>
      </c>
      <c r="W273" s="268" t="s">
        <v>496</v>
      </c>
      <c r="X273" s="268" t="s">
        <v>496</v>
      </c>
      <c r="Y273" s="268" t="s">
        <v>496</v>
      </c>
      <c r="Z273" s="268" t="s">
        <v>496</v>
      </c>
      <c r="AA273" s="268" t="s">
        <v>3774</v>
      </c>
      <c r="AB273" s="257" t="s">
        <v>3777</v>
      </c>
    </row>
    <row r="274" spans="2:28">
      <c r="B274" s="251" t="s">
        <v>1517</v>
      </c>
      <c r="C274" s="255" t="s">
        <v>256</v>
      </c>
      <c r="D274" s="256" t="s">
        <v>496</v>
      </c>
      <c r="E274" s="264" t="s">
        <v>496</v>
      </c>
      <c r="F274" s="256" t="s">
        <v>496</v>
      </c>
      <c r="G274" s="256" t="s">
        <v>496</v>
      </c>
      <c r="H274" s="251" t="s">
        <v>865</v>
      </c>
      <c r="J274" s="251" t="s">
        <v>614</v>
      </c>
      <c r="K274" s="251" t="s">
        <v>865</v>
      </c>
      <c r="L274" s="251">
        <v>2020</v>
      </c>
      <c r="M274" s="251" t="s">
        <v>1918</v>
      </c>
      <c r="N274" s="251" t="s">
        <v>496</v>
      </c>
      <c r="O274" s="251" t="s">
        <v>496</v>
      </c>
      <c r="P274" s="251" t="s">
        <v>496</v>
      </c>
      <c r="Q274" s="251" t="s">
        <v>496</v>
      </c>
      <c r="R274" s="251" t="s">
        <v>496</v>
      </c>
      <c r="S274" s="251" t="s">
        <v>496</v>
      </c>
      <c r="T274" s="251" t="s">
        <v>496</v>
      </c>
      <c r="U274" s="251" t="s">
        <v>496</v>
      </c>
      <c r="V274" s="251" t="s">
        <v>496</v>
      </c>
      <c r="W274" s="251" t="s">
        <v>496</v>
      </c>
      <c r="X274" s="251" t="s">
        <v>496</v>
      </c>
      <c r="Y274" s="251" t="s">
        <v>496</v>
      </c>
      <c r="Z274" s="251" t="s">
        <v>496</v>
      </c>
      <c r="AA274" s="251" t="s">
        <v>1917</v>
      </c>
    </row>
    <row r="275" spans="2:28">
      <c r="E275" s="264"/>
      <c r="G275" s="256"/>
      <c r="O275" s="251"/>
      <c r="P275" s="251"/>
      <c r="Q275" s="251"/>
      <c r="R275" s="251"/>
      <c r="S275" s="251"/>
      <c r="T275" s="251"/>
      <c r="U275" s="251"/>
      <c r="V275" s="251"/>
      <c r="W275" s="251"/>
      <c r="X275" s="251"/>
      <c r="Y275" s="251"/>
      <c r="Z275" s="251"/>
    </row>
    <row r="276" spans="2:28">
      <c r="B276" s="95" t="s">
        <v>3092</v>
      </c>
      <c r="E276" s="264"/>
      <c r="G276" s="256"/>
      <c r="O276" s="251"/>
      <c r="P276" s="251"/>
      <c r="Q276" s="251"/>
      <c r="R276" s="251"/>
      <c r="S276" s="251"/>
      <c r="T276" s="251"/>
      <c r="U276" s="251"/>
      <c r="V276" s="251"/>
      <c r="W276" s="251"/>
      <c r="X276" s="251"/>
      <c r="Y276" s="251"/>
      <c r="Z276" s="251"/>
    </row>
    <row r="277" spans="2:28">
      <c r="B277" s="251" t="s">
        <v>1518</v>
      </c>
      <c r="C277" s="255" t="s">
        <v>256</v>
      </c>
      <c r="D277" s="256">
        <v>7900</v>
      </c>
      <c r="E277" s="251" t="s">
        <v>2439</v>
      </c>
      <c r="F277" s="256">
        <v>200</v>
      </c>
      <c r="G277" s="254">
        <v>44175</v>
      </c>
      <c r="H277" s="251" t="s">
        <v>3104</v>
      </c>
      <c r="I277" s="251" t="s">
        <v>3101</v>
      </c>
      <c r="J277" s="251" t="s">
        <v>3100</v>
      </c>
      <c r="K277" s="251" t="s">
        <v>430</v>
      </c>
      <c r="L277" s="251">
        <v>2015</v>
      </c>
      <c r="M277" s="251" t="s">
        <v>2403</v>
      </c>
      <c r="N277" s="251" t="s">
        <v>3105</v>
      </c>
      <c r="O277" s="252" t="s">
        <v>813</v>
      </c>
      <c r="P277" s="252">
        <v>200</v>
      </c>
      <c r="Q277" s="252" t="s">
        <v>3106</v>
      </c>
      <c r="R277" s="252" t="s">
        <v>738</v>
      </c>
      <c r="S277" s="252">
        <v>110</v>
      </c>
      <c r="T277" s="252" t="s">
        <v>3107</v>
      </c>
      <c r="U277" s="252" t="s">
        <v>755</v>
      </c>
      <c r="V277" s="252">
        <v>80</v>
      </c>
      <c r="W277" s="252" t="s">
        <v>3108</v>
      </c>
      <c r="X277" s="252" t="s">
        <v>565</v>
      </c>
      <c r="Y277" s="252">
        <v>70</v>
      </c>
      <c r="Z277" s="252" t="s">
        <v>3109</v>
      </c>
      <c r="AA277" s="251" t="s">
        <v>3102</v>
      </c>
    </row>
    <row r="278" spans="2:28">
      <c r="B278" s="251" t="s">
        <v>1824</v>
      </c>
      <c r="C278" s="269" t="s">
        <v>256</v>
      </c>
      <c r="D278" s="256">
        <v>5200</v>
      </c>
      <c r="E278" s="268" t="s">
        <v>813</v>
      </c>
      <c r="F278" s="256">
        <v>400</v>
      </c>
      <c r="G278" s="254">
        <v>28327</v>
      </c>
      <c r="H278" s="268" t="s">
        <v>3947</v>
      </c>
      <c r="I278" s="268" t="s">
        <v>3945</v>
      </c>
      <c r="J278" s="268" t="s">
        <v>614</v>
      </c>
      <c r="K278" s="268" t="s">
        <v>3751</v>
      </c>
      <c r="L278" s="251">
        <v>2012</v>
      </c>
      <c r="N278" s="268" t="s">
        <v>3948</v>
      </c>
      <c r="O278" s="272" t="s">
        <v>496</v>
      </c>
      <c r="P278" s="272" t="s">
        <v>496</v>
      </c>
      <c r="Q278" s="272" t="s">
        <v>496</v>
      </c>
      <c r="R278" s="272" t="s">
        <v>496</v>
      </c>
      <c r="S278" s="272" t="s">
        <v>496</v>
      </c>
      <c r="T278" s="272" t="s">
        <v>496</v>
      </c>
      <c r="U278" s="272" t="s">
        <v>496</v>
      </c>
      <c r="V278" s="272" t="s">
        <v>496</v>
      </c>
      <c r="W278" s="272" t="s">
        <v>496</v>
      </c>
      <c r="X278" s="272" t="s">
        <v>496</v>
      </c>
      <c r="Y278" s="272" t="s">
        <v>496</v>
      </c>
      <c r="Z278" s="272" t="s">
        <v>496</v>
      </c>
      <c r="AA278" s="268" t="s">
        <v>3944</v>
      </c>
    </row>
    <row r="279" spans="2:28">
      <c r="B279" s="251" t="s">
        <v>428</v>
      </c>
      <c r="C279" s="255" t="s">
        <v>256</v>
      </c>
      <c r="D279" s="256">
        <v>4000</v>
      </c>
      <c r="E279" s="251" t="s">
        <v>3084</v>
      </c>
      <c r="F279" s="256">
        <v>400</v>
      </c>
      <c r="G279" s="254">
        <v>44378</v>
      </c>
      <c r="H279" s="251" t="s">
        <v>3082</v>
      </c>
      <c r="I279" s="251" t="s">
        <v>3083</v>
      </c>
      <c r="J279" s="251" t="s">
        <v>614</v>
      </c>
      <c r="K279" s="251" t="s">
        <v>430</v>
      </c>
      <c r="L279" s="251">
        <v>2012</v>
      </c>
      <c r="N279" s="251" t="s">
        <v>3086</v>
      </c>
      <c r="O279" s="252" t="s">
        <v>2439</v>
      </c>
      <c r="P279" s="252" t="s">
        <v>3087</v>
      </c>
      <c r="Q279" s="252" t="s">
        <v>3088</v>
      </c>
      <c r="R279" s="252" t="s">
        <v>813</v>
      </c>
      <c r="S279" s="252">
        <v>106</v>
      </c>
      <c r="T279" s="252" t="s">
        <v>3089</v>
      </c>
      <c r="U279" s="252" t="s">
        <v>738</v>
      </c>
      <c r="V279" s="252">
        <v>52</v>
      </c>
      <c r="W279" s="252" t="s">
        <v>3090</v>
      </c>
      <c r="X279" s="252" t="s">
        <v>755</v>
      </c>
      <c r="Y279" s="252">
        <v>32.799999999999997</v>
      </c>
      <c r="Z279" s="252" t="s">
        <v>3091</v>
      </c>
      <c r="AA279" s="251" t="s">
        <v>3085</v>
      </c>
    </row>
    <row r="280" spans="2:28">
      <c r="B280" s="251" t="s">
        <v>438</v>
      </c>
      <c r="C280" s="255" t="s">
        <v>256</v>
      </c>
      <c r="D280" s="256">
        <v>3100</v>
      </c>
      <c r="E280" s="251" t="s">
        <v>738</v>
      </c>
      <c r="F280" s="256">
        <v>150</v>
      </c>
      <c r="G280" s="254">
        <v>44545</v>
      </c>
      <c r="H280" s="251" t="s">
        <v>1920</v>
      </c>
      <c r="I280" s="268" t="s">
        <v>496</v>
      </c>
      <c r="J280" s="251" t="s">
        <v>614</v>
      </c>
      <c r="K280" s="251" t="s">
        <v>430</v>
      </c>
      <c r="L280" s="251">
        <v>2014</v>
      </c>
      <c r="N280" s="251" t="s">
        <v>1921</v>
      </c>
      <c r="O280" s="252" t="s">
        <v>496</v>
      </c>
      <c r="P280" s="252" t="s">
        <v>496</v>
      </c>
      <c r="Q280" s="252" t="s">
        <v>496</v>
      </c>
      <c r="R280" s="252" t="s">
        <v>496</v>
      </c>
      <c r="S280" s="252" t="s">
        <v>496</v>
      </c>
      <c r="T280" s="252" t="s">
        <v>496</v>
      </c>
      <c r="U280" s="252" t="s">
        <v>496</v>
      </c>
      <c r="V280" s="252" t="s">
        <v>496</v>
      </c>
      <c r="W280" s="252" t="s">
        <v>496</v>
      </c>
      <c r="X280" s="252" t="s">
        <v>496</v>
      </c>
      <c r="Y280" s="252" t="s">
        <v>496</v>
      </c>
      <c r="Z280" s="252" t="s">
        <v>496</v>
      </c>
      <c r="AA280" s="251" t="s">
        <v>834</v>
      </c>
    </row>
    <row r="281" spans="2:28">
      <c r="B281" s="251" t="s">
        <v>3736</v>
      </c>
      <c r="C281" s="269" t="s">
        <v>256</v>
      </c>
      <c r="D281" s="256">
        <v>2500</v>
      </c>
      <c r="E281" s="251" t="s">
        <v>496</v>
      </c>
      <c r="F281" s="251" t="s">
        <v>496</v>
      </c>
      <c r="G281" s="251" t="s">
        <v>496</v>
      </c>
      <c r="H281" s="251" t="s">
        <v>3739</v>
      </c>
      <c r="I281" s="251" t="s">
        <v>3733</v>
      </c>
      <c r="J281" s="251" t="s">
        <v>614</v>
      </c>
      <c r="K281" s="251" t="s">
        <v>561</v>
      </c>
      <c r="L281" s="251" t="s">
        <v>3737</v>
      </c>
      <c r="N281" s="251" t="s">
        <v>496</v>
      </c>
      <c r="O281" s="251" t="s">
        <v>496</v>
      </c>
      <c r="P281" s="251" t="s">
        <v>496</v>
      </c>
      <c r="Q281" s="251" t="s">
        <v>496</v>
      </c>
      <c r="R281" s="251" t="s">
        <v>496</v>
      </c>
      <c r="S281" s="251" t="s">
        <v>496</v>
      </c>
      <c r="T281" s="251" t="s">
        <v>496</v>
      </c>
      <c r="U281" s="251" t="s">
        <v>496</v>
      </c>
      <c r="V281" s="251" t="s">
        <v>496</v>
      </c>
      <c r="W281" s="251" t="s">
        <v>496</v>
      </c>
      <c r="X281" s="251" t="s">
        <v>496</v>
      </c>
      <c r="Y281" s="251" t="s">
        <v>496</v>
      </c>
      <c r="Z281" s="251" t="s">
        <v>496</v>
      </c>
      <c r="AA281" s="251" t="s">
        <v>3732</v>
      </c>
    </row>
    <row r="282" spans="2:28">
      <c r="B282" s="251" t="s">
        <v>436</v>
      </c>
      <c r="C282" s="255" t="s">
        <v>256</v>
      </c>
      <c r="D282" s="256">
        <v>1900</v>
      </c>
      <c r="E282" s="251" t="s">
        <v>565</v>
      </c>
      <c r="F282" s="256">
        <v>150</v>
      </c>
      <c r="G282" s="254">
        <v>44649</v>
      </c>
      <c r="H282" s="251" t="s">
        <v>732</v>
      </c>
      <c r="I282" s="268" t="s">
        <v>496</v>
      </c>
      <c r="J282" s="251" t="s">
        <v>614</v>
      </c>
      <c r="K282" s="251" t="s">
        <v>430</v>
      </c>
      <c r="L282" s="251">
        <v>2018</v>
      </c>
      <c r="N282" s="251" t="s">
        <v>1895</v>
      </c>
      <c r="O282" s="252" t="s">
        <v>402</v>
      </c>
      <c r="P282" s="252" t="s">
        <v>1896</v>
      </c>
      <c r="Q282" s="252" t="s">
        <v>496</v>
      </c>
      <c r="R282" s="252" t="s">
        <v>496</v>
      </c>
      <c r="S282" s="252" t="s">
        <v>496</v>
      </c>
      <c r="T282" s="252" t="s">
        <v>496</v>
      </c>
      <c r="U282" s="252" t="s">
        <v>496</v>
      </c>
      <c r="V282" s="252" t="s">
        <v>496</v>
      </c>
      <c r="W282" s="252" t="s">
        <v>496</v>
      </c>
      <c r="X282" s="252" t="s">
        <v>496</v>
      </c>
      <c r="Y282" s="252" t="s">
        <v>496</v>
      </c>
      <c r="Z282" s="252" t="s">
        <v>496</v>
      </c>
      <c r="AA282" s="251" t="s">
        <v>1898</v>
      </c>
    </row>
    <row r="283" spans="2:28">
      <c r="B283" s="251" t="s">
        <v>439</v>
      </c>
      <c r="C283" s="255" t="s">
        <v>256</v>
      </c>
      <c r="D283" s="256">
        <v>1900</v>
      </c>
      <c r="E283" s="251" t="s">
        <v>738</v>
      </c>
      <c r="F283" s="256">
        <v>150</v>
      </c>
      <c r="G283" s="254">
        <v>44523</v>
      </c>
      <c r="H283" s="251" t="s">
        <v>1925</v>
      </c>
      <c r="I283" s="268" t="s">
        <v>496</v>
      </c>
      <c r="J283" s="251" t="s">
        <v>614</v>
      </c>
      <c r="K283" s="251" t="s">
        <v>543</v>
      </c>
      <c r="L283" s="251">
        <v>2017</v>
      </c>
      <c r="N283" s="251" t="s">
        <v>1929</v>
      </c>
      <c r="O283" s="252" t="s">
        <v>496</v>
      </c>
      <c r="P283" s="252" t="s">
        <v>496</v>
      </c>
      <c r="Q283" s="252" t="s">
        <v>496</v>
      </c>
      <c r="R283" s="252" t="s">
        <v>496</v>
      </c>
      <c r="S283" s="252" t="s">
        <v>496</v>
      </c>
      <c r="T283" s="252" t="s">
        <v>496</v>
      </c>
      <c r="U283" s="252" t="s">
        <v>496</v>
      </c>
      <c r="V283" s="252" t="s">
        <v>496</v>
      </c>
      <c r="W283" s="252" t="s">
        <v>496</v>
      </c>
      <c r="X283" s="252" t="s">
        <v>496</v>
      </c>
      <c r="Y283" s="252" t="s">
        <v>496</v>
      </c>
      <c r="Z283" s="252" t="s">
        <v>496</v>
      </c>
      <c r="AA283" s="251" t="s">
        <v>1110</v>
      </c>
    </row>
    <row r="284" spans="2:28">
      <c r="B284" s="251" t="s">
        <v>1388</v>
      </c>
      <c r="C284" s="255" t="s">
        <v>256</v>
      </c>
      <c r="D284" s="256">
        <v>1700</v>
      </c>
      <c r="E284" s="251" t="s">
        <v>755</v>
      </c>
      <c r="F284" s="256">
        <v>85</v>
      </c>
      <c r="G284" s="254">
        <v>42846</v>
      </c>
      <c r="I284" s="251" t="s">
        <v>2784</v>
      </c>
      <c r="J284" s="251" t="s">
        <v>613</v>
      </c>
      <c r="K284" s="251" t="s">
        <v>2785</v>
      </c>
      <c r="L284" s="251">
        <v>2009</v>
      </c>
      <c r="N284" s="251" t="s">
        <v>496</v>
      </c>
      <c r="O284" s="251" t="s">
        <v>496</v>
      </c>
      <c r="P284" s="251" t="s">
        <v>496</v>
      </c>
      <c r="Q284" s="251" t="s">
        <v>496</v>
      </c>
      <c r="R284" s="251" t="s">
        <v>496</v>
      </c>
      <c r="S284" s="251" t="s">
        <v>496</v>
      </c>
      <c r="T284" s="251" t="s">
        <v>496</v>
      </c>
      <c r="U284" s="251" t="s">
        <v>496</v>
      </c>
      <c r="V284" s="251" t="s">
        <v>496</v>
      </c>
      <c r="W284" s="251" t="s">
        <v>496</v>
      </c>
      <c r="X284" s="251" t="s">
        <v>496</v>
      </c>
      <c r="Y284" s="251" t="s">
        <v>496</v>
      </c>
      <c r="Z284" s="251" t="s">
        <v>496</v>
      </c>
      <c r="AA284" s="251" t="s">
        <v>837</v>
      </c>
    </row>
    <row r="285" spans="2:28">
      <c r="B285" s="251" t="s">
        <v>437</v>
      </c>
      <c r="C285" s="255" t="s">
        <v>256</v>
      </c>
      <c r="D285" s="256">
        <v>1300</v>
      </c>
      <c r="E285" s="251" t="s">
        <v>755</v>
      </c>
      <c r="F285" s="256">
        <v>150</v>
      </c>
      <c r="G285" s="254">
        <v>44656</v>
      </c>
      <c r="I285" s="251" t="s">
        <v>1914</v>
      </c>
      <c r="J285" s="251" t="s">
        <v>614</v>
      </c>
      <c r="K285" s="251" t="s">
        <v>430</v>
      </c>
      <c r="L285" s="258">
        <v>42323</v>
      </c>
      <c r="N285" s="251" t="s">
        <v>1916</v>
      </c>
      <c r="O285" s="252" t="s">
        <v>496</v>
      </c>
      <c r="P285" s="252" t="s">
        <v>496</v>
      </c>
      <c r="Q285" s="252" t="s">
        <v>496</v>
      </c>
      <c r="R285" s="252" t="s">
        <v>496</v>
      </c>
      <c r="S285" s="252" t="s">
        <v>496</v>
      </c>
      <c r="T285" s="252" t="s">
        <v>496</v>
      </c>
      <c r="U285" s="252" t="s">
        <v>496</v>
      </c>
      <c r="V285" s="252" t="s">
        <v>496</v>
      </c>
      <c r="W285" s="252" t="s">
        <v>496</v>
      </c>
      <c r="X285" s="252" t="s">
        <v>496</v>
      </c>
      <c r="Y285" s="252" t="s">
        <v>496</v>
      </c>
      <c r="Z285" s="252" t="s">
        <v>496</v>
      </c>
      <c r="AA285" s="251" t="s">
        <v>834</v>
      </c>
    </row>
    <row r="286" spans="2:28">
      <c r="B286" s="251" t="s">
        <v>392</v>
      </c>
      <c r="C286" s="255" t="s">
        <v>256</v>
      </c>
      <c r="D286" s="256">
        <v>1100</v>
      </c>
      <c r="E286" s="251" t="s">
        <v>402</v>
      </c>
      <c r="F286" s="256">
        <v>97.4</v>
      </c>
      <c r="G286" s="254">
        <v>45041</v>
      </c>
      <c r="H286" s="251" t="s">
        <v>1239</v>
      </c>
      <c r="I286" s="251" t="s">
        <v>1237</v>
      </c>
      <c r="J286" s="251" t="s">
        <v>614</v>
      </c>
      <c r="K286" s="251" t="s">
        <v>461</v>
      </c>
      <c r="L286" s="251">
        <v>2016</v>
      </c>
      <c r="N286" s="251" t="s">
        <v>1238</v>
      </c>
      <c r="O286" s="252" t="s">
        <v>1242</v>
      </c>
      <c r="P286" s="252">
        <v>80</v>
      </c>
      <c r="Q286" s="252" t="s">
        <v>1243</v>
      </c>
      <c r="R286" s="252" t="s">
        <v>544</v>
      </c>
      <c r="S286" s="252">
        <v>20</v>
      </c>
      <c r="T286" s="252" t="s">
        <v>1248</v>
      </c>
      <c r="U286" s="252" t="s">
        <v>549</v>
      </c>
      <c r="V286" s="252">
        <v>4.5</v>
      </c>
      <c r="W286" s="252" t="s">
        <v>1249</v>
      </c>
      <c r="X286" s="252" t="s">
        <v>669</v>
      </c>
      <c r="Y286" s="252">
        <v>0.12</v>
      </c>
      <c r="Z286" s="252" t="s">
        <v>1250</v>
      </c>
      <c r="AA286" s="251" t="s">
        <v>834</v>
      </c>
    </row>
    <row r="287" spans="2:28">
      <c r="B287" s="251" t="s">
        <v>1526</v>
      </c>
      <c r="C287" s="255" t="s">
        <v>256</v>
      </c>
      <c r="D287" s="256">
        <v>1000</v>
      </c>
      <c r="E287" s="251" t="s">
        <v>402</v>
      </c>
      <c r="F287" s="256">
        <v>500</v>
      </c>
      <c r="G287" s="254">
        <v>44971</v>
      </c>
      <c r="H287" s="251" t="s">
        <v>2576</v>
      </c>
      <c r="I287" s="268" t="s">
        <v>496</v>
      </c>
      <c r="J287" s="251" t="s">
        <v>614</v>
      </c>
      <c r="K287" s="251" t="s">
        <v>2577</v>
      </c>
      <c r="L287" s="251">
        <v>2016</v>
      </c>
      <c r="M287" s="251" t="s">
        <v>2579</v>
      </c>
      <c r="N287" s="251" t="s">
        <v>2578</v>
      </c>
      <c r="AA287" s="251" t="s">
        <v>844</v>
      </c>
    </row>
    <row r="288" spans="2:28">
      <c r="B288" s="251" t="s">
        <v>440</v>
      </c>
      <c r="C288" s="255" t="s">
        <v>256</v>
      </c>
      <c r="D288" s="256">
        <v>1000</v>
      </c>
      <c r="E288" s="251" t="s">
        <v>402</v>
      </c>
      <c r="F288" s="256">
        <v>140</v>
      </c>
      <c r="G288" s="205">
        <v>43322</v>
      </c>
      <c r="H288" s="251" t="s">
        <v>689</v>
      </c>
      <c r="I288" s="251" t="s">
        <v>1931</v>
      </c>
      <c r="J288" s="251" t="s">
        <v>614</v>
      </c>
      <c r="K288" s="251" t="s">
        <v>1933</v>
      </c>
      <c r="L288" s="251">
        <v>2014</v>
      </c>
      <c r="M288" s="251" t="s">
        <v>1935</v>
      </c>
      <c r="N288" s="251" t="s">
        <v>1934</v>
      </c>
      <c r="O288" s="252" t="s">
        <v>496</v>
      </c>
      <c r="P288" s="252" t="s">
        <v>496</v>
      </c>
      <c r="Q288" s="252" t="s">
        <v>496</v>
      </c>
      <c r="R288" s="252" t="s">
        <v>496</v>
      </c>
      <c r="S288" s="252" t="s">
        <v>496</v>
      </c>
      <c r="T288" s="252" t="s">
        <v>496</v>
      </c>
      <c r="U288" s="252" t="s">
        <v>496</v>
      </c>
      <c r="V288" s="252" t="s">
        <v>496</v>
      </c>
      <c r="W288" s="252" t="s">
        <v>496</v>
      </c>
      <c r="X288" s="252" t="s">
        <v>496</v>
      </c>
      <c r="Y288" s="252" t="s">
        <v>496</v>
      </c>
      <c r="Z288" s="252" t="s">
        <v>496</v>
      </c>
      <c r="AA288" s="251" t="s">
        <v>1930</v>
      </c>
    </row>
    <row r="289" spans="2:27">
      <c r="B289" s="251" t="s">
        <v>634</v>
      </c>
      <c r="C289" s="255" t="s">
        <v>256</v>
      </c>
      <c r="D289" s="256">
        <v>400</v>
      </c>
      <c r="E289" s="251" t="s">
        <v>402</v>
      </c>
      <c r="F289" s="256">
        <v>44</v>
      </c>
      <c r="G289" s="254">
        <v>45006</v>
      </c>
      <c r="H289" s="251" t="s">
        <v>1231</v>
      </c>
      <c r="I289" s="251" t="s">
        <v>1230</v>
      </c>
      <c r="J289" s="251" t="s">
        <v>614</v>
      </c>
      <c r="K289" s="251" t="s">
        <v>646</v>
      </c>
      <c r="L289" s="251">
        <v>2012</v>
      </c>
      <c r="N289" s="251" t="s">
        <v>1232</v>
      </c>
      <c r="O289" s="252" t="s">
        <v>496</v>
      </c>
      <c r="P289" s="252">
        <v>39.700000000000003</v>
      </c>
      <c r="Q289" s="252" t="s">
        <v>496</v>
      </c>
      <c r="R289" s="252" t="s">
        <v>544</v>
      </c>
      <c r="S289" s="252">
        <v>15</v>
      </c>
      <c r="T289" s="252" t="s">
        <v>1233</v>
      </c>
      <c r="U289" s="252" t="s">
        <v>549</v>
      </c>
      <c r="V289" s="252">
        <v>4</v>
      </c>
      <c r="W289" s="252" t="s">
        <v>1234</v>
      </c>
      <c r="X289" s="252" t="s">
        <v>669</v>
      </c>
      <c r="Y289" s="252" t="s">
        <v>496</v>
      </c>
      <c r="Z289" s="252" t="s">
        <v>496</v>
      </c>
      <c r="AA289" s="251" t="s">
        <v>834</v>
      </c>
    </row>
    <row r="290" spans="2:27">
      <c r="B290" s="251" t="s">
        <v>435</v>
      </c>
      <c r="C290" s="255" t="s">
        <v>256</v>
      </c>
      <c r="D290" s="256">
        <v>500</v>
      </c>
      <c r="E290" s="251" t="s">
        <v>402</v>
      </c>
      <c r="F290" s="256">
        <v>159</v>
      </c>
      <c r="G290" s="254">
        <v>45092</v>
      </c>
      <c r="H290" s="251" t="s">
        <v>729</v>
      </c>
      <c r="I290" s="268" t="s">
        <v>496</v>
      </c>
      <c r="J290" s="251" t="s">
        <v>728</v>
      </c>
      <c r="K290" s="251" t="s">
        <v>728</v>
      </c>
      <c r="L290" s="251">
        <v>2015</v>
      </c>
      <c r="N290" s="251" t="s">
        <v>1899</v>
      </c>
      <c r="O290" s="252" t="s">
        <v>402</v>
      </c>
      <c r="P290" s="252">
        <v>159</v>
      </c>
      <c r="Q290" s="252" t="s">
        <v>1900</v>
      </c>
      <c r="R290" s="252" t="s">
        <v>544</v>
      </c>
      <c r="S290" s="252">
        <v>12</v>
      </c>
      <c r="T290" s="252" t="s">
        <v>1901</v>
      </c>
      <c r="U290" s="252" t="s">
        <v>496</v>
      </c>
      <c r="V290" s="252" t="s">
        <v>496</v>
      </c>
      <c r="W290" s="252" t="s">
        <v>496</v>
      </c>
      <c r="X290" s="252" t="s">
        <v>496</v>
      </c>
      <c r="Y290" s="252" t="s">
        <v>496</v>
      </c>
      <c r="Z290" s="252" t="s">
        <v>496</v>
      </c>
      <c r="AA290" s="251" t="s">
        <v>844</v>
      </c>
    </row>
    <row r="291" spans="2:27">
      <c r="B291" s="251" t="s">
        <v>434</v>
      </c>
      <c r="C291" s="255" t="s">
        <v>256</v>
      </c>
      <c r="D291" s="256">
        <v>500</v>
      </c>
      <c r="E291" s="251" t="s">
        <v>565</v>
      </c>
      <c r="F291" s="256">
        <v>169</v>
      </c>
      <c r="G291" s="254">
        <v>44727</v>
      </c>
      <c r="H291" s="251" t="s">
        <v>451</v>
      </c>
      <c r="I291" s="251" t="s">
        <v>1902</v>
      </c>
      <c r="J291" s="251" t="s">
        <v>451</v>
      </c>
      <c r="K291" s="251" t="s">
        <v>451</v>
      </c>
      <c r="L291" s="251">
        <v>2010</v>
      </c>
      <c r="N291" s="251" t="s">
        <v>1903</v>
      </c>
      <c r="O291" s="252" t="s">
        <v>402</v>
      </c>
      <c r="P291" s="252">
        <v>14</v>
      </c>
      <c r="Q291" s="252" t="s">
        <v>1904</v>
      </c>
      <c r="R291" s="252" t="s">
        <v>544</v>
      </c>
      <c r="S291" s="252">
        <v>6</v>
      </c>
      <c r="T291" s="252" t="s">
        <v>1905</v>
      </c>
      <c r="U291" s="252" t="s">
        <v>496</v>
      </c>
      <c r="V291" s="252" t="s">
        <v>496</v>
      </c>
      <c r="W291" s="252" t="s">
        <v>496</v>
      </c>
      <c r="X291" s="252" t="s">
        <v>496</v>
      </c>
      <c r="Y291" s="252" t="s">
        <v>496</v>
      </c>
      <c r="Z291" s="252" t="s">
        <v>496</v>
      </c>
      <c r="AA291" s="251" t="s">
        <v>1740</v>
      </c>
    </row>
    <row r="292" spans="2:27">
      <c r="B292" s="251" t="s">
        <v>620</v>
      </c>
      <c r="C292" s="255" t="s">
        <v>256</v>
      </c>
      <c r="D292" s="256">
        <v>400</v>
      </c>
      <c r="E292" s="251" t="s">
        <v>544</v>
      </c>
      <c r="F292" s="256">
        <v>70</v>
      </c>
      <c r="G292" s="254">
        <v>45035</v>
      </c>
      <c r="H292" s="251" t="s">
        <v>1672</v>
      </c>
      <c r="I292" s="251" t="s">
        <v>1670</v>
      </c>
      <c r="J292" s="251" t="s">
        <v>614</v>
      </c>
      <c r="K292" s="251" t="s">
        <v>658</v>
      </c>
      <c r="L292" s="251">
        <v>2022</v>
      </c>
      <c r="N292" s="251" t="s">
        <v>1673</v>
      </c>
      <c r="O292" s="252" t="s">
        <v>496</v>
      </c>
      <c r="P292" s="252" t="s">
        <v>496</v>
      </c>
      <c r="Q292" s="252" t="s">
        <v>496</v>
      </c>
      <c r="R292" s="252" t="s">
        <v>496</v>
      </c>
      <c r="S292" s="252" t="s">
        <v>496</v>
      </c>
      <c r="T292" s="252" t="s">
        <v>496</v>
      </c>
      <c r="U292" s="252" t="s">
        <v>496</v>
      </c>
      <c r="V292" s="252" t="s">
        <v>496</v>
      </c>
      <c r="W292" s="252" t="s">
        <v>496</v>
      </c>
      <c r="X292" s="252" t="s">
        <v>496</v>
      </c>
      <c r="Y292" s="252" t="s">
        <v>496</v>
      </c>
      <c r="Z292" s="252" t="s">
        <v>496</v>
      </c>
      <c r="AA292" s="251" t="s">
        <v>1671</v>
      </c>
    </row>
    <row r="293" spans="2:27">
      <c r="B293" s="251" t="s">
        <v>1523</v>
      </c>
      <c r="C293" s="255" t="s">
        <v>256</v>
      </c>
      <c r="D293" s="256">
        <v>300</v>
      </c>
      <c r="E293" s="251" t="s">
        <v>565</v>
      </c>
      <c r="F293" s="256">
        <v>40</v>
      </c>
      <c r="G293" s="254">
        <v>44909</v>
      </c>
      <c r="H293" s="251" t="s">
        <v>3046</v>
      </c>
      <c r="I293" s="251" t="s">
        <v>3043</v>
      </c>
      <c r="J293" s="251" t="s">
        <v>614</v>
      </c>
      <c r="K293" s="251" t="s">
        <v>3047</v>
      </c>
      <c r="L293" s="251">
        <v>2013</v>
      </c>
      <c r="M293" s="251" t="s">
        <v>3042</v>
      </c>
      <c r="N293" s="251" t="s">
        <v>3045</v>
      </c>
      <c r="O293" s="252" t="s">
        <v>565</v>
      </c>
      <c r="P293" s="252">
        <v>40</v>
      </c>
      <c r="Q293" s="252" t="s">
        <v>3048</v>
      </c>
      <c r="R293" s="252" t="s">
        <v>402</v>
      </c>
      <c r="S293" s="252" t="s">
        <v>496</v>
      </c>
      <c r="T293" s="252" t="s">
        <v>3049</v>
      </c>
      <c r="U293" s="252" t="s">
        <v>544</v>
      </c>
      <c r="V293" s="252">
        <v>15</v>
      </c>
      <c r="W293" s="252" t="s">
        <v>3050</v>
      </c>
      <c r="X293" s="252" t="s">
        <v>496</v>
      </c>
      <c r="Y293" s="252" t="s">
        <v>496</v>
      </c>
      <c r="Z293" s="252" t="s">
        <v>496</v>
      </c>
      <c r="AA293" s="251" t="s">
        <v>837</v>
      </c>
    </row>
    <row r="294" spans="2:27">
      <c r="B294" s="251" t="s">
        <v>2236</v>
      </c>
      <c r="C294" s="255" t="s">
        <v>256</v>
      </c>
      <c r="D294" s="256" t="s">
        <v>496</v>
      </c>
      <c r="E294" s="251" t="s">
        <v>549</v>
      </c>
      <c r="F294" s="256" t="s">
        <v>496</v>
      </c>
      <c r="G294" s="254">
        <v>44750</v>
      </c>
      <c r="H294" s="251" t="s">
        <v>2237</v>
      </c>
      <c r="I294" s="251" t="s">
        <v>2234</v>
      </c>
      <c r="J294" s="251" t="s">
        <v>759</v>
      </c>
      <c r="K294" s="251" t="s">
        <v>2233</v>
      </c>
      <c r="L294" s="251">
        <v>2020</v>
      </c>
      <c r="N294" s="251" t="s">
        <v>2238</v>
      </c>
      <c r="O294" s="252" t="s">
        <v>669</v>
      </c>
      <c r="P294" s="252">
        <v>2</v>
      </c>
      <c r="Q294" s="252" t="s">
        <v>2239</v>
      </c>
      <c r="R294" s="252" t="s">
        <v>496</v>
      </c>
      <c r="S294" s="252" t="s">
        <v>496</v>
      </c>
      <c r="T294" s="252" t="s">
        <v>496</v>
      </c>
      <c r="U294" s="252" t="s">
        <v>496</v>
      </c>
      <c r="V294" s="252" t="s">
        <v>496</v>
      </c>
      <c r="W294" s="252" t="s">
        <v>496</v>
      </c>
      <c r="X294" s="252" t="s">
        <v>496</v>
      </c>
      <c r="Y294" s="252" t="s">
        <v>496</v>
      </c>
      <c r="Z294" s="252" t="s">
        <v>496</v>
      </c>
      <c r="AA294" s="251" t="s">
        <v>2240</v>
      </c>
    </row>
    <row r="295" spans="2:27">
      <c r="B295" s="251" t="s">
        <v>1906</v>
      </c>
      <c r="C295" s="255" t="s">
        <v>730</v>
      </c>
      <c r="D295" s="256">
        <v>230</v>
      </c>
      <c r="E295" s="251" t="s">
        <v>544</v>
      </c>
      <c r="F295" s="256">
        <v>150</v>
      </c>
      <c r="G295" s="254">
        <v>44165</v>
      </c>
      <c r="I295" s="268" t="s">
        <v>496</v>
      </c>
      <c r="J295" s="251" t="s">
        <v>614</v>
      </c>
      <c r="K295" s="251" t="s">
        <v>731</v>
      </c>
      <c r="L295" s="251">
        <v>2016</v>
      </c>
      <c r="N295" s="251" t="s">
        <v>1907</v>
      </c>
      <c r="O295" s="252" t="s">
        <v>496</v>
      </c>
      <c r="P295" s="252" t="s">
        <v>496</v>
      </c>
      <c r="Q295" s="252" t="s">
        <v>496</v>
      </c>
      <c r="R295" s="252" t="s">
        <v>496</v>
      </c>
      <c r="S295" s="252" t="s">
        <v>496</v>
      </c>
      <c r="T295" s="252" t="s">
        <v>496</v>
      </c>
      <c r="U295" s="252" t="s">
        <v>496</v>
      </c>
      <c r="V295" s="252" t="s">
        <v>496</v>
      </c>
      <c r="W295" s="252" t="s">
        <v>496</v>
      </c>
      <c r="X295" s="252" t="s">
        <v>496</v>
      </c>
      <c r="Y295" s="252" t="s">
        <v>496</v>
      </c>
      <c r="Z295" s="252" t="s">
        <v>496</v>
      </c>
      <c r="AA295" s="251" t="s">
        <v>1909</v>
      </c>
    </row>
    <row r="296" spans="2:27">
      <c r="B296" s="251" t="s">
        <v>1681</v>
      </c>
      <c r="C296" s="255" t="s">
        <v>256</v>
      </c>
      <c r="D296" s="256">
        <v>150</v>
      </c>
      <c r="E296" s="251" t="s">
        <v>565</v>
      </c>
      <c r="F296" s="256">
        <v>30</v>
      </c>
      <c r="G296" s="254">
        <v>44251</v>
      </c>
      <c r="H296" s="251" t="s">
        <v>3730</v>
      </c>
      <c r="I296" s="251" t="s">
        <v>3729</v>
      </c>
      <c r="J296" s="251" t="s">
        <v>614</v>
      </c>
      <c r="K296" s="251" t="s">
        <v>2604</v>
      </c>
      <c r="L296" s="251">
        <v>2014</v>
      </c>
      <c r="N296" s="251" t="s">
        <v>3731</v>
      </c>
      <c r="O296" s="252" t="s">
        <v>496</v>
      </c>
      <c r="P296" s="252" t="s">
        <v>496</v>
      </c>
      <c r="Q296" s="252" t="s">
        <v>496</v>
      </c>
      <c r="R296" s="252" t="s">
        <v>496</v>
      </c>
      <c r="S296" s="252" t="s">
        <v>496</v>
      </c>
      <c r="T296" s="252" t="s">
        <v>496</v>
      </c>
      <c r="U296" s="252" t="s">
        <v>496</v>
      </c>
      <c r="V296" s="252" t="s">
        <v>496</v>
      </c>
      <c r="W296" s="252" t="s">
        <v>496</v>
      </c>
      <c r="X296" s="252" t="s">
        <v>496</v>
      </c>
      <c r="Y296" s="252" t="s">
        <v>496</v>
      </c>
      <c r="Z296" s="252" t="s">
        <v>496</v>
      </c>
      <c r="AA296" s="251" t="s">
        <v>1853</v>
      </c>
    </row>
    <row r="297" spans="2:27">
      <c r="B297" s="251" t="s">
        <v>590</v>
      </c>
      <c r="C297" s="255" t="s">
        <v>256</v>
      </c>
      <c r="D297" s="256" t="s">
        <v>496</v>
      </c>
      <c r="E297" s="251" t="s">
        <v>669</v>
      </c>
      <c r="F297" s="256" t="s">
        <v>496</v>
      </c>
      <c r="G297" s="256" t="s">
        <v>496</v>
      </c>
      <c r="I297" s="251" t="s">
        <v>2188</v>
      </c>
      <c r="J297" s="251" t="s">
        <v>456</v>
      </c>
      <c r="K297" s="251" t="s">
        <v>430</v>
      </c>
      <c r="L297" s="251">
        <v>2022</v>
      </c>
      <c r="N297" s="264" t="s">
        <v>496</v>
      </c>
      <c r="O297" s="264" t="s">
        <v>496</v>
      </c>
      <c r="P297" s="264" t="s">
        <v>496</v>
      </c>
      <c r="Q297" s="264" t="s">
        <v>496</v>
      </c>
      <c r="R297" s="264" t="s">
        <v>496</v>
      </c>
      <c r="S297" s="264" t="s">
        <v>496</v>
      </c>
      <c r="T297" s="264" t="s">
        <v>496</v>
      </c>
      <c r="U297" s="264" t="s">
        <v>496</v>
      </c>
      <c r="V297" s="264" t="s">
        <v>496</v>
      </c>
      <c r="W297" s="264" t="s">
        <v>496</v>
      </c>
      <c r="X297" s="264" t="s">
        <v>496</v>
      </c>
      <c r="Y297" s="264" t="s">
        <v>496</v>
      </c>
      <c r="Z297" s="264" t="s">
        <v>496</v>
      </c>
      <c r="AA297" s="251" t="s">
        <v>2187</v>
      </c>
    </row>
    <row r="298" spans="2:27">
      <c r="B298" s="251" t="s">
        <v>1922</v>
      </c>
      <c r="C298" s="255" t="s">
        <v>730</v>
      </c>
      <c r="D298" s="256" t="s">
        <v>496</v>
      </c>
      <c r="E298" s="264" t="s">
        <v>496</v>
      </c>
      <c r="F298" s="256">
        <v>150</v>
      </c>
      <c r="G298" s="253">
        <v>2016</v>
      </c>
      <c r="H298" s="251" t="s">
        <v>1923</v>
      </c>
      <c r="I298" s="268" t="s">
        <v>496</v>
      </c>
      <c r="J298" s="251" t="s">
        <v>614</v>
      </c>
      <c r="K298" s="251" t="s">
        <v>1924</v>
      </c>
      <c r="L298" s="251">
        <v>2016</v>
      </c>
      <c r="N298" s="251" t="s">
        <v>496</v>
      </c>
      <c r="O298" s="252" t="s">
        <v>496</v>
      </c>
      <c r="P298" s="252" t="s">
        <v>496</v>
      </c>
      <c r="Q298" s="252" t="s">
        <v>496</v>
      </c>
      <c r="R298" s="252" t="s">
        <v>496</v>
      </c>
      <c r="S298" s="252" t="s">
        <v>496</v>
      </c>
      <c r="T298" s="252" t="s">
        <v>496</v>
      </c>
      <c r="U298" s="252" t="s">
        <v>496</v>
      </c>
      <c r="V298" s="252" t="s">
        <v>496</v>
      </c>
      <c r="W298" s="252" t="s">
        <v>496</v>
      </c>
      <c r="X298" s="252" t="s">
        <v>496</v>
      </c>
      <c r="Y298" s="252" t="s">
        <v>496</v>
      </c>
      <c r="Z298" s="252" t="s">
        <v>496</v>
      </c>
      <c r="AA298" s="251" t="s">
        <v>844</v>
      </c>
    </row>
    <row r="299" spans="2:27">
      <c r="B299" s="251" t="s">
        <v>1147</v>
      </c>
      <c r="C299" s="255" t="s">
        <v>256</v>
      </c>
      <c r="D299" s="256" t="s">
        <v>496</v>
      </c>
      <c r="E299" s="251" t="s">
        <v>669</v>
      </c>
      <c r="F299" s="256" t="s">
        <v>496</v>
      </c>
      <c r="G299" s="253" t="s">
        <v>496</v>
      </c>
      <c r="H299" s="251" t="s">
        <v>2488</v>
      </c>
      <c r="I299" s="268" t="s">
        <v>496</v>
      </c>
      <c r="J299" s="251" t="s">
        <v>613</v>
      </c>
      <c r="K299" s="251" t="s">
        <v>2468</v>
      </c>
      <c r="L299" s="251">
        <v>2022</v>
      </c>
      <c r="N299" s="251" t="s">
        <v>2490</v>
      </c>
      <c r="O299" s="251" t="s">
        <v>496</v>
      </c>
      <c r="P299" s="251" t="s">
        <v>496</v>
      </c>
      <c r="Q299" s="251" t="s">
        <v>496</v>
      </c>
      <c r="R299" s="251" t="s">
        <v>496</v>
      </c>
      <c r="S299" s="251" t="s">
        <v>496</v>
      </c>
      <c r="T299" s="251" t="s">
        <v>496</v>
      </c>
      <c r="U299" s="251" t="s">
        <v>496</v>
      </c>
      <c r="V299" s="251" t="s">
        <v>496</v>
      </c>
      <c r="W299" s="251" t="s">
        <v>496</v>
      </c>
      <c r="X299" s="251" t="s">
        <v>496</v>
      </c>
      <c r="Y299" s="251" t="s">
        <v>496</v>
      </c>
      <c r="Z299" s="251" t="s">
        <v>496</v>
      </c>
      <c r="AA299" s="251" t="s">
        <v>2487</v>
      </c>
    </row>
    <row r="300" spans="2:27">
      <c r="B300" s="251" t="s">
        <v>1150</v>
      </c>
      <c r="C300" s="255" t="s">
        <v>256</v>
      </c>
      <c r="D300" s="256" t="s">
        <v>256</v>
      </c>
      <c r="E300" s="256" t="s">
        <v>256</v>
      </c>
      <c r="F300" s="256" t="s">
        <v>256</v>
      </c>
      <c r="G300" s="256" t="s">
        <v>256</v>
      </c>
      <c r="H300" s="251" t="s">
        <v>865</v>
      </c>
      <c r="I300" s="268" t="s">
        <v>496</v>
      </c>
      <c r="J300" s="251" t="s">
        <v>614</v>
      </c>
      <c r="K300" s="251" t="s">
        <v>639</v>
      </c>
      <c r="L300" s="251">
        <v>2014</v>
      </c>
      <c r="N300" s="251" t="s">
        <v>496</v>
      </c>
      <c r="O300" s="251" t="s">
        <v>496</v>
      </c>
      <c r="P300" s="251" t="s">
        <v>496</v>
      </c>
      <c r="Q300" s="251" t="s">
        <v>496</v>
      </c>
      <c r="R300" s="251" t="s">
        <v>496</v>
      </c>
      <c r="S300" s="251" t="s">
        <v>496</v>
      </c>
      <c r="T300" s="251" t="s">
        <v>496</v>
      </c>
      <c r="U300" s="251" t="s">
        <v>496</v>
      </c>
      <c r="V300" s="251" t="s">
        <v>496</v>
      </c>
      <c r="W300" s="251" t="s">
        <v>496</v>
      </c>
      <c r="X300" s="251" t="s">
        <v>496</v>
      </c>
      <c r="Y300" s="251" t="s">
        <v>496</v>
      </c>
      <c r="Z300" s="251" t="s">
        <v>496</v>
      </c>
      <c r="AA300" s="251" t="s">
        <v>1853</v>
      </c>
    </row>
    <row r="301" spans="2:27">
      <c r="B301" s="251" t="s">
        <v>503</v>
      </c>
      <c r="C301" s="255" t="s">
        <v>256</v>
      </c>
      <c r="D301" s="256" t="s">
        <v>496</v>
      </c>
      <c r="E301" s="256" t="s">
        <v>496</v>
      </c>
      <c r="F301" s="256" t="s">
        <v>496</v>
      </c>
      <c r="G301" s="256" t="s">
        <v>496</v>
      </c>
      <c r="H301" s="251" t="s">
        <v>2384</v>
      </c>
      <c r="I301" s="251" t="s">
        <v>2386</v>
      </c>
      <c r="J301" s="251" t="s">
        <v>614</v>
      </c>
      <c r="K301" s="251" t="s">
        <v>2385</v>
      </c>
      <c r="L301" s="251">
        <v>2022</v>
      </c>
      <c r="M301" s="5" t="s">
        <v>506</v>
      </c>
      <c r="N301" s="251" t="s">
        <v>496</v>
      </c>
      <c r="O301" s="251" t="s">
        <v>496</v>
      </c>
      <c r="P301" s="251" t="s">
        <v>496</v>
      </c>
      <c r="Q301" s="251" t="s">
        <v>496</v>
      </c>
      <c r="R301" s="251" t="s">
        <v>496</v>
      </c>
      <c r="S301" s="251" t="s">
        <v>496</v>
      </c>
      <c r="T301" s="251" t="s">
        <v>496</v>
      </c>
      <c r="U301" s="251" t="s">
        <v>496</v>
      </c>
      <c r="V301" s="251" t="s">
        <v>496</v>
      </c>
      <c r="W301" s="251" t="s">
        <v>496</v>
      </c>
      <c r="X301" s="251" t="s">
        <v>496</v>
      </c>
      <c r="Y301" s="251" t="s">
        <v>496</v>
      </c>
      <c r="Z301" s="251" t="s">
        <v>496</v>
      </c>
      <c r="AA301" s="251" t="s">
        <v>1110</v>
      </c>
    </row>
    <row r="302" spans="2:27">
      <c r="B302" s="251" t="s">
        <v>3741</v>
      </c>
      <c r="C302" s="255" t="s">
        <v>256</v>
      </c>
      <c r="D302" s="256" t="s">
        <v>496</v>
      </c>
      <c r="E302" s="256" t="s">
        <v>496</v>
      </c>
      <c r="F302" s="256" t="s">
        <v>496</v>
      </c>
      <c r="G302" s="256" t="s">
        <v>496</v>
      </c>
      <c r="H302" s="251" t="s">
        <v>2387</v>
      </c>
      <c r="I302" s="251" t="s">
        <v>2388</v>
      </c>
      <c r="J302" s="251" t="s">
        <v>614</v>
      </c>
      <c r="K302" s="251" t="s">
        <v>430</v>
      </c>
      <c r="L302" s="251">
        <v>2019</v>
      </c>
      <c r="N302" s="251" t="s">
        <v>496</v>
      </c>
      <c r="O302" s="251" t="s">
        <v>496</v>
      </c>
      <c r="P302" s="251" t="s">
        <v>496</v>
      </c>
      <c r="Q302" s="251" t="s">
        <v>496</v>
      </c>
      <c r="R302" s="251" t="s">
        <v>496</v>
      </c>
      <c r="S302" s="251" t="s">
        <v>496</v>
      </c>
      <c r="T302" s="251" t="s">
        <v>496</v>
      </c>
      <c r="U302" s="251" t="s">
        <v>496</v>
      </c>
      <c r="V302" s="251" t="s">
        <v>496</v>
      </c>
      <c r="W302" s="251" t="s">
        <v>496</v>
      </c>
      <c r="X302" s="251" t="s">
        <v>496</v>
      </c>
      <c r="Y302" s="251" t="s">
        <v>496</v>
      </c>
      <c r="Z302" s="251" t="s">
        <v>496</v>
      </c>
      <c r="AA302" s="251" t="s">
        <v>933</v>
      </c>
    </row>
    <row r="303" spans="2:27">
      <c r="B303" s="251" t="s">
        <v>2409</v>
      </c>
      <c r="C303" s="255" t="s">
        <v>256</v>
      </c>
      <c r="D303" s="256">
        <v>20</v>
      </c>
      <c r="E303" s="251" t="s">
        <v>544</v>
      </c>
      <c r="F303" s="256">
        <v>4</v>
      </c>
      <c r="G303" s="254">
        <v>44531</v>
      </c>
      <c r="H303" s="251" t="s">
        <v>2411</v>
      </c>
      <c r="I303" s="251" t="s">
        <v>2410</v>
      </c>
      <c r="J303" s="251" t="s">
        <v>614</v>
      </c>
      <c r="K303" s="251" t="s">
        <v>1645</v>
      </c>
      <c r="L303" s="251">
        <v>2018</v>
      </c>
      <c r="N303" s="251" t="s">
        <v>496</v>
      </c>
      <c r="O303" s="251" t="s">
        <v>549</v>
      </c>
      <c r="P303" s="252">
        <v>1.5</v>
      </c>
      <c r="Q303" s="251" t="s">
        <v>496</v>
      </c>
      <c r="R303" s="251" t="s">
        <v>669</v>
      </c>
      <c r="S303" s="252">
        <v>0.3</v>
      </c>
      <c r="T303" s="251" t="s">
        <v>496</v>
      </c>
      <c r="U303" s="251" t="s">
        <v>496</v>
      </c>
      <c r="V303" s="251" t="s">
        <v>496</v>
      </c>
      <c r="W303" s="251" t="s">
        <v>496</v>
      </c>
      <c r="X303" s="251" t="s">
        <v>496</v>
      </c>
      <c r="Y303" s="251" t="s">
        <v>496</v>
      </c>
      <c r="Z303" s="251" t="s">
        <v>496</v>
      </c>
      <c r="AA303" s="251" t="s">
        <v>2412</v>
      </c>
    </row>
    <row r="304" spans="2:27">
      <c r="B304" s="251" t="s">
        <v>2516</v>
      </c>
      <c r="C304" s="255" t="s">
        <v>256</v>
      </c>
      <c r="D304" s="256" t="s">
        <v>496</v>
      </c>
      <c r="E304" s="256" t="s">
        <v>496</v>
      </c>
      <c r="F304" s="256" t="s">
        <v>496</v>
      </c>
      <c r="G304" s="256" t="s">
        <v>496</v>
      </c>
      <c r="H304" s="251" t="s">
        <v>2517</v>
      </c>
      <c r="J304" s="251" t="s">
        <v>496</v>
      </c>
      <c r="K304" s="251" t="s">
        <v>496</v>
      </c>
      <c r="L304" s="251">
        <v>2018</v>
      </c>
      <c r="N304" s="251" t="s">
        <v>2518</v>
      </c>
      <c r="O304" s="252" t="s">
        <v>496</v>
      </c>
      <c r="P304" s="252" t="s">
        <v>496</v>
      </c>
      <c r="Q304" s="252" t="s">
        <v>496</v>
      </c>
      <c r="R304" s="252" t="s">
        <v>496</v>
      </c>
      <c r="S304" s="252" t="s">
        <v>496</v>
      </c>
      <c r="T304" s="252" t="s">
        <v>496</v>
      </c>
      <c r="U304" s="252" t="s">
        <v>496</v>
      </c>
      <c r="V304" s="252" t="s">
        <v>496</v>
      </c>
      <c r="W304" s="252" t="s">
        <v>496</v>
      </c>
      <c r="X304" s="252" t="s">
        <v>496</v>
      </c>
      <c r="Y304" s="252" t="s">
        <v>496</v>
      </c>
      <c r="Z304" s="252" t="s">
        <v>496</v>
      </c>
      <c r="AA304" s="251" t="s">
        <v>2515</v>
      </c>
    </row>
    <row r="305" spans="2:27">
      <c r="B305" s="251" t="s">
        <v>1732</v>
      </c>
      <c r="C305" s="269" t="s">
        <v>256</v>
      </c>
      <c r="D305" s="256">
        <v>50</v>
      </c>
      <c r="E305" s="268" t="s">
        <v>544</v>
      </c>
      <c r="F305" s="256">
        <v>22</v>
      </c>
      <c r="G305" s="254">
        <v>45072</v>
      </c>
      <c r="H305" s="268" t="s">
        <v>3784</v>
      </c>
      <c r="I305" s="268" t="s">
        <v>3780</v>
      </c>
      <c r="J305" s="268" t="s">
        <v>646</v>
      </c>
      <c r="K305" s="268" t="s">
        <v>3779</v>
      </c>
      <c r="L305" s="251">
        <v>2018</v>
      </c>
      <c r="N305" s="268" t="s">
        <v>3781</v>
      </c>
      <c r="O305" s="272" t="s">
        <v>549</v>
      </c>
      <c r="P305" s="252">
        <v>23.6</v>
      </c>
      <c r="Q305" s="272" t="s">
        <v>3782</v>
      </c>
      <c r="R305" s="272" t="s">
        <v>549</v>
      </c>
      <c r="S305" s="252">
        <v>4.5</v>
      </c>
      <c r="T305" s="272" t="s">
        <v>3783</v>
      </c>
      <c r="U305" s="272" t="s">
        <v>496</v>
      </c>
      <c r="V305" s="272" t="s">
        <v>496</v>
      </c>
      <c r="W305" s="272" t="s">
        <v>496</v>
      </c>
      <c r="X305" s="272" t="s">
        <v>496</v>
      </c>
      <c r="Y305" s="272" t="s">
        <v>496</v>
      </c>
      <c r="Z305" s="272" t="s">
        <v>496</v>
      </c>
      <c r="AA305" s="268" t="s">
        <v>840</v>
      </c>
    </row>
    <row r="306" spans="2:27">
      <c r="B306" s="251" t="s">
        <v>1356</v>
      </c>
      <c r="C306" s="255" t="s">
        <v>256</v>
      </c>
      <c r="D306" s="256">
        <v>50</v>
      </c>
      <c r="E306" s="251" t="s">
        <v>544</v>
      </c>
      <c r="F306" s="256">
        <v>20</v>
      </c>
      <c r="G306" s="254">
        <v>44396</v>
      </c>
      <c r="H306" s="251" t="s">
        <v>3079</v>
      </c>
      <c r="I306" s="251" t="s">
        <v>3078</v>
      </c>
      <c r="J306" s="251" t="s">
        <v>614</v>
      </c>
      <c r="K306" s="251" t="s">
        <v>430</v>
      </c>
      <c r="L306" s="251">
        <v>2013</v>
      </c>
      <c r="N306" s="251" t="s">
        <v>3080</v>
      </c>
      <c r="O306" s="252" t="s">
        <v>549</v>
      </c>
      <c r="P306" s="252" t="s">
        <v>496</v>
      </c>
      <c r="Q306" s="252" t="s">
        <v>3081</v>
      </c>
      <c r="R306" s="252" t="s">
        <v>496</v>
      </c>
      <c r="S306" s="252" t="s">
        <v>496</v>
      </c>
      <c r="T306" s="252" t="s">
        <v>496</v>
      </c>
      <c r="U306" s="252" t="s">
        <v>496</v>
      </c>
      <c r="V306" s="252" t="s">
        <v>496</v>
      </c>
      <c r="W306" s="252" t="s">
        <v>496</v>
      </c>
      <c r="X306" s="252" t="s">
        <v>496</v>
      </c>
      <c r="Y306" s="252" t="s">
        <v>496</v>
      </c>
      <c r="Z306" s="252" t="s">
        <v>496</v>
      </c>
      <c r="AA306" s="251" t="s">
        <v>933</v>
      </c>
    </row>
    <row r="307" spans="2:27">
      <c r="B307" s="251" t="s">
        <v>1520</v>
      </c>
      <c r="C307" s="255" t="s">
        <v>256</v>
      </c>
      <c r="D307" s="256">
        <v>50</v>
      </c>
      <c r="E307" s="251" t="s">
        <v>402</v>
      </c>
      <c r="F307" s="256">
        <v>20</v>
      </c>
      <c r="G307" s="254">
        <v>44792</v>
      </c>
      <c r="H307" s="251" t="s">
        <v>2402</v>
      </c>
      <c r="I307" s="268" t="s">
        <v>496</v>
      </c>
      <c r="J307" s="251" t="s">
        <v>614</v>
      </c>
      <c r="K307" s="251" t="s">
        <v>430</v>
      </c>
      <c r="L307" s="251">
        <v>2018</v>
      </c>
      <c r="M307" s="251" t="s">
        <v>2403</v>
      </c>
      <c r="AA307" s="251" t="s">
        <v>1260</v>
      </c>
    </row>
    <row r="308" spans="2:27">
      <c r="B308" s="251" t="s">
        <v>1148</v>
      </c>
      <c r="C308" s="255" t="s">
        <v>256</v>
      </c>
      <c r="D308" s="256" t="s">
        <v>496</v>
      </c>
      <c r="E308" s="264" t="s">
        <v>549</v>
      </c>
      <c r="F308" s="256" t="s">
        <v>496</v>
      </c>
      <c r="G308" s="254">
        <v>44454</v>
      </c>
      <c r="I308" s="251" t="s">
        <v>2501</v>
      </c>
      <c r="J308" s="251" t="s">
        <v>614</v>
      </c>
      <c r="K308" s="251" t="s">
        <v>2503</v>
      </c>
      <c r="L308" s="253" t="s">
        <v>496</v>
      </c>
      <c r="N308" s="251" t="s">
        <v>1912</v>
      </c>
      <c r="O308" s="252" t="s">
        <v>496</v>
      </c>
      <c r="P308" s="252" t="s">
        <v>496</v>
      </c>
      <c r="Q308" s="252" t="s">
        <v>496</v>
      </c>
      <c r="R308" s="252" t="s">
        <v>496</v>
      </c>
      <c r="S308" s="252" t="s">
        <v>496</v>
      </c>
      <c r="T308" s="252" t="s">
        <v>496</v>
      </c>
      <c r="U308" s="252" t="s">
        <v>496</v>
      </c>
      <c r="V308" s="252" t="s">
        <v>496</v>
      </c>
      <c r="W308" s="252" t="s">
        <v>496</v>
      </c>
      <c r="X308" s="252" t="s">
        <v>496</v>
      </c>
      <c r="Y308" s="252" t="s">
        <v>496</v>
      </c>
      <c r="Z308" s="252" t="s">
        <v>496</v>
      </c>
      <c r="AA308" s="251" t="s">
        <v>1853</v>
      </c>
    </row>
    <row r="309" spans="2:27">
      <c r="B309" s="251" t="s">
        <v>1293</v>
      </c>
      <c r="C309" s="255" t="s">
        <v>256</v>
      </c>
      <c r="D309" s="256">
        <v>20</v>
      </c>
      <c r="E309" s="251" t="s">
        <v>549</v>
      </c>
      <c r="F309" s="256">
        <v>1.5</v>
      </c>
      <c r="G309" s="254">
        <v>45028</v>
      </c>
      <c r="H309" s="251" t="s">
        <v>2629</v>
      </c>
      <c r="I309" s="251" t="s">
        <v>2631</v>
      </c>
      <c r="J309" s="251" t="s">
        <v>646</v>
      </c>
      <c r="K309" s="251" t="s">
        <v>2628</v>
      </c>
      <c r="L309" s="251">
        <v>2014</v>
      </c>
      <c r="N309" s="251" t="s">
        <v>2632</v>
      </c>
      <c r="O309" s="252" t="s">
        <v>496</v>
      </c>
      <c r="P309" s="252" t="s">
        <v>496</v>
      </c>
      <c r="Q309" s="252" t="s">
        <v>496</v>
      </c>
      <c r="R309" s="252" t="s">
        <v>496</v>
      </c>
      <c r="S309" s="252" t="s">
        <v>496</v>
      </c>
      <c r="T309" s="252" t="s">
        <v>496</v>
      </c>
      <c r="U309" s="252" t="s">
        <v>496</v>
      </c>
      <c r="V309" s="252" t="s">
        <v>496</v>
      </c>
      <c r="W309" s="252" t="s">
        <v>496</v>
      </c>
      <c r="X309" s="252" t="s">
        <v>496</v>
      </c>
      <c r="Y309" s="252" t="s">
        <v>496</v>
      </c>
      <c r="Z309" s="252" t="s">
        <v>496</v>
      </c>
      <c r="AA309" s="251" t="s">
        <v>2630</v>
      </c>
    </row>
    <row r="310" spans="2:27">
      <c r="B310" s="251" t="s">
        <v>1643</v>
      </c>
      <c r="C310" s="255" t="s">
        <v>256</v>
      </c>
      <c r="D310" s="256">
        <v>60</v>
      </c>
      <c r="E310" s="251" t="s">
        <v>544</v>
      </c>
      <c r="F310" s="256">
        <v>12</v>
      </c>
      <c r="G310" s="254">
        <v>43207</v>
      </c>
      <c r="H310" s="251" t="s">
        <v>2721</v>
      </c>
      <c r="I310" s="251" t="s">
        <v>2719</v>
      </c>
      <c r="J310" s="251" t="s">
        <v>614</v>
      </c>
      <c r="K310" s="251" t="s">
        <v>22</v>
      </c>
      <c r="L310" s="251">
        <v>2014</v>
      </c>
      <c r="M310" s="251" t="s">
        <v>2722</v>
      </c>
      <c r="N310" s="251" t="s">
        <v>2720</v>
      </c>
      <c r="AA310" s="251" t="s">
        <v>2662</v>
      </c>
    </row>
    <row r="311" spans="2:27">
      <c r="B311" s="251" t="s">
        <v>1311</v>
      </c>
      <c r="C311" s="255" t="s">
        <v>256</v>
      </c>
      <c r="D311" s="256">
        <v>50</v>
      </c>
      <c r="E311" s="251" t="s">
        <v>544</v>
      </c>
      <c r="F311" s="256">
        <v>15</v>
      </c>
      <c r="G311" s="254">
        <v>43879</v>
      </c>
      <c r="H311" s="251" t="s">
        <v>213</v>
      </c>
      <c r="I311" s="251" t="s">
        <v>2643</v>
      </c>
      <c r="J311" s="251" t="s">
        <v>614</v>
      </c>
      <c r="K311" s="251" t="s">
        <v>213</v>
      </c>
      <c r="L311" s="251">
        <v>2016</v>
      </c>
      <c r="M311" s="251" t="s">
        <v>2644</v>
      </c>
      <c r="N311" s="251" t="s">
        <v>2647</v>
      </c>
      <c r="O311" s="252" t="s">
        <v>2645</v>
      </c>
      <c r="P311" s="252" t="s">
        <v>2646</v>
      </c>
      <c r="Q311" s="252" t="s">
        <v>496</v>
      </c>
      <c r="R311" s="252" t="s">
        <v>496</v>
      </c>
      <c r="S311" s="252" t="s">
        <v>496</v>
      </c>
      <c r="T311" s="252" t="s">
        <v>496</v>
      </c>
      <c r="U311" s="252" t="s">
        <v>496</v>
      </c>
      <c r="V311" s="252" t="s">
        <v>496</v>
      </c>
      <c r="W311" s="252" t="s">
        <v>496</v>
      </c>
      <c r="X311" s="252" t="s">
        <v>496</v>
      </c>
      <c r="Y311" s="252" t="s">
        <v>496</v>
      </c>
      <c r="Z311" s="252" t="s">
        <v>496</v>
      </c>
      <c r="AA311" s="251" t="s">
        <v>2642</v>
      </c>
    </row>
    <row r="312" spans="2:27">
      <c r="B312" s="251" t="s">
        <v>1149</v>
      </c>
      <c r="C312" s="255" t="s">
        <v>256</v>
      </c>
      <c r="D312" s="256" t="s">
        <v>496</v>
      </c>
      <c r="E312" s="264" t="s">
        <v>496</v>
      </c>
      <c r="F312" s="256" t="s">
        <v>496</v>
      </c>
      <c r="G312" s="256" t="s">
        <v>496</v>
      </c>
      <c r="H312" s="251" t="s">
        <v>2513</v>
      </c>
      <c r="I312" s="268" t="s">
        <v>496</v>
      </c>
      <c r="J312" s="251" t="s">
        <v>614</v>
      </c>
      <c r="K312" s="251" t="s">
        <v>2514</v>
      </c>
      <c r="L312" s="251">
        <v>2022</v>
      </c>
      <c r="N312" s="264" t="s">
        <v>496</v>
      </c>
      <c r="O312" s="264" t="s">
        <v>496</v>
      </c>
      <c r="P312" s="264" t="s">
        <v>496</v>
      </c>
      <c r="Q312" s="264" t="s">
        <v>496</v>
      </c>
      <c r="R312" s="264" t="s">
        <v>496</v>
      </c>
      <c r="S312" s="264" t="s">
        <v>496</v>
      </c>
      <c r="T312" s="264" t="s">
        <v>496</v>
      </c>
      <c r="U312" s="264" t="s">
        <v>496</v>
      </c>
      <c r="V312" s="264" t="s">
        <v>496</v>
      </c>
      <c r="W312" s="264" t="s">
        <v>496</v>
      </c>
      <c r="X312" s="264" t="s">
        <v>496</v>
      </c>
      <c r="Y312" s="264" t="s">
        <v>496</v>
      </c>
      <c r="Z312" s="264" t="s">
        <v>496</v>
      </c>
      <c r="AA312" s="251" t="s">
        <v>2512</v>
      </c>
    </row>
    <row r="313" spans="2:27">
      <c r="B313" s="251" t="s">
        <v>1229</v>
      </c>
      <c r="C313" s="255" t="s">
        <v>256</v>
      </c>
      <c r="D313" s="256" t="s">
        <v>496</v>
      </c>
      <c r="E313" s="264" t="s">
        <v>496</v>
      </c>
      <c r="F313" s="256" t="s">
        <v>496</v>
      </c>
      <c r="G313" s="256" t="s">
        <v>496</v>
      </c>
      <c r="H313" s="251" t="s">
        <v>2551</v>
      </c>
      <c r="I313" s="251" t="s">
        <v>2554</v>
      </c>
      <c r="J313" s="251" t="s">
        <v>614</v>
      </c>
      <c r="K313" s="251" t="s">
        <v>461</v>
      </c>
      <c r="L313" s="251">
        <v>2022</v>
      </c>
      <c r="N313" s="251" t="s">
        <v>496</v>
      </c>
      <c r="O313" s="251" t="s">
        <v>496</v>
      </c>
      <c r="P313" s="251" t="s">
        <v>496</v>
      </c>
      <c r="Q313" s="251" t="s">
        <v>496</v>
      </c>
      <c r="R313" s="251" t="s">
        <v>496</v>
      </c>
      <c r="S313" s="251" t="s">
        <v>496</v>
      </c>
      <c r="T313" s="251" t="s">
        <v>496</v>
      </c>
      <c r="U313" s="251" t="s">
        <v>496</v>
      </c>
      <c r="V313" s="251" t="s">
        <v>496</v>
      </c>
      <c r="W313" s="251" t="s">
        <v>496</v>
      </c>
      <c r="X313" s="251" t="s">
        <v>496</v>
      </c>
      <c r="Y313" s="251" t="s">
        <v>496</v>
      </c>
      <c r="Z313" s="251" t="s">
        <v>496</v>
      </c>
      <c r="AA313" s="251" t="s">
        <v>1110</v>
      </c>
    </row>
    <row r="314" spans="2:27">
      <c r="B314" s="251" t="s">
        <v>2634</v>
      </c>
      <c r="C314" s="255" t="s">
        <v>256</v>
      </c>
      <c r="D314" s="256">
        <v>20</v>
      </c>
      <c r="E314" s="252" t="s">
        <v>549</v>
      </c>
      <c r="F314" s="256">
        <v>2.2999999999999998</v>
      </c>
      <c r="G314" s="205">
        <v>42782</v>
      </c>
      <c r="H314" s="251" t="s">
        <v>2636</v>
      </c>
      <c r="I314" s="251" t="s">
        <v>2635</v>
      </c>
      <c r="J314" s="251" t="s">
        <v>614</v>
      </c>
      <c r="K314" s="251" t="s">
        <v>2548</v>
      </c>
      <c r="L314" s="251">
        <v>2012</v>
      </c>
      <c r="M314" s="251" t="s">
        <v>2637</v>
      </c>
      <c r="N314" s="251" t="s">
        <v>496</v>
      </c>
      <c r="O314" s="251" t="s">
        <v>496</v>
      </c>
      <c r="P314" s="251" t="s">
        <v>496</v>
      </c>
      <c r="Q314" s="251" t="s">
        <v>496</v>
      </c>
      <c r="R314" s="251" t="s">
        <v>496</v>
      </c>
      <c r="S314" s="251" t="s">
        <v>496</v>
      </c>
      <c r="T314" s="251" t="s">
        <v>496</v>
      </c>
      <c r="U314" s="251" t="s">
        <v>496</v>
      </c>
      <c r="V314" s="251" t="s">
        <v>496</v>
      </c>
      <c r="W314" s="251" t="s">
        <v>496</v>
      </c>
      <c r="X314" s="251" t="s">
        <v>496</v>
      </c>
      <c r="Y314" s="251" t="s">
        <v>496</v>
      </c>
      <c r="Z314" s="251" t="s">
        <v>496</v>
      </c>
      <c r="AA314" s="251" t="s">
        <v>2529</v>
      </c>
    </row>
    <row r="315" spans="2:27">
      <c r="B315" s="251" t="s">
        <v>1312</v>
      </c>
      <c r="C315" s="255" t="s">
        <v>256</v>
      </c>
      <c r="D315" s="256">
        <v>10</v>
      </c>
      <c r="E315" s="252" t="s">
        <v>669</v>
      </c>
      <c r="F315" s="256">
        <v>0.5</v>
      </c>
      <c r="G315" s="254">
        <v>44470</v>
      </c>
      <c r="H315" s="251" t="s">
        <v>2650</v>
      </c>
      <c r="I315" s="268" t="s">
        <v>496</v>
      </c>
      <c r="J315" s="251" t="s">
        <v>614</v>
      </c>
      <c r="K315" s="251" t="s">
        <v>640</v>
      </c>
      <c r="L315" s="251">
        <v>2013</v>
      </c>
      <c r="N315" s="251" t="s">
        <v>2649</v>
      </c>
      <c r="O315" s="252" t="s">
        <v>496</v>
      </c>
      <c r="P315" s="252" t="s">
        <v>496</v>
      </c>
      <c r="Q315" s="252" t="s">
        <v>496</v>
      </c>
      <c r="R315" s="252" t="s">
        <v>496</v>
      </c>
      <c r="S315" s="252" t="s">
        <v>496</v>
      </c>
      <c r="T315" s="252" t="s">
        <v>496</v>
      </c>
      <c r="U315" s="252" t="s">
        <v>496</v>
      </c>
      <c r="V315" s="252" t="s">
        <v>496</v>
      </c>
      <c r="W315" s="252" t="s">
        <v>496</v>
      </c>
      <c r="X315" s="252" t="s">
        <v>496</v>
      </c>
      <c r="Y315" s="252" t="s">
        <v>496</v>
      </c>
      <c r="Z315" s="252" t="s">
        <v>496</v>
      </c>
      <c r="AA315" s="251" t="s">
        <v>1122</v>
      </c>
    </row>
    <row r="316" spans="2:27">
      <c r="B316" s="251" t="s">
        <v>1228</v>
      </c>
      <c r="C316" s="255" t="s">
        <v>256</v>
      </c>
      <c r="D316" s="256">
        <v>10</v>
      </c>
      <c r="E316" s="252" t="s">
        <v>669</v>
      </c>
      <c r="F316" s="256">
        <v>0.12</v>
      </c>
      <c r="G316" s="254">
        <v>44082</v>
      </c>
      <c r="H316" s="251" t="s">
        <v>2547</v>
      </c>
      <c r="I316" s="251" t="s">
        <v>2549</v>
      </c>
      <c r="J316" s="251" t="s">
        <v>614</v>
      </c>
      <c r="K316" s="251" t="s">
        <v>2548</v>
      </c>
      <c r="L316" s="251">
        <v>2019</v>
      </c>
      <c r="N316" s="251" t="s">
        <v>1860</v>
      </c>
      <c r="O316" s="252" t="s">
        <v>2492</v>
      </c>
      <c r="P316" s="252">
        <v>1</v>
      </c>
      <c r="Q316" s="252" t="s">
        <v>2550</v>
      </c>
      <c r="R316" s="252" t="s">
        <v>496</v>
      </c>
      <c r="S316" s="252" t="s">
        <v>496</v>
      </c>
      <c r="T316" s="252" t="s">
        <v>496</v>
      </c>
      <c r="U316" s="252" t="s">
        <v>496</v>
      </c>
      <c r="V316" s="252" t="s">
        <v>496</v>
      </c>
      <c r="W316" s="252" t="s">
        <v>496</v>
      </c>
      <c r="X316" s="252" t="s">
        <v>496</v>
      </c>
      <c r="Y316" s="252" t="s">
        <v>496</v>
      </c>
      <c r="Z316" s="252" t="s">
        <v>496</v>
      </c>
      <c r="AA316" s="251" t="s">
        <v>2529</v>
      </c>
    </row>
    <row r="317" spans="2:27">
      <c r="B317" s="251" t="s">
        <v>1290</v>
      </c>
      <c r="C317" s="255" t="s">
        <v>256</v>
      </c>
      <c r="D317" s="256">
        <v>100</v>
      </c>
      <c r="E317" s="252" t="s">
        <v>402</v>
      </c>
      <c r="F317" s="256">
        <v>55</v>
      </c>
      <c r="H317" s="251" t="s">
        <v>2623</v>
      </c>
      <c r="I317" s="251" t="s">
        <v>2624</v>
      </c>
      <c r="J317" s="251" t="s">
        <v>2626</v>
      </c>
      <c r="K317" s="251" t="s">
        <v>2626</v>
      </c>
      <c r="L317" s="251">
        <v>2018</v>
      </c>
      <c r="M317" s="251" t="s">
        <v>2627</v>
      </c>
      <c r="N317" s="251" t="s">
        <v>2625</v>
      </c>
      <c r="AA317" s="251" t="s">
        <v>1853</v>
      </c>
    </row>
    <row r="318" spans="2:27">
      <c r="B318" s="251" t="s">
        <v>3255</v>
      </c>
      <c r="C318" s="269" t="s">
        <v>730</v>
      </c>
      <c r="D318" s="256">
        <v>100</v>
      </c>
      <c r="E318" s="251" t="s">
        <v>565</v>
      </c>
      <c r="F318" s="256">
        <v>20</v>
      </c>
      <c r="G318" s="254">
        <v>44734</v>
      </c>
      <c r="H318" s="251" t="s">
        <v>3259</v>
      </c>
      <c r="I318" s="251" t="s">
        <v>3257</v>
      </c>
      <c r="J318" s="251" t="s">
        <v>614</v>
      </c>
      <c r="K318" s="251" t="s">
        <v>728</v>
      </c>
      <c r="L318" s="253" t="s">
        <v>3256</v>
      </c>
      <c r="N318" s="251" t="s">
        <v>496</v>
      </c>
      <c r="O318" s="252" t="s">
        <v>565</v>
      </c>
      <c r="P318" s="252">
        <v>38</v>
      </c>
      <c r="Q318" s="252" t="s">
        <v>3713</v>
      </c>
      <c r="R318" s="252" t="s">
        <v>402</v>
      </c>
      <c r="S318" s="252">
        <v>6.9</v>
      </c>
      <c r="T318" s="252" t="s">
        <v>3719</v>
      </c>
      <c r="U318" s="252" t="s">
        <v>544</v>
      </c>
      <c r="V318" s="252" t="s">
        <v>3721</v>
      </c>
      <c r="W318" s="252" t="s">
        <v>3719</v>
      </c>
      <c r="X318" s="252" t="s">
        <v>496</v>
      </c>
      <c r="Y318" s="252" t="s">
        <v>496</v>
      </c>
      <c r="Z318" s="252" t="s">
        <v>496</v>
      </c>
      <c r="AA318" s="251" t="s">
        <v>3258</v>
      </c>
    </row>
    <row r="319" spans="2:27">
      <c r="B319" s="251" t="s">
        <v>2620</v>
      </c>
      <c r="C319" s="269" t="s">
        <v>730</v>
      </c>
      <c r="D319" s="256">
        <v>20</v>
      </c>
      <c r="E319" s="252" t="s">
        <v>402</v>
      </c>
      <c r="F319" s="256">
        <v>1.6</v>
      </c>
      <c r="G319" s="254">
        <v>43661</v>
      </c>
      <c r="H319" s="251" t="s">
        <v>2614</v>
      </c>
      <c r="I319" s="251" t="s">
        <v>496</v>
      </c>
      <c r="J319" s="251" t="s">
        <v>496</v>
      </c>
      <c r="K319" s="251" t="s">
        <v>496</v>
      </c>
      <c r="L319" s="251">
        <v>2016</v>
      </c>
      <c r="M319" s="251" t="s">
        <v>496</v>
      </c>
      <c r="N319" s="251" t="s">
        <v>2616</v>
      </c>
      <c r="O319" s="252" t="s">
        <v>496</v>
      </c>
      <c r="P319" s="252" t="s">
        <v>496</v>
      </c>
      <c r="Q319" s="252" t="s">
        <v>496</v>
      </c>
      <c r="R319" s="252" t="s">
        <v>496</v>
      </c>
      <c r="S319" s="252" t="s">
        <v>496</v>
      </c>
      <c r="T319" s="252" t="s">
        <v>496</v>
      </c>
      <c r="U319" s="252" t="s">
        <v>496</v>
      </c>
      <c r="V319" s="252" t="s">
        <v>496</v>
      </c>
      <c r="W319" s="252" t="s">
        <v>496</v>
      </c>
      <c r="X319" s="252" t="s">
        <v>496</v>
      </c>
      <c r="Y319" s="252" t="s">
        <v>496</v>
      </c>
      <c r="Z319" s="252" t="s">
        <v>496</v>
      </c>
      <c r="AA319" s="251" t="s">
        <v>2615</v>
      </c>
    </row>
    <row r="320" spans="2:27">
      <c r="B320" s="251" t="s">
        <v>1529</v>
      </c>
      <c r="C320" s="269" t="s">
        <v>730</v>
      </c>
      <c r="E320" s="252"/>
      <c r="H320" s="251" t="s">
        <v>2688</v>
      </c>
      <c r="I320" s="268" t="s">
        <v>496</v>
      </c>
      <c r="J320" s="251" t="s">
        <v>614</v>
      </c>
      <c r="K320" s="251" t="s">
        <v>728</v>
      </c>
      <c r="L320" s="251">
        <v>2014</v>
      </c>
      <c r="M320" s="251" t="s">
        <v>2687</v>
      </c>
    </row>
    <row r="321" spans="2:28">
      <c r="B321" s="251" t="s">
        <v>2682</v>
      </c>
      <c r="C321" s="269" t="s">
        <v>730</v>
      </c>
      <c r="E321" s="252" t="s">
        <v>402</v>
      </c>
      <c r="F321" s="256">
        <v>30</v>
      </c>
      <c r="G321" s="254">
        <v>44252</v>
      </c>
      <c r="H321" s="251" t="s">
        <v>2577</v>
      </c>
      <c r="I321" s="251" t="s">
        <v>2684</v>
      </c>
      <c r="J321" s="251" t="s">
        <v>614</v>
      </c>
      <c r="K321" s="251" t="s">
        <v>2577</v>
      </c>
      <c r="L321" s="251">
        <v>2017</v>
      </c>
      <c r="M321" s="251" t="s">
        <v>2683</v>
      </c>
      <c r="N321" s="251" t="s">
        <v>2685</v>
      </c>
      <c r="O321" s="252" t="s">
        <v>544</v>
      </c>
      <c r="P321" s="252">
        <v>16.5</v>
      </c>
      <c r="Q321" s="252" t="s">
        <v>2686</v>
      </c>
      <c r="R321" s="252" t="s">
        <v>496</v>
      </c>
      <c r="S321" s="252" t="s">
        <v>496</v>
      </c>
      <c r="T321" s="252" t="s">
        <v>496</v>
      </c>
      <c r="U321" s="252" t="s">
        <v>496</v>
      </c>
      <c r="V321" s="252" t="s">
        <v>496</v>
      </c>
      <c r="W321" s="252" t="s">
        <v>496</v>
      </c>
      <c r="X321" s="252" t="s">
        <v>496</v>
      </c>
      <c r="Y321" s="252" t="s">
        <v>496</v>
      </c>
      <c r="Z321" s="252" t="s">
        <v>496</v>
      </c>
      <c r="AA321" s="251" t="s">
        <v>1671</v>
      </c>
    </row>
    <row r="322" spans="2:28">
      <c r="B322" s="251" t="s">
        <v>1416</v>
      </c>
      <c r="C322" s="269" t="s">
        <v>3771</v>
      </c>
      <c r="D322" s="256">
        <v>30</v>
      </c>
      <c r="E322" s="252" t="s">
        <v>549</v>
      </c>
      <c r="F322" s="256">
        <v>3.5</v>
      </c>
      <c r="G322" s="254">
        <v>43046</v>
      </c>
      <c r="I322" s="251" t="s">
        <v>3094</v>
      </c>
      <c r="J322" s="251" t="s">
        <v>614</v>
      </c>
      <c r="K322" s="251" t="s">
        <v>694</v>
      </c>
      <c r="L322" s="253" t="s">
        <v>3095</v>
      </c>
      <c r="N322" s="251" t="s">
        <v>3096</v>
      </c>
      <c r="AA322" s="251" t="s">
        <v>1853</v>
      </c>
    </row>
    <row r="323" spans="2:28">
      <c r="B323" s="251" t="s">
        <v>1547</v>
      </c>
      <c r="C323" s="255" t="s">
        <v>256</v>
      </c>
      <c r="D323" s="256">
        <v>25</v>
      </c>
      <c r="E323" s="251" t="s">
        <v>549</v>
      </c>
      <c r="F323" s="256">
        <v>4</v>
      </c>
      <c r="G323" s="254">
        <v>44518</v>
      </c>
      <c r="H323" s="251" t="s">
        <v>3138</v>
      </c>
      <c r="I323" s="251" t="s">
        <v>3140</v>
      </c>
      <c r="J323" s="251" t="s">
        <v>614</v>
      </c>
      <c r="K323" s="251" t="s">
        <v>3139</v>
      </c>
      <c r="L323" s="251">
        <v>2018</v>
      </c>
      <c r="N323" s="251" t="s">
        <v>3141</v>
      </c>
      <c r="O323" s="252" t="s">
        <v>669</v>
      </c>
      <c r="P323" s="252">
        <v>0.12</v>
      </c>
      <c r="Q323" s="252" t="s">
        <v>1860</v>
      </c>
      <c r="R323" s="252" t="s">
        <v>496</v>
      </c>
      <c r="S323" s="252" t="s">
        <v>496</v>
      </c>
      <c r="T323" s="252" t="s">
        <v>496</v>
      </c>
      <c r="U323" s="252" t="s">
        <v>496</v>
      </c>
      <c r="V323" s="252" t="s">
        <v>496</v>
      </c>
      <c r="W323" s="252" t="s">
        <v>496</v>
      </c>
      <c r="X323" s="252" t="s">
        <v>496</v>
      </c>
      <c r="Y323" s="252" t="s">
        <v>496</v>
      </c>
      <c r="Z323" s="252" t="s">
        <v>496</v>
      </c>
      <c r="AA323" s="252" t="s">
        <v>496</v>
      </c>
    </row>
    <row r="324" spans="2:28">
      <c r="B324" s="251" t="s">
        <v>1549</v>
      </c>
      <c r="C324" s="269" t="s">
        <v>3771</v>
      </c>
      <c r="D324" s="256" t="s">
        <v>496</v>
      </c>
      <c r="E324" s="251" t="s">
        <v>549</v>
      </c>
      <c r="F324" s="256" t="s">
        <v>496</v>
      </c>
      <c r="G324" s="254">
        <v>44169</v>
      </c>
      <c r="I324" s="251" t="s">
        <v>3151</v>
      </c>
      <c r="J324" s="251" t="s">
        <v>614</v>
      </c>
      <c r="K324" s="251" t="s">
        <v>3152</v>
      </c>
      <c r="L324" s="251">
        <v>2017</v>
      </c>
      <c r="M324" s="251" t="s">
        <v>3040</v>
      </c>
      <c r="N324" s="251" t="s">
        <v>3153</v>
      </c>
      <c r="O324" s="252" t="s">
        <v>496</v>
      </c>
      <c r="P324" s="252" t="s">
        <v>496</v>
      </c>
      <c r="Q324" s="252" t="s">
        <v>496</v>
      </c>
      <c r="R324" s="252" t="s">
        <v>496</v>
      </c>
      <c r="S324" s="252" t="s">
        <v>496</v>
      </c>
      <c r="T324" s="252" t="s">
        <v>496</v>
      </c>
      <c r="U324" s="252" t="s">
        <v>496</v>
      </c>
      <c r="V324" s="252" t="s">
        <v>496</v>
      </c>
      <c r="W324" s="252" t="s">
        <v>496</v>
      </c>
      <c r="X324" s="252" t="s">
        <v>496</v>
      </c>
      <c r="Y324" s="252" t="s">
        <v>496</v>
      </c>
      <c r="Z324" s="252" t="s">
        <v>496</v>
      </c>
      <c r="AA324" s="251" t="s">
        <v>2389</v>
      </c>
    </row>
    <row r="325" spans="2:28">
      <c r="B325" s="251" t="s">
        <v>1701</v>
      </c>
      <c r="C325" s="255" t="s">
        <v>256</v>
      </c>
      <c r="D325" s="256" t="s">
        <v>496</v>
      </c>
      <c r="E325" s="256" t="s">
        <v>496</v>
      </c>
      <c r="F325" s="256" t="s">
        <v>496</v>
      </c>
      <c r="G325" s="256" t="s">
        <v>496</v>
      </c>
      <c r="H325" s="251" t="s">
        <v>3760</v>
      </c>
      <c r="I325" s="251" t="s">
        <v>3757</v>
      </c>
      <c r="J325" s="251" t="s">
        <v>614</v>
      </c>
      <c r="K325" s="251" t="s">
        <v>3756</v>
      </c>
      <c r="L325" s="251">
        <v>2019</v>
      </c>
      <c r="N325" s="251" t="s">
        <v>496</v>
      </c>
      <c r="O325" s="251" t="s">
        <v>496</v>
      </c>
      <c r="P325" s="251" t="s">
        <v>496</v>
      </c>
      <c r="Q325" s="251" t="s">
        <v>496</v>
      </c>
      <c r="R325" s="251" t="s">
        <v>496</v>
      </c>
      <c r="S325" s="251" t="s">
        <v>496</v>
      </c>
      <c r="T325" s="251" t="s">
        <v>496</v>
      </c>
      <c r="U325" s="251" t="s">
        <v>496</v>
      </c>
      <c r="V325" s="251" t="s">
        <v>496</v>
      </c>
      <c r="W325" s="251" t="s">
        <v>496</v>
      </c>
      <c r="X325" s="251" t="s">
        <v>496</v>
      </c>
      <c r="Y325" s="251" t="s">
        <v>496</v>
      </c>
      <c r="Z325" s="251" t="s">
        <v>496</v>
      </c>
      <c r="AA325" s="251" t="s">
        <v>3758</v>
      </c>
    </row>
    <row r="326" spans="2:28">
      <c r="B326" s="251" t="s">
        <v>1543</v>
      </c>
      <c r="C326" s="255" t="s">
        <v>256</v>
      </c>
      <c r="D326" s="256" t="s">
        <v>496</v>
      </c>
      <c r="E326" s="264" t="s">
        <v>496</v>
      </c>
      <c r="F326" s="256" t="s">
        <v>496</v>
      </c>
      <c r="G326" s="256" t="s">
        <v>496</v>
      </c>
      <c r="H326" s="251" t="s">
        <v>3113</v>
      </c>
      <c r="I326" s="268" t="s">
        <v>496</v>
      </c>
      <c r="J326" s="251" t="s">
        <v>614</v>
      </c>
      <c r="K326" s="251" t="s">
        <v>631</v>
      </c>
      <c r="L326" s="251">
        <v>2016</v>
      </c>
      <c r="M326" s="251" t="s">
        <v>3114</v>
      </c>
      <c r="N326" s="251" t="s">
        <v>496</v>
      </c>
      <c r="O326" s="251" t="s">
        <v>496</v>
      </c>
      <c r="P326" s="251" t="s">
        <v>496</v>
      </c>
      <c r="Q326" s="251" t="s">
        <v>496</v>
      </c>
      <c r="R326" s="251" t="s">
        <v>496</v>
      </c>
      <c r="S326" s="251" t="s">
        <v>496</v>
      </c>
      <c r="T326" s="251" t="s">
        <v>496</v>
      </c>
      <c r="U326" s="251" t="s">
        <v>496</v>
      </c>
      <c r="V326" s="251" t="s">
        <v>496</v>
      </c>
      <c r="W326" s="251" t="s">
        <v>496</v>
      </c>
      <c r="X326" s="251" t="s">
        <v>496</v>
      </c>
      <c r="Y326" s="251" t="s">
        <v>496</v>
      </c>
      <c r="Z326" s="251" t="s">
        <v>496</v>
      </c>
      <c r="AA326" s="251" t="s">
        <v>2240</v>
      </c>
    </row>
    <row r="327" spans="2:28">
      <c r="B327" s="251" t="s">
        <v>1551</v>
      </c>
      <c r="C327" s="269" t="s">
        <v>3771</v>
      </c>
      <c r="D327" s="256">
        <v>25</v>
      </c>
      <c r="E327" s="251" t="s">
        <v>549</v>
      </c>
      <c r="F327" s="256">
        <v>5</v>
      </c>
      <c r="G327" s="254">
        <v>43224</v>
      </c>
      <c r="H327" s="251" t="s">
        <v>3167</v>
      </c>
      <c r="I327" s="251" t="s">
        <v>3166</v>
      </c>
      <c r="J327" s="251" t="s">
        <v>614</v>
      </c>
      <c r="K327" s="251" t="s">
        <v>3168</v>
      </c>
      <c r="L327" s="251">
        <v>2017</v>
      </c>
      <c r="M327" s="251" t="s">
        <v>3040</v>
      </c>
      <c r="N327" s="251" t="s">
        <v>3169</v>
      </c>
      <c r="O327" s="252" t="s">
        <v>496</v>
      </c>
      <c r="P327" s="252" t="s">
        <v>496</v>
      </c>
      <c r="Q327" s="252" t="s">
        <v>496</v>
      </c>
      <c r="R327" s="252" t="s">
        <v>496</v>
      </c>
      <c r="S327" s="252" t="s">
        <v>496</v>
      </c>
      <c r="T327" s="252" t="s">
        <v>496</v>
      </c>
      <c r="U327" s="252" t="s">
        <v>496</v>
      </c>
      <c r="V327" s="252" t="s">
        <v>496</v>
      </c>
      <c r="W327" s="252" t="s">
        <v>496</v>
      </c>
      <c r="X327" s="252" t="s">
        <v>496</v>
      </c>
      <c r="Y327" s="252" t="s">
        <v>496</v>
      </c>
      <c r="Z327" s="252" t="s">
        <v>496</v>
      </c>
      <c r="AA327" s="251" t="s">
        <v>2389</v>
      </c>
    </row>
    <row r="328" spans="2:28">
      <c r="B328" s="268" t="s">
        <v>1721</v>
      </c>
      <c r="C328" s="269" t="s">
        <v>3771</v>
      </c>
      <c r="D328" s="270" t="s">
        <v>496</v>
      </c>
      <c r="E328" s="270" t="s">
        <v>496</v>
      </c>
      <c r="F328" s="270" t="s">
        <v>496</v>
      </c>
      <c r="G328" s="270" t="s">
        <v>496</v>
      </c>
      <c r="H328" s="271" t="s">
        <v>496</v>
      </c>
      <c r="I328" s="268" t="s">
        <v>3772</v>
      </c>
      <c r="L328" s="251">
        <v>2017</v>
      </c>
      <c r="N328" s="271" t="s">
        <v>496</v>
      </c>
      <c r="O328" s="271" t="s">
        <v>496</v>
      </c>
      <c r="P328" s="271" t="s">
        <v>496</v>
      </c>
      <c r="Q328" s="271" t="s">
        <v>496</v>
      </c>
      <c r="R328" s="271" t="s">
        <v>496</v>
      </c>
      <c r="S328" s="271" t="s">
        <v>496</v>
      </c>
      <c r="T328" s="271" t="s">
        <v>496</v>
      </c>
      <c r="U328" s="271" t="s">
        <v>496</v>
      </c>
      <c r="V328" s="271" t="s">
        <v>496</v>
      </c>
      <c r="W328" s="271" t="s">
        <v>496</v>
      </c>
      <c r="X328" s="271" t="s">
        <v>496</v>
      </c>
      <c r="Y328" s="271" t="s">
        <v>496</v>
      </c>
      <c r="Z328" s="271" t="s">
        <v>496</v>
      </c>
      <c r="AA328" s="268" t="s">
        <v>3773</v>
      </c>
    </row>
    <row r="329" spans="2:28">
      <c r="B329" s="251" t="s">
        <v>3198</v>
      </c>
      <c r="C329" s="269" t="s">
        <v>730</v>
      </c>
      <c r="D329" s="256" t="s">
        <v>496</v>
      </c>
      <c r="E329" s="256" t="s">
        <v>496</v>
      </c>
      <c r="F329" s="256" t="s">
        <v>496</v>
      </c>
      <c r="G329" s="256" t="s">
        <v>496</v>
      </c>
      <c r="H329" s="251" t="s">
        <v>3201</v>
      </c>
      <c r="I329" s="251" t="s">
        <v>3200</v>
      </c>
      <c r="J329" s="251" t="s">
        <v>614</v>
      </c>
      <c r="K329" s="251" t="s">
        <v>430</v>
      </c>
      <c r="L329" s="253" t="s">
        <v>3199</v>
      </c>
      <c r="N329" s="264" t="s">
        <v>496</v>
      </c>
      <c r="O329" s="264" t="s">
        <v>496</v>
      </c>
      <c r="P329" s="264" t="s">
        <v>496</v>
      </c>
      <c r="Q329" s="264" t="s">
        <v>496</v>
      </c>
      <c r="R329" s="264" t="s">
        <v>496</v>
      </c>
      <c r="S329" s="264" t="s">
        <v>496</v>
      </c>
      <c r="T329" s="264" t="s">
        <v>496</v>
      </c>
      <c r="U329" s="264" t="s">
        <v>496</v>
      </c>
      <c r="V329" s="264" t="s">
        <v>496</v>
      </c>
      <c r="W329" s="264" t="s">
        <v>496</v>
      </c>
      <c r="X329" s="264" t="s">
        <v>496</v>
      </c>
      <c r="Y329" s="264" t="s">
        <v>496</v>
      </c>
      <c r="Z329" s="264" t="s">
        <v>496</v>
      </c>
      <c r="AA329" s="251" t="s">
        <v>844</v>
      </c>
    </row>
    <row r="330" spans="2:28">
      <c r="B330" s="251" t="s">
        <v>1544</v>
      </c>
      <c r="C330" s="269" t="s">
        <v>3771</v>
      </c>
      <c r="D330" s="256" t="s">
        <v>496</v>
      </c>
      <c r="E330" s="264" t="s">
        <v>496</v>
      </c>
      <c r="F330" s="256" t="s">
        <v>496</v>
      </c>
      <c r="G330" s="256" t="s">
        <v>496</v>
      </c>
      <c r="H330" s="251" t="s">
        <v>3119</v>
      </c>
      <c r="I330" s="251" t="s">
        <v>3115</v>
      </c>
      <c r="J330" s="251" t="s">
        <v>614</v>
      </c>
      <c r="K330" s="251" t="s">
        <v>721</v>
      </c>
      <c r="L330" s="253" t="s">
        <v>3118</v>
      </c>
      <c r="M330" s="251" t="s">
        <v>3040</v>
      </c>
      <c r="N330" s="265" t="s">
        <v>496</v>
      </c>
      <c r="O330" s="265" t="s">
        <v>496</v>
      </c>
      <c r="P330" s="265" t="s">
        <v>496</v>
      </c>
      <c r="Q330" s="265" t="s">
        <v>496</v>
      </c>
      <c r="R330" s="265" t="s">
        <v>496</v>
      </c>
      <c r="S330" s="265" t="s">
        <v>496</v>
      </c>
      <c r="T330" s="265" t="s">
        <v>496</v>
      </c>
      <c r="U330" s="265" t="s">
        <v>496</v>
      </c>
      <c r="V330" s="265" t="s">
        <v>496</v>
      </c>
      <c r="W330" s="265" t="s">
        <v>496</v>
      </c>
      <c r="X330" s="265" t="s">
        <v>496</v>
      </c>
      <c r="Y330" s="265" t="s">
        <v>496</v>
      </c>
      <c r="Z330" s="265" t="s">
        <v>496</v>
      </c>
      <c r="AA330" s="251" t="s">
        <v>1305</v>
      </c>
    </row>
    <row r="331" spans="2:28">
      <c r="B331" s="251" t="s">
        <v>3110</v>
      </c>
      <c r="C331" s="269" t="s">
        <v>730</v>
      </c>
      <c r="E331" s="252"/>
      <c r="H331" s="251" t="s">
        <v>3111</v>
      </c>
      <c r="I331" s="268" t="s">
        <v>496</v>
      </c>
      <c r="J331" s="251" t="s">
        <v>614</v>
      </c>
      <c r="K331" s="251" t="s">
        <v>2545</v>
      </c>
      <c r="L331" s="251">
        <v>1995</v>
      </c>
    </row>
    <row r="332" spans="2:28">
      <c r="B332" s="268" t="s">
        <v>3767</v>
      </c>
      <c r="C332" s="269" t="s">
        <v>730</v>
      </c>
      <c r="D332" s="270" t="s">
        <v>496</v>
      </c>
      <c r="E332" s="270" t="s">
        <v>496</v>
      </c>
      <c r="F332" s="270" t="s">
        <v>496</v>
      </c>
      <c r="G332" s="270" t="s">
        <v>496</v>
      </c>
      <c r="H332" s="268" t="s">
        <v>3770</v>
      </c>
      <c r="I332" s="268" t="s">
        <v>496</v>
      </c>
      <c r="J332" s="268" t="s">
        <v>496</v>
      </c>
      <c r="K332" s="268" t="s">
        <v>496</v>
      </c>
      <c r="N332" s="268" t="s">
        <v>496</v>
      </c>
      <c r="O332" s="268" t="s">
        <v>496</v>
      </c>
      <c r="P332" s="268" t="s">
        <v>496</v>
      </c>
      <c r="Q332" s="268" t="s">
        <v>496</v>
      </c>
      <c r="R332" s="268" t="s">
        <v>496</v>
      </c>
      <c r="S332" s="268" t="s">
        <v>496</v>
      </c>
      <c r="T332" s="268" t="s">
        <v>496</v>
      </c>
      <c r="U332" s="268" t="s">
        <v>496</v>
      </c>
      <c r="V332" s="268" t="s">
        <v>496</v>
      </c>
      <c r="W332" s="268" t="s">
        <v>496</v>
      </c>
      <c r="X332" s="268" t="s">
        <v>496</v>
      </c>
      <c r="Y332" s="268" t="s">
        <v>496</v>
      </c>
      <c r="Z332" s="268" t="s">
        <v>496</v>
      </c>
      <c r="AA332" s="268" t="s">
        <v>496</v>
      </c>
    </row>
    <row r="333" spans="2:28">
      <c r="B333" s="251" t="s">
        <v>2359</v>
      </c>
      <c r="C333" s="269" t="s">
        <v>730</v>
      </c>
      <c r="D333" s="256">
        <v>50</v>
      </c>
      <c r="E333" s="251" t="s">
        <v>544</v>
      </c>
      <c r="F333" s="256">
        <v>18</v>
      </c>
      <c r="G333" s="254">
        <v>43510</v>
      </c>
      <c r="I333" s="268" t="s">
        <v>496</v>
      </c>
      <c r="J333" s="251" t="s">
        <v>614</v>
      </c>
      <c r="L333" s="251">
        <v>2004</v>
      </c>
      <c r="N333" s="251" t="s">
        <v>2361</v>
      </c>
      <c r="O333" s="251" t="s">
        <v>549</v>
      </c>
      <c r="P333" s="252">
        <v>3.4</v>
      </c>
      <c r="Q333" s="251" t="s">
        <v>1893</v>
      </c>
      <c r="R333" s="251" t="s">
        <v>496</v>
      </c>
      <c r="S333" s="251" t="s">
        <v>496</v>
      </c>
      <c r="T333" s="251" t="s">
        <v>496</v>
      </c>
      <c r="U333" s="251" t="s">
        <v>496</v>
      </c>
      <c r="V333" s="251" t="s">
        <v>496</v>
      </c>
      <c r="W333" s="251" t="s">
        <v>496</v>
      </c>
      <c r="X333" s="251" t="s">
        <v>496</v>
      </c>
      <c r="Y333" s="251" t="s">
        <v>496</v>
      </c>
      <c r="Z333" s="251" t="s">
        <v>496</v>
      </c>
      <c r="AA333" s="251" t="s">
        <v>2360</v>
      </c>
    </row>
    <row r="334" spans="2:28">
      <c r="C334" s="269"/>
      <c r="G334" s="254"/>
      <c r="I334" s="268"/>
      <c r="O334" s="251"/>
      <c r="Q334" s="251"/>
      <c r="R334" s="251"/>
      <c r="S334" s="251"/>
      <c r="T334" s="251"/>
      <c r="U334" s="251"/>
      <c r="V334" s="251"/>
      <c r="W334" s="251"/>
      <c r="X334" s="251"/>
      <c r="Y334" s="251"/>
      <c r="Z334" s="251"/>
    </row>
    <row r="335" spans="2:28">
      <c r="C335" s="269"/>
      <c r="E335" s="268"/>
      <c r="G335" s="274"/>
      <c r="I335" s="268"/>
      <c r="J335" s="268"/>
      <c r="K335" s="268"/>
      <c r="N335" s="268"/>
      <c r="O335" s="272"/>
      <c r="Q335" s="272"/>
      <c r="R335" s="272"/>
      <c r="T335" s="272"/>
      <c r="U335" s="272"/>
      <c r="V335" s="272"/>
      <c r="W335" s="272"/>
      <c r="X335" s="272"/>
      <c r="Y335" s="272"/>
      <c r="Z335" s="272"/>
      <c r="AA335" s="268"/>
      <c r="AB335" s="5"/>
    </row>
    <row r="336" spans="2:28" s="268" customFormat="1" ht="14">
      <c r="B336" s="268" t="s">
        <v>1829</v>
      </c>
      <c r="C336" s="269" t="s">
        <v>256</v>
      </c>
      <c r="D336" s="270">
        <v>3500</v>
      </c>
      <c r="E336" s="268" t="s">
        <v>813</v>
      </c>
      <c r="F336" s="270">
        <v>200</v>
      </c>
      <c r="G336" s="274">
        <v>44907</v>
      </c>
      <c r="H336" s="268" t="s">
        <v>4025</v>
      </c>
      <c r="I336" s="268" t="s">
        <v>4024</v>
      </c>
      <c r="J336" s="268" t="s">
        <v>614</v>
      </c>
      <c r="K336" s="268" t="s">
        <v>1008</v>
      </c>
      <c r="L336" s="268">
        <v>2013</v>
      </c>
      <c r="N336" s="268" t="s">
        <v>4026</v>
      </c>
      <c r="O336" s="272" t="s">
        <v>738</v>
      </c>
      <c r="P336" s="272" t="s">
        <v>4028</v>
      </c>
      <c r="Q336" s="272" t="s">
        <v>4029</v>
      </c>
      <c r="R336" s="272"/>
      <c r="S336" s="272"/>
      <c r="T336" s="272"/>
      <c r="U336" s="272"/>
      <c r="V336" s="272"/>
      <c r="W336" s="272"/>
      <c r="X336" s="272"/>
      <c r="Y336" s="272"/>
      <c r="Z336" s="272"/>
      <c r="AA336" s="268" t="s">
        <v>3944</v>
      </c>
      <c r="AB336" s="257" t="s">
        <v>4023</v>
      </c>
    </row>
    <row r="337" spans="2:2">
      <c r="B337" s="251" t="s">
        <v>1939</v>
      </c>
    </row>
    <row r="338" spans="2:2">
      <c r="B338" s="251" t="s">
        <v>1830</v>
      </c>
    </row>
    <row r="339" spans="2:2">
      <c r="B339" s="251" t="s">
        <v>1831</v>
      </c>
    </row>
    <row r="340" spans="2:2">
      <c r="B340" s="251" t="s">
        <v>1832</v>
      </c>
    </row>
    <row r="341" spans="2:2">
      <c r="B341" s="251" t="s">
        <v>1833</v>
      </c>
    </row>
    <row r="342" spans="2:2">
      <c r="B342" s="251" t="s">
        <v>1837</v>
      </c>
    </row>
    <row r="343" spans="2:2">
      <c r="B343" s="251" t="s">
        <v>1838</v>
      </c>
    </row>
    <row r="344" spans="2:2">
      <c r="B344" s="251" t="s">
        <v>1863</v>
      </c>
    </row>
    <row r="345" spans="2:2">
      <c r="B345" s="251" t="s">
        <v>1877</v>
      </c>
    </row>
    <row r="346" spans="2:2">
      <c r="B346" s="251" t="s">
        <v>1879</v>
      </c>
    </row>
    <row r="347" spans="2:2">
      <c r="B347" s="251" t="s">
        <v>1897</v>
      </c>
    </row>
    <row r="348" spans="2:2">
      <c r="B348" s="251" t="s">
        <v>1915</v>
      </c>
    </row>
    <row r="349" spans="2:2">
      <c r="B349" s="251" t="s">
        <v>1919</v>
      </c>
    </row>
    <row r="350" spans="2:2">
      <c r="B350" s="251" t="s">
        <v>1926</v>
      </c>
    </row>
    <row r="351" spans="2:2">
      <c r="B351" s="251" t="s">
        <v>1927</v>
      </c>
    </row>
    <row r="352" spans="2:2">
      <c r="B352" s="251" t="s">
        <v>1928</v>
      </c>
    </row>
    <row r="353" spans="2:8">
      <c r="B353" s="251" t="s">
        <v>1936</v>
      </c>
    </row>
    <row r="354" spans="2:8">
      <c r="B354" s="251" t="s">
        <v>1937</v>
      </c>
    </row>
    <row r="355" spans="2:8">
      <c r="B355" s="251" t="s">
        <v>1938</v>
      </c>
    </row>
    <row r="356" spans="2:8">
      <c r="B356" s="251" t="s">
        <v>38</v>
      </c>
      <c r="H356" s="251" t="s">
        <v>1940</v>
      </c>
    </row>
    <row r="357" spans="2:8">
      <c r="B357" s="251" t="s">
        <v>2053</v>
      </c>
    </row>
    <row r="358" spans="2:8">
      <c r="B358" s="251" t="s">
        <v>1941</v>
      </c>
    </row>
    <row r="359" spans="2:8">
      <c r="B359" s="251" t="s">
        <v>1942</v>
      </c>
    </row>
    <row r="360" spans="2:8">
      <c r="B360" s="251" t="s">
        <v>1943</v>
      </c>
    </row>
    <row r="361" spans="2:8">
      <c r="B361" s="251" t="s">
        <v>1944</v>
      </c>
    </row>
    <row r="362" spans="2:8">
      <c r="B362" s="251" t="s">
        <v>1945</v>
      </c>
    </row>
    <row r="363" spans="2:8">
      <c r="B363" s="251" t="s">
        <v>1946</v>
      </c>
    </row>
    <row r="364" spans="2:8">
      <c r="B364" s="251" t="s">
        <v>1947</v>
      </c>
    </row>
    <row r="365" spans="2:8">
      <c r="B365" s="251" t="s">
        <v>1948</v>
      </c>
    </row>
    <row r="366" spans="2:8">
      <c r="B366" s="251" t="s">
        <v>1949</v>
      </c>
    </row>
    <row r="367" spans="2:8">
      <c r="B367" s="251" t="s">
        <v>1950</v>
      </c>
    </row>
    <row r="368" spans="2:8">
      <c r="B368" s="251" t="s">
        <v>1951</v>
      </c>
    </row>
    <row r="369" spans="2:2">
      <c r="B369" s="251" t="s">
        <v>1952</v>
      </c>
    </row>
    <row r="370" spans="2:2">
      <c r="B370" s="251" t="s">
        <v>1953</v>
      </c>
    </row>
    <row r="371" spans="2:2">
      <c r="B371" s="251" t="s">
        <v>1954</v>
      </c>
    </row>
    <row r="372" spans="2:2">
      <c r="B372" s="251" t="s">
        <v>1955</v>
      </c>
    </row>
    <row r="373" spans="2:2">
      <c r="B373" s="251" t="s">
        <v>1956</v>
      </c>
    </row>
    <row r="374" spans="2:2">
      <c r="B374" s="251" t="s">
        <v>1957</v>
      </c>
    </row>
    <row r="375" spans="2:2">
      <c r="B375" s="251" t="s">
        <v>1958</v>
      </c>
    </row>
    <row r="376" spans="2:2">
      <c r="B376" s="251" t="s">
        <v>1959</v>
      </c>
    </row>
    <row r="377" spans="2:2">
      <c r="B377" s="251" t="s">
        <v>1960</v>
      </c>
    </row>
    <row r="378" spans="2:2">
      <c r="B378" s="251" t="s">
        <v>1961</v>
      </c>
    </row>
    <row r="379" spans="2:2">
      <c r="B379" s="251" t="s">
        <v>1962</v>
      </c>
    </row>
    <row r="380" spans="2:2">
      <c r="B380" s="251" t="s">
        <v>1963</v>
      </c>
    </row>
    <row r="381" spans="2:2">
      <c r="B381" s="251" t="s">
        <v>607</v>
      </c>
    </row>
    <row r="382" spans="2:2">
      <c r="B382" s="251" t="s">
        <v>1964</v>
      </c>
    </row>
    <row r="383" spans="2:2">
      <c r="B383" s="251" t="s">
        <v>1965</v>
      </c>
    </row>
    <row r="384" spans="2:2">
      <c r="B384" s="251" t="s">
        <v>1966</v>
      </c>
    </row>
    <row r="385" spans="2:2">
      <c r="B385" s="251" t="s">
        <v>469</v>
      </c>
    </row>
    <row r="386" spans="2:2">
      <c r="B386" s="251" t="s">
        <v>1967</v>
      </c>
    </row>
    <row r="387" spans="2:2">
      <c r="B387" s="251" t="s">
        <v>1968</v>
      </c>
    </row>
    <row r="388" spans="2:2">
      <c r="B388" s="251" t="s">
        <v>1969</v>
      </c>
    </row>
    <row r="389" spans="2:2">
      <c r="B389" s="251" t="s">
        <v>1970</v>
      </c>
    </row>
    <row r="390" spans="2:2">
      <c r="B390" s="251" t="s">
        <v>1971</v>
      </c>
    </row>
    <row r="391" spans="2:2">
      <c r="B391" s="251" t="s">
        <v>1972</v>
      </c>
    </row>
    <row r="392" spans="2:2">
      <c r="B392" s="251" t="s">
        <v>1973</v>
      </c>
    </row>
    <row r="393" spans="2:2">
      <c r="B393" s="251" t="s">
        <v>1974</v>
      </c>
    </row>
    <row r="394" spans="2:2">
      <c r="B394" s="251" t="s">
        <v>1975</v>
      </c>
    </row>
    <row r="395" spans="2:2">
      <c r="B395" s="251" t="s">
        <v>1976</v>
      </c>
    </row>
    <row r="396" spans="2:2">
      <c r="B396" s="251" t="s">
        <v>1977</v>
      </c>
    </row>
    <row r="397" spans="2:2">
      <c r="B397" s="251" t="s">
        <v>1978</v>
      </c>
    </row>
    <row r="398" spans="2:2">
      <c r="B398" s="251" t="s">
        <v>1979</v>
      </c>
    </row>
    <row r="399" spans="2:2">
      <c r="B399" s="251" t="s">
        <v>1980</v>
      </c>
    </row>
    <row r="400" spans="2:2">
      <c r="B400" s="251" t="s">
        <v>1981</v>
      </c>
    </row>
    <row r="401" spans="2:2">
      <c r="B401" s="251" t="s">
        <v>1982</v>
      </c>
    </row>
    <row r="402" spans="2:2">
      <c r="B402" s="251" t="s">
        <v>1983</v>
      </c>
    </row>
    <row r="403" spans="2:2">
      <c r="B403" s="251" t="s">
        <v>1984</v>
      </c>
    </row>
    <row r="404" spans="2:2">
      <c r="B404" s="251" t="s">
        <v>1985</v>
      </c>
    </row>
    <row r="405" spans="2:2">
      <c r="B405" s="251" t="s">
        <v>1986</v>
      </c>
    </row>
    <row r="406" spans="2:2">
      <c r="B406" s="251" t="s">
        <v>1987</v>
      </c>
    </row>
    <row r="407" spans="2:2">
      <c r="B407" s="251" t="s">
        <v>1988</v>
      </c>
    </row>
    <row r="408" spans="2:2">
      <c r="B408" s="251" t="s">
        <v>1989</v>
      </c>
    </row>
    <row r="409" spans="2:2">
      <c r="B409" s="251" t="s">
        <v>1990</v>
      </c>
    </row>
    <row r="410" spans="2:2">
      <c r="B410" s="251" t="s">
        <v>1992</v>
      </c>
    </row>
    <row r="411" spans="2:2">
      <c r="B411" s="251" t="s">
        <v>1993</v>
      </c>
    </row>
    <row r="412" spans="2:2">
      <c r="B412" s="251" t="s">
        <v>1994</v>
      </c>
    </row>
    <row r="413" spans="2:2">
      <c r="B413" s="251" t="s">
        <v>1995</v>
      </c>
    </row>
    <row r="414" spans="2:2">
      <c r="B414" s="251" t="s">
        <v>1996</v>
      </c>
    </row>
    <row r="415" spans="2:2">
      <c r="B415" s="251" t="s">
        <v>1998</v>
      </c>
    </row>
    <row r="416" spans="2:2">
      <c r="B416" s="251" t="s">
        <v>1999</v>
      </c>
    </row>
    <row r="417" spans="2:2">
      <c r="B417" s="251" t="s">
        <v>2000</v>
      </c>
    </row>
    <row r="418" spans="2:2">
      <c r="B418" s="251" t="s">
        <v>2001</v>
      </c>
    </row>
    <row r="419" spans="2:2">
      <c r="B419" s="251" t="s">
        <v>2002</v>
      </c>
    </row>
    <row r="420" spans="2:2">
      <c r="B420" s="251" t="s">
        <v>2003</v>
      </c>
    </row>
    <row r="421" spans="2:2">
      <c r="B421" s="251" t="s">
        <v>2004</v>
      </c>
    </row>
    <row r="422" spans="2:2">
      <c r="B422" s="251" t="s">
        <v>2005</v>
      </c>
    </row>
    <row r="423" spans="2:2">
      <c r="B423" s="251" t="s">
        <v>2006</v>
      </c>
    </row>
    <row r="424" spans="2:2">
      <c r="B424" s="251" t="s">
        <v>2007</v>
      </c>
    </row>
    <row r="425" spans="2:2">
      <c r="B425" s="251" t="s">
        <v>2008</v>
      </c>
    </row>
    <row r="426" spans="2:2">
      <c r="B426" s="251" t="s">
        <v>2009</v>
      </c>
    </row>
    <row r="427" spans="2:2">
      <c r="B427" s="251" t="s">
        <v>2010</v>
      </c>
    </row>
    <row r="428" spans="2:2">
      <c r="B428" s="251" t="s">
        <v>2011</v>
      </c>
    </row>
    <row r="429" spans="2:2">
      <c r="B429" s="251" t="s">
        <v>2012</v>
      </c>
    </row>
    <row r="430" spans="2:2">
      <c r="B430" s="251" t="s">
        <v>2013</v>
      </c>
    </row>
    <row r="431" spans="2:2">
      <c r="B431" s="251" t="s">
        <v>2014</v>
      </c>
    </row>
    <row r="432" spans="2:2">
      <c r="B432" s="251" t="s">
        <v>2015</v>
      </c>
    </row>
    <row r="433" spans="2:2">
      <c r="B433" s="251" t="s">
        <v>2016</v>
      </c>
    </row>
    <row r="434" spans="2:2">
      <c r="B434" s="251" t="s">
        <v>2017</v>
      </c>
    </row>
    <row r="435" spans="2:2">
      <c r="B435" s="251" t="s">
        <v>2018</v>
      </c>
    </row>
    <row r="436" spans="2:2">
      <c r="B436" s="251" t="s">
        <v>2019</v>
      </c>
    </row>
    <row r="437" spans="2:2">
      <c r="B437" s="251" t="s">
        <v>2020</v>
      </c>
    </row>
    <row r="438" spans="2:2">
      <c r="B438" s="251" t="s">
        <v>2021</v>
      </c>
    </row>
    <row r="439" spans="2:2">
      <c r="B439" s="251" t="s">
        <v>2022</v>
      </c>
    </row>
    <row r="440" spans="2:2">
      <c r="B440" s="251" t="s">
        <v>2023</v>
      </c>
    </row>
    <row r="441" spans="2:2">
      <c r="B441" s="251" t="s">
        <v>2024</v>
      </c>
    </row>
    <row r="442" spans="2:2">
      <c r="B442" s="251" t="s">
        <v>2025</v>
      </c>
    </row>
    <row r="443" spans="2:2">
      <c r="B443" s="251" t="s">
        <v>2026</v>
      </c>
    </row>
    <row r="444" spans="2:2">
      <c r="B444" s="251" t="s">
        <v>2027</v>
      </c>
    </row>
    <row r="445" spans="2:2">
      <c r="B445" s="251" t="s">
        <v>2028</v>
      </c>
    </row>
    <row r="446" spans="2:2">
      <c r="B446" s="251" t="s">
        <v>2029</v>
      </c>
    </row>
    <row r="447" spans="2:2">
      <c r="B447" s="251" t="s">
        <v>2030</v>
      </c>
    </row>
    <row r="448" spans="2:2">
      <c r="B448" s="251" t="s">
        <v>2031</v>
      </c>
    </row>
    <row r="449" spans="2:2">
      <c r="B449" s="251" t="s">
        <v>2032</v>
      </c>
    </row>
    <row r="450" spans="2:2">
      <c r="B450" s="251" t="s">
        <v>2033</v>
      </c>
    </row>
    <row r="451" spans="2:2">
      <c r="B451" s="251" t="s">
        <v>2034</v>
      </c>
    </row>
    <row r="452" spans="2:2">
      <c r="B452" s="251" t="s">
        <v>2035</v>
      </c>
    </row>
    <row r="453" spans="2:2">
      <c r="B453" s="251" t="s">
        <v>2036</v>
      </c>
    </row>
    <row r="454" spans="2:2">
      <c r="B454" s="251" t="s">
        <v>2037</v>
      </c>
    </row>
    <row r="455" spans="2:2">
      <c r="B455" s="251" t="s">
        <v>2038</v>
      </c>
    </row>
    <row r="456" spans="2:2">
      <c r="B456" s="64" t="s">
        <v>2039</v>
      </c>
    </row>
    <row r="457" spans="2:2">
      <c r="B457" s="251" t="s">
        <v>2040</v>
      </c>
    </row>
    <row r="458" spans="2:2">
      <c r="B458" s="251" t="s">
        <v>2041</v>
      </c>
    </row>
    <row r="459" spans="2:2">
      <c r="B459" s="251" t="s">
        <v>2042</v>
      </c>
    </row>
    <row r="460" spans="2:2">
      <c r="B460" s="251" t="s">
        <v>2043</v>
      </c>
    </row>
    <row r="461" spans="2:2">
      <c r="B461" s="251" t="s">
        <v>2044</v>
      </c>
    </row>
    <row r="462" spans="2:2">
      <c r="B462" s="251" t="s">
        <v>2045</v>
      </c>
    </row>
    <row r="463" spans="2:2">
      <c r="B463" s="64" t="s">
        <v>2046</v>
      </c>
    </row>
    <row r="464" spans="2:2">
      <c r="B464" s="251" t="s">
        <v>2047</v>
      </c>
    </row>
    <row r="465" spans="2:2">
      <c r="B465" s="251" t="s">
        <v>2048</v>
      </c>
    </row>
    <row r="466" spans="2:2">
      <c r="B466" s="251" t="s">
        <v>2049</v>
      </c>
    </row>
    <row r="467" spans="2:2">
      <c r="B467" s="251" t="s">
        <v>2050</v>
      </c>
    </row>
    <row r="468" spans="2:2">
      <c r="B468" s="251" t="s">
        <v>2051</v>
      </c>
    </row>
    <row r="469" spans="2:2">
      <c r="B469" s="251" t="s">
        <v>2052</v>
      </c>
    </row>
    <row r="470" spans="2:2">
      <c r="B470" s="251" t="s">
        <v>2054</v>
      </c>
    </row>
    <row r="471" spans="2:2">
      <c r="B471" s="251" t="s">
        <v>2055</v>
      </c>
    </row>
    <row r="472" spans="2:2">
      <c r="B472" s="251" t="s">
        <v>2056</v>
      </c>
    </row>
    <row r="473" spans="2:2">
      <c r="B473" s="251" t="s">
        <v>2057</v>
      </c>
    </row>
    <row r="474" spans="2:2">
      <c r="B474" s="251" t="s">
        <v>2058</v>
      </c>
    </row>
    <row r="475" spans="2:2">
      <c r="B475" s="251" t="s">
        <v>2059</v>
      </c>
    </row>
    <row r="476" spans="2:2">
      <c r="B476" s="251" t="s">
        <v>2060</v>
      </c>
    </row>
    <row r="477" spans="2:2">
      <c r="B477" s="251" t="s">
        <v>2061</v>
      </c>
    </row>
    <row r="478" spans="2:2">
      <c r="B478" s="251" t="s">
        <v>2062</v>
      </c>
    </row>
    <row r="479" spans="2:2">
      <c r="B479" s="251" t="s">
        <v>2063</v>
      </c>
    </row>
    <row r="480" spans="2:2">
      <c r="B480" s="251" t="s">
        <v>2064</v>
      </c>
    </row>
    <row r="481" spans="2:2">
      <c r="B481" s="251" t="s">
        <v>2065</v>
      </c>
    </row>
    <row r="482" spans="2:2">
      <c r="B482" s="251" t="s">
        <v>2066</v>
      </c>
    </row>
    <row r="483" spans="2:2">
      <c r="B483" s="64" t="s">
        <v>2067</v>
      </c>
    </row>
    <row r="484" spans="2:2">
      <c r="B484" s="251" t="s">
        <v>2068</v>
      </c>
    </row>
    <row r="485" spans="2:2">
      <c r="B485" s="251" t="s">
        <v>2069</v>
      </c>
    </row>
    <row r="486" spans="2:2">
      <c r="B486" s="251" t="s">
        <v>2070</v>
      </c>
    </row>
    <row r="487" spans="2:2">
      <c r="B487" s="251" t="s">
        <v>2071</v>
      </c>
    </row>
    <row r="488" spans="2:2">
      <c r="B488" s="251" t="s">
        <v>2072</v>
      </c>
    </row>
    <row r="489" spans="2:2">
      <c r="B489" s="251" t="s">
        <v>2073</v>
      </c>
    </row>
    <row r="490" spans="2:2">
      <c r="B490" s="251" t="s">
        <v>2074</v>
      </c>
    </row>
    <row r="491" spans="2:2">
      <c r="B491" s="251" t="s">
        <v>2075</v>
      </c>
    </row>
    <row r="492" spans="2:2">
      <c r="B492" s="251" t="s">
        <v>2076</v>
      </c>
    </row>
    <row r="493" spans="2:2">
      <c r="B493" s="251" t="s">
        <v>2077</v>
      </c>
    </row>
    <row r="494" spans="2:2">
      <c r="B494" s="251" t="s">
        <v>2078</v>
      </c>
    </row>
    <row r="495" spans="2:2">
      <c r="B495" s="251" t="s">
        <v>2079</v>
      </c>
    </row>
    <row r="496" spans="2:2">
      <c r="B496" s="251" t="s">
        <v>2080</v>
      </c>
    </row>
    <row r="497" spans="2:2">
      <c r="B497" s="251" t="s">
        <v>2081</v>
      </c>
    </row>
    <row r="498" spans="2:2">
      <c r="B498" s="251" t="s">
        <v>2082</v>
      </c>
    </row>
    <row r="499" spans="2:2">
      <c r="B499" s="251" t="s">
        <v>2083</v>
      </c>
    </row>
    <row r="500" spans="2:2">
      <c r="B500" s="251" t="s">
        <v>2084</v>
      </c>
    </row>
    <row r="501" spans="2:2">
      <c r="B501" s="251" t="s">
        <v>2085</v>
      </c>
    </row>
    <row r="502" spans="2:2">
      <c r="B502" s="251" t="s">
        <v>2086</v>
      </c>
    </row>
    <row r="503" spans="2:2">
      <c r="B503" s="251" t="s">
        <v>2087</v>
      </c>
    </row>
    <row r="504" spans="2:2">
      <c r="B504" s="251" t="s">
        <v>2088</v>
      </c>
    </row>
    <row r="505" spans="2:2">
      <c r="B505" s="251" t="s">
        <v>2089</v>
      </c>
    </row>
    <row r="506" spans="2:2">
      <c r="B506" s="251" t="s">
        <v>2090</v>
      </c>
    </row>
    <row r="507" spans="2:2">
      <c r="B507" s="251" t="s">
        <v>2091</v>
      </c>
    </row>
    <row r="508" spans="2:2">
      <c r="B508" s="251" t="s">
        <v>2092</v>
      </c>
    </row>
    <row r="509" spans="2:2">
      <c r="B509" s="251" t="s">
        <v>2093</v>
      </c>
    </row>
    <row r="510" spans="2:2">
      <c r="B510" s="251" t="s">
        <v>2094</v>
      </c>
    </row>
    <row r="511" spans="2:2">
      <c r="B511" s="251" t="s">
        <v>2095</v>
      </c>
    </row>
    <row r="512" spans="2:2">
      <c r="B512" s="251" t="s">
        <v>2096</v>
      </c>
    </row>
    <row r="513" spans="2:2">
      <c r="B513" s="251" t="s">
        <v>2097</v>
      </c>
    </row>
    <row r="514" spans="2:2">
      <c r="B514" s="251" t="s">
        <v>2098</v>
      </c>
    </row>
    <row r="515" spans="2:2">
      <c r="B515" s="251" t="s">
        <v>2099</v>
      </c>
    </row>
    <row r="516" spans="2:2">
      <c r="B516" s="251" t="s">
        <v>2100</v>
      </c>
    </row>
    <row r="517" spans="2:2">
      <c r="B517" s="251" t="s">
        <v>2101</v>
      </c>
    </row>
    <row r="518" spans="2:2">
      <c r="B518" s="251" t="s">
        <v>2102</v>
      </c>
    </row>
    <row r="519" spans="2:2">
      <c r="B519" s="251" t="s">
        <v>2103</v>
      </c>
    </row>
    <row r="520" spans="2:2">
      <c r="B520" s="251" t="s">
        <v>2104</v>
      </c>
    </row>
    <row r="521" spans="2:2">
      <c r="B521" s="251" t="s">
        <v>2105</v>
      </c>
    </row>
    <row r="522" spans="2:2">
      <c r="B522" s="251" t="s">
        <v>2106</v>
      </c>
    </row>
    <row r="523" spans="2:2">
      <c r="B523" s="251" t="s">
        <v>2107</v>
      </c>
    </row>
    <row r="524" spans="2:2">
      <c r="B524" s="251" t="s">
        <v>2108</v>
      </c>
    </row>
    <row r="525" spans="2:2">
      <c r="B525" s="251" t="s">
        <v>2109</v>
      </c>
    </row>
    <row r="526" spans="2:2">
      <c r="B526" s="251" t="s">
        <v>2110</v>
      </c>
    </row>
    <row r="527" spans="2:2">
      <c r="B527" s="251" t="s">
        <v>2111</v>
      </c>
    </row>
    <row r="528" spans="2:2">
      <c r="B528" s="251" t="s">
        <v>2112</v>
      </c>
    </row>
    <row r="529" spans="2:2">
      <c r="B529" s="251" t="s">
        <v>2113</v>
      </c>
    </row>
    <row r="530" spans="2:2">
      <c r="B530" s="251" t="s">
        <v>2114</v>
      </c>
    </row>
    <row r="531" spans="2:2">
      <c r="B531" s="251" t="s">
        <v>2115</v>
      </c>
    </row>
    <row r="532" spans="2:2">
      <c r="B532" s="251" t="s">
        <v>2116</v>
      </c>
    </row>
    <row r="533" spans="2:2">
      <c r="B533" s="251" t="s">
        <v>2117</v>
      </c>
    </row>
    <row r="534" spans="2:2">
      <c r="B534" s="251" t="s">
        <v>2118</v>
      </c>
    </row>
    <row r="535" spans="2:2">
      <c r="B535" s="251" t="s">
        <v>2119</v>
      </c>
    </row>
    <row r="536" spans="2:2">
      <c r="B536" s="251" t="s">
        <v>2120</v>
      </c>
    </row>
    <row r="537" spans="2:2">
      <c r="B537" s="251" t="s">
        <v>2121</v>
      </c>
    </row>
    <row r="538" spans="2:2">
      <c r="B538" s="251" t="s">
        <v>2122</v>
      </c>
    </row>
    <row r="539" spans="2:2">
      <c r="B539" s="251" t="s">
        <v>2123</v>
      </c>
    </row>
    <row r="540" spans="2:2">
      <c r="B540" s="251" t="s">
        <v>2124</v>
      </c>
    </row>
    <row r="541" spans="2:2">
      <c r="B541" s="251" t="s">
        <v>2125</v>
      </c>
    </row>
    <row r="542" spans="2:2">
      <c r="B542" s="251" t="s">
        <v>2126</v>
      </c>
    </row>
    <row r="543" spans="2:2">
      <c r="B543" s="251" t="s">
        <v>2127</v>
      </c>
    </row>
    <row r="544" spans="2:2">
      <c r="B544" s="251" t="s">
        <v>2128</v>
      </c>
    </row>
    <row r="545" spans="2:13">
      <c r="B545" s="251" t="s">
        <v>2133</v>
      </c>
    </row>
    <row r="546" spans="2:13">
      <c r="B546" s="251" t="s">
        <v>2158</v>
      </c>
    </row>
    <row r="547" spans="2:13">
      <c r="B547" s="251" t="s">
        <v>2208</v>
      </c>
    </row>
    <row r="548" spans="2:13">
      <c r="B548" s="251" t="s">
        <v>2209</v>
      </c>
    </row>
    <row r="549" spans="2:13">
      <c r="B549" s="251" t="s">
        <v>2210</v>
      </c>
    </row>
    <row r="550" spans="2:13">
      <c r="B550" s="251" t="s">
        <v>2211</v>
      </c>
      <c r="I550" s="251" t="s">
        <v>2985</v>
      </c>
    </row>
    <row r="551" spans="2:13">
      <c r="B551" s="251" t="s">
        <v>2212</v>
      </c>
    </row>
    <row r="552" spans="2:13">
      <c r="B552" s="251" t="s">
        <v>2213</v>
      </c>
    </row>
    <row r="553" spans="2:13">
      <c r="B553" s="251" t="s">
        <v>2214</v>
      </c>
    </row>
    <row r="554" spans="2:13">
      <c r="B554" s="251" t="s">
        <v>2215</v>
      </c>
    </row>
    <row r="555" spans="2:13">
      <c r="B555" s="251" t="s">
        <v>2216</v>
      </c>
    </row>
    <row r="556" spans="2:13">
      <c r="B556" s="251" t="s">
        <v>2217</v>
      </c>
      <c r="M556" s="251" t="s">
        <v>2923</v>
      </c>
    </row>
    <row r="557" spans="2:13">
      <c r="B557" s="251" t="s">
        <v>2218</v>
      </c>
    </row>
    <row r="558" spans="2:13">
      <c r="B558" s="251" t="s">
        <v>2219</v>
      </c>
    </row>
    <row r="559" spans="2:13">
      <c r="B559" s="251" t="s">
        <v>2220</v>
      </c>
    </row>
    <row r="560" spans="2:13">
      <c r="B560" s="251" t="s">
        <v>2221</v>
      </c>
    </row>
    <row r="561" spans="2:2">
      <c r="B561" s="251" t="s">
        <v>2222</v>
      </c>
    </row>
    <row r="562" spans="2:2">
      <c r="B562" s="251" t="s">
        <v>2223</v>
      </c>
    </row>
    <row r="563" spans="2:2">
      <c r="B563" s="251" t="s">
        <v>2224</v>
      </c>
    </row>
    <row r="564" spans="2:2">
      <c r="B564" s="251" t="s">
        <v>2225</v>
      </c>
    </row>
    <row r="565" spans="2:2">
      <c r="B565" s="251" t="s">
        <v>2235</v>
      </c>
    </row>
    <row r="566" spans="2:2">
      <c r="B566" s="251" t="s">
        <v>2267</v>
      </c>
    </row>
    <row r="567" spans="2:2">
      <c r="B567" s="251" t="s">
        <v>2286</v>
      </c>
    </row>
    <row r="568" spans="2:2">
      <c r="B568" s="251" t="s">
        <v>2302</v>
      </c>
    </row>
    <row r="569" spans="2:2">
      <c r="B569" s="251" t="s">
        <v>2303</v>
      </c>
    </row>
    <row r="570" spans="2:2">
      <c r="B570" s="251" t="s">
        <v>2314</v>
      </c>
    </row>
    <row r="571" spans="2:2">
      <c r="B571" s="251" t="s">
        <v>2356</v>
      </c>
    </row>
    <row r="572" spans="2:2">
      <c r="B572" s="251" t="s">
        <v>2362</v>
      </c>
    </row>
    <row r="573" spans="2:2">
      <c r="B573" s="251" t="s">
        <v>2422</v>
      </c>
    </row>
    <row r="574" spans="2:2">
      <c r="B574" s="251" t="s">
        <v>2423</v>
      </c>
    </row>
    <row r="575" spans="2:2">
      <c r="B575" s="251" t="s">
        <v>2437</v>
      </c>
    </row>
    <row r="576" spans="2:2">
      <c r="B576" s="251" t="s">
        <v>2465</v>
      </c>
    </row>
    <row r="577" spans="2:2">
      <c r="B577" s="251" t="s">
        <v>2481</v>
      </c>
    </row>
    <row r="578" spans="2:2">
      <c r="B578" s="251" t="s">
        <v>2489</v>
      </c>
    </row>
    <row r="579" spans="2:2">
      <c r="B579" s="251" t="s">
        <v>2502</v>
      </c>
    </row>
    <row r="580" spans="2:2">
      <c r="B580" s="251" t="s">
        <v>2542</v>
      </c>
    </row>
    <row r="581" spans="2:2">
      <c r="B581" s="251" t="s">
        <v>2552</v>
      </c>
    </row>
    <row r="582" spans="2:2">
      <c r="B582" s="251" t="s">
        <v>2553</v>
      </c>
    </row>
    <row r="583" spans="2:2">
      <c r="B583" s="251" t="s">
        <v>2557</v>
      </c>
    </row>
    <row r="584" spans="2:2">
      <c r="B584" s="251" t="s">
        <v>2560</v>
      </c>
    </row>
    <row r="585" spans="2:2">
      <c r="B585" s="251" t="s">
        <v>2580</v>
      </c>
    </row>
    <row r="586" spans="2:2">
      <c r="B586" s="251" t="s">
        <v>2581</v>
      </c>
    </row>
    <row r="587" spans="2:2">
      <c r="B587" s="251" t="s">
        <v>2621</v>
      </c>
    </row>
    <row r="588" spans="2:2">
      <c r="B588" s="251" t="s">
        <v>2622</v>
      </c>
    </row>
    <row r="589" spans="2:2">
      <c r="B589" s="251" t="s">
        <v>2633</v>
      </c>
    </row>
    <row r="590" spans="2:2">
      <c r="B590" s="251" t="s">
        <v>2638</v>
      </c>
    </row>
    <row r="591" spans="2:2">
      <c r="B591" s="251" t="s">
        <v>3361</v>
      </c>
    </row>
    <row r="592" spans="2:2">
      <c r="B592" s="251" t="s">
        <v>2648</v>
      </c>
    </row>
    <row r="593" spans="2:2">
      <c r="B593" s="251" t="s">
        <v>152</v>
      </c>
    </row>
    <row r="594" spans="2:2">
      <c r="B594" s="251" t="s">
        <v>2661</v>
      </c>
    </row>
    <row r="595" spans="2:2">
      <c r="B595" s="251" t="s">
        <v>2663</v>
      </c>
    </row>
    <row r="596" spans="2:2">
      <c r="B596" s="251" t="s">
        <v>2669</v>
      </c>
    </row>
    <row r="597" spans="2:2">
      <c r="B597" s="251" t="s">
        <v>2670</v>
      </c>
    </row>
    <row r="598" spans="2:2">
      <c r="B598" s="251" t="s">
        <v>2689</v>
      </c>
    </row>
    <row r="599" spans="2:2">
      <c r="B599" s="251" t="s">
        <v>2690</v>
      </c>
    </row>
    <row r="600" spans="2:2">
      <c r="B600" s="251" t="s">
        <v>2708</v>
      </c>
    </row>
    <row r="601" spans="2:2">
      <c r="B601" s="251" t="s">
        <v>2709</v>
      </c>
    </row>
    <row r="602" spans="2:2">
      <c r="B602" s="251" t="s">
        <v>2713</v>
      </c>
    </row>
    <row r="603" spans="2:2">
      <c r="B603" s="251" t="s">
        <v>2714</v>
      </c>
    </row>
    <row r="604" spans="2:2">
      <c r="B604" s="251" t="s">
        <v>2724</v>
      </c>
    </row>
    <row r="605" spans="2:2">
      <c r="B605" s="251" t="s">
        <v>2725</v>
      </c>
    </row>
    <row r="606" spans="2:2">
      <c r="B606" s="251" t="s">
        <v>2734</v>
      </c>
    </row>
    <row r="607" spans="2:2">
      <c r="B607" s="251" t="s">
        <v>2756</v>
      </c>
    </row>
    <row r="608" spans="2:2">
      <c r="B608" s="251" t="s">
        <v>2757</v>
      </c>
    </row>
    <row r="609" spans="2:13">
      <c r="B609" s="251" t="s">
        <v>2759</v>
      </c>
    </row>
    <row r="610" spans="2:13">
      <c r="B610" s="251" t="s">
        <v>2772</v>
      </c>
    </row>
    <row r="611" spans="2:13">
      <c r="B611" s="251" t="s">
        <v>2801</v>
      </c>
    </row>
    <row r="612" spans="2:13">
      <c r="B612" s="251" t="s">
        <v>2834</v>
      </c>
    </row>
    <row r="613" spans="2:13">
      <c r="B613" s="251" t="s">
        <v>2845</v>
      </c>
    </row>
    <row r="614" spans="2:13">
      <c r="B614" s="251" t="s">
        <v>2846</v>
      </c>
    </row>
    <row r="615" spans="2:13">
      <c r="B615" s="251" t="s">
        <v>2850</v>
      </c>
    </row>
    <row r="616" spans="2:13">
      <c r="B616" s="251" t="s">
        <v>2861</v>
      </c>
      <c r="C616" s="255" t="s">
        <v>256</v>
      </c>
      <c r="M616" s="251" t="s">
        <v>2923</v>
      </c>
    </row>
    <row r="617" spans="2:13">
      <c r="B617" s="251" t="s">
        <v>2877</v>
      </c>
      <c r="C617" s="255" t="s">
        <v>256</v>
      </c>
    </row>
    <row r="618" spans="2:13">
      <c r="B618" s="251" t="s">
        <v>2878</v>
      </c>
      <c r="C618" s="255" t="s">
        <v>256</v>
      </c>
      <c r="M618" s="251" t="s">
        <v>2921</v>
      </c>
    </row>
    <row r="619" spans="2:13">
      <c r="B619" s="251" t="s">
        <v>2880</v>
      </c>
      <c r="C619" s="255" t="s">
        <v>256</v>
      </c>
      <c r="M619" s="251" t="s">
        <v>2921</v>
      </c>
    </row>
    <row r="620" spans="2:13">
      <c r="B620" s="251" t="s">
        <v>2881</v>
      </c>
      <c r="C620" s="255" t="s">
        <v>256</v>
      </c>
      <c r="M620" s="251" t="s">
        <v>2921</v>
      </c>
    </row>
    <row r="621" spans="2:13">
      <c r="B621" s="251" t="s">
        <v>2882</v>
      </c>
      <c r="C621" s="255" t="s">
        <v>256</v>
      </c>
      <c r="M621" s="251" t="s">
        <v>2921</v>
      </c>
    </row>
    <row r="622" spans="2:13">
      <c r="B622" s="251" t="s">
        <v>2883</v>
      </c>
      <c r="C622" s="255" t="s">
        <v>256</v>
      </c>
      <c r="M622" s="251" t="s">
        <v>2921</v>
      </c>
    </row>
    <row r="623" spans="2:13">
      <c r="B623" s="251" t="s">
        <v>2884</v>
      </c>
      <c r="C623" s="255" t="s">
        <v>256</v>
      </c>
      <c r="M623" s="251" t="s">
        <v>2921</v>
      </c>
    </row>
    <row r="624" spans="2:13">
      <c r="B624" s="251" t="s">
        <v>2885</v>
      </c>
      <c r="C624" s="255" t="s">
        <v>256</v>
      </c>
      <c r="M624" s="251" t="s">
        <v>2921</v>
      </c>
    </row>
    <row r="625" spans="2:13">
      <c r="B625" s="251" t="s">
        <v>2886</v>
      </c>
      <c r="C625" s="255" t="s">
        <v>256</v>
      </c>
      <c r="M625" s="251" t="s">
        <v>2921</v>
      </c>
    </row>
    <row r="626" spans="2:13">
      <c r="B626" s="251" t="s">
        <v>2887</v>
      </c>
      <c r="C626" s="255" t="s">
        <v>256</v>
      </c>
      <c r="M626" s="251" t="s">
        <v>2921</v>
      </c>
    </row>
    <row r="627" spans="2:13">
      <c r="B627" s="251" t="s">
        <v>2888</v>
      </c>
      <c r="C627" s="255" t="s">
        <v>256</v>
      </c>
      <c r="M627" s="251" t="s">
        <v>2921</v>
      </c>
    </row>
    <row r="628" spans="2:13">
      <c r="B628" s="251" t="s">
        <v>2889</v>
      </c>
      <c r="C628" s="255" t="s">
        <v>256</v>
      </c>
      <c r="M628" s="251" t="s">
        <v>2921</v>
      </c>
    </row>
    <row r="629" spans="2:13">
      <c r="B629" s="251" t="s">
        <v>2890</v>
      </c>
      <c r="C629" s="255" t="s">
        <v>256</v>
      </c>
      <c r="M629" s="251" t="s">
        <v>2921</v>
      </c>
    </row>
    <row r="630" spans="2:13">
      <c r="B630" s="251" t="s">
        <v>2891</v>
      </c>
      <c r="C630" s="255" t="s">
        <v>256</v>
      </c>
      <c r="M630" s="251" t="s">
        <v>2921</v>
      </c>
    </row>
    <row r="631" spans="2:13">
      <c r="B631" s="251" t="s">
        <v>2892</v>
      </c>
      <c r="C631" s="255" t="s">
        <v>256</v>
      </c>
      <c r="M631" s="251" t="s">
        <v>2921</v>
      </c>
    </row>
    <row r="632" spans="2:13">
      <c r="B632" s="251" t="s">
        <v>2893</v>
      </c>
      <c r="C632" s="255" t="s">
        <v>256</v>
      </c>
      <c r="M632" s="251" t="s">
        <v>2921</v>
      </c>
    </row>
    <row r="633" spans="2:13">
      <c r="B633" s="251" t="s">
        <v>2894</v>
      </c>
      <c r="C633" s="255" t="s">
        <v>256</v>
      </c>
      <c r="M633" s="251" t="s">
        <v>2921</v>
      </c>
    </row>
    <row r="634" spans="2:13">
      <c r="B634" s="251" t="s">
        <v>2895</v>
      </c>
      <c r="C634" s="255" t="s">
        <v>256</v>
      </c>
      <c r="M634" s="251" t="s">
        <v>2921</v>
      </c>
    </row>
    <row r="635" spans="2:13">
      <c r="B635" s="251" t="s">
        <v>2896</v>
      </c>
      <c r="C635" s="255" t="s">
        <v>256</v>
      </c>
      <c r="M635" s="251" t="s">
        <v>2921</v>
      </c>
    </row>
    <row r="636" spans="2:13">
      <c r="B636" s="251" t="s">
        <v>2897</v>
      </c>
      <c r="C636" s="255" t="s">
        <v>256</v>
      </c>
      <c r="M636" s="251" t="s">
        <v>2921</v>
      </c>
    </row>
    <row r="637" spans="2:13">
      <c r="B637" s="251" t="s">
        <v>2898</v>
      </c>
      <c r="C637" s="255" t="s">
        <v>256</v>
      </c>
      <c r="M637" s="251" t="s">
        <v>2921</v>
      </c>
    </row>
    <row r="638" spans="2:13">
      <c r="B638" s="251" t="s">
        <v>2899</v>
      </c>
      <c r="C638" s="255" t="s">
        <v>256</v>
      </c>
      <c r="M638" s="251" t="s">
        <v>2921</v>
      </c>
    </row>
    <row r="639" spans="2:13">
      <c r="B639" s="251" t="s">
        <v>2900</v>
      </c>
      <c r="C639" s="255" t="s">
        <v>256</v>
      </c>
      <c r="M639" s="251" t="s">
        <v>2921</v>
      </c>
    </row>
    <row r="640" spans="2:13">
      <c r="B640" s="251" t="s">
        <v>2901</v>
      </c>
      <c r="C640" s="255" t="s">
        <v>256</v>
      </c>
      <c r="M640" s="251" t="s">
        <v>2921</v>
      </c>
    </row>
    <row r="641" spans="2:13">
      <c r="B641" s="251" t="s">
        <v>2902</v>
      </c>
      <c r="C641" s="255" t="s">
        <v>256</v>
      </c>
      <c r="M641" s="251" t="s">
        <v>2921</v>
      </c>
    </row>
    <row r="642" spans="2:13">
      <c r="B642" s="251" t="s">
        <v>2903</v>
      </c>
      <c r="C642" s="255" t="s">
        <v>256</v>
      </c>
      <c r="M642" s="251" t="s">
        <v>2921</v>
      </c>
    </row>
    <row r="643" spans="2:13">
      <c r="B643" s="251" t="s">
        <v>2904</v>
      </c>
      <c r="C643" s="255" t="s">
        <v>256</v>
      </c>
      <c r="M643" s="251" t="s">
        <v>2921</v>
      </c>
    </row>
    <row r="644" spans="2:13">
      <c r="B644" s="251" t="s">
        <v>2905</v>
      </c>
      <c r="C644" s="255" t="s">
        <v>256</v>
      </c>
      <c r="M644" s="251" t="s">
        <v>2921</v>
      </c>
    </row>
    <row r="645" spans="2:13">
      <c r="B645" s="251" t="s">
        <v>2906</v>
      </c>
      <c r="C645" s="255" t="s">
        <v>256</v>
      </c>
      <c r="M645" s="251" t="s">
        <v>2921</v>
      </c>
    </row>
    <row r="646" spans="2:13">
      <c r="B646" s="251" t="s">
        <v>2907</v>
      </c>
      <c r="C646" s="255" t="s">
        <v>256</v>
      </c>
      <c r="M646" s="251" t="s">
        <v>2921</v>
      </c>
    </row>
    <row r="647" spans="2:13">
      <c r="B647" s="251" t="s">
        <v>2908</v>
      </c>
      <c r="C647" s="255" t="s">
        <v>256</v>
      </c>
      <c r="M647" s="251" t="s">
        <v>2921</v>
      </c>
    </row>
    <row r="648" spans="2:13">
      <c r="B648" s="251" t="s">
        <v>2909</v>
      </c>
      <c r="C648" s="255" t="s">
        <v>256</v>
      </c>
      <c r="M648" s="251" t="s">
        <v>2921</v>
      </c>
    </row>
    <row r="649" spans="2:13">
      <c r="B649" s="251" t="s">
        <v>2910</v>
      </c>
      <c r="C649" s="255" t="s">
        <v>256</v>
      </c>
      <c r="M649" s="251" t="s">
        <v>2921</v>
      </c>
    </row>
    <row r="650" spans="2:13">
      <c r="B650" s="251" t="s">
        <v>2911</v>
      </c>
      <c r="C650" s="255" t="s">
        <v>256</v>
      </c>
      <c r="M650" s="251" t="s">
        <v>2921</v>
      </c>
    </row>
    <row r="651" spans="2:13">
      <c r="B651" s="251" t="s">
        <v>2912</v>
      </c>
      <c r="C651" s="255" t="s">
        <v>256</v>
      </c>
      <c r="M651" s="251" t="s">
        <v>2921</v>
      </c>
    </row>
    <row r="652" spans="2:13">
      <c r="B652" s="251" t="s">
        <v>2913</v>
      </c>
      <c r="C652" s="255" t="s">
        <v>256</v>
      </c>
      <c r="M652" s="251" t="s">
        <v>2921</v>
      </c>
    </row>
    <row r="653" spans="2:13">
      <c r="B653" s="251" t="s">
        <v>2914</v>
      </c>
      <c r="C653" s="255" t="s">
        <v>256</v>
      </c>
      <c r="M653" s="251" t="s">
        <v>2921</v>
      </c>
    </row>
    <row r="654" spans="2:13">
      <c r="B654" s="251" t="s">
        <v>2915</v>
      </c>
      <c r="C654" s="255" t="s">
        <v>256</v>
      </c>
      <c r="M654" s="251" t="s">
        <v>2921</v>
      </c>
    </row>
    <row r="655" spans="2:13">
      <c r="B655" s="251" t="s">
        <v>2916</v>
      </c>
      <c r="C655" s="255" t="s">
        <v>256</v>
      </c>
      <c r="M655" s="251" t="s">
        <v>2921</v>
      </c>
    </row>
    <row r="656" spans="2:13">
      <c r="B656" s="251" t="s">
        <v>2917</v>
      </c>
      <c r="C656" s="255" t="s">
        <v>256</v>
      </c>
      <c r="M656" s="251" t="s">
        <v>2921</v>
      </c>
    </row>
    <row r="657" spans="2:13">
      <c r="B657" s="251" t="s">
        <v>2918</v>
      </c>
      <c r="C657" s="255" t="s">
        <v>256</v>
      </c>
      <c r="M657" s="251" t="s">
        <v>2921</v>
      </c>
    </row>
    <row r="658" spans="2:13">
      <c r="B658" s="251" t="s">
        <v>2919</v>
      </c>
      <c r="C658" s="255" t="s">
        <v>256</v>
      </c>
      <c r="M658" s="251" t="s">
        <v>2921</v>
      </c>
    </row>
    <row r="659" spans="2:13">
      <c r="B659" s="251" t="s">
        <v>2920</v>
      </c>
      <c r="C659" s="255" t="s">
        <v>256</v>
      </c>
      <c r="M659" s="251" t="s">
        <v>2921</v>
      </c>
    </row>
    <row r="660" spans="2:13">
      <c r="B660" s="251" t="s">
        <v>2922</v>
      </c>
      <c r="C660" s="255" t="s">
        <v>256</v>
      </c>
      <c r="M660" s="251" t="s">
        <v>2923</v>
      </c>
    </row>
    <row r="661" spans="2:13">
      <c r="B661" s="251" t="s">
        <v>2924</v>
      </c>
      <c r="C661" s="255" t="s">
        <v>256</v>
      </c>
      <c r="M661" s="251" t="s">
        <v>2923</v>
      </c>
    </row>
    <row r="662" spans="2:13">
      <c r="B662" s="251" t="s">
        <v>2925</v>
      </c>
      <c r="C662" s="255" t="s">
        <v>256</v>
      </c>
      <c r="M662" s="251" t="s">
        <v>2923</v>
      </c>
    </row>
    <row r="663" spans="2:13">
      <c r="B663" s="251" t="s">
        <v>2926</v>
      </c>
      <c r="C663" s="255" t="s">
        <v>256</v>
      </c>
      <c r="M663" s="251" t="s">
        <v>2923</v>
      </c>
    </row>
    <row r="664" spans="2:13">
      <c r="B664" s="251" t="s">
        <v>2927</v>
      </c>
      <c r="C664" s="255" t="s">
        <v>256</v>
      </c>
      <c r="M664" s="251" t="s">
        <v>2923</v>
      </c>
    </row>
    <row r="665" spans="2:13">
      <c r="B665" s="251" t="s">
        <v>2928</v>
      </c>
      <c r="C665" s="255" t="s">
        <v>256</v>
      </c>
      <c r="M665" s="251" t="s">
        <v>2923</v>
      </c>
    </row>
    <row r="666" spans="2:13">
      <c r="B666" s="251" t="s">
        <v>2929</v>
      </c>
      <c r="C666" s="255" t="s">
        <v>256</v>
      </c>
      <c r="M666" s="251" t="s">
        <v>2923</v>
      </c>
    </row>
    <row r="667" spans="2:13">
      <c r="B667" s="251" t="s">
        <v>2930</v>
      </c>
      <c r="C667" s="255" t="s">
        <v>256</v>
      </c>
      <c r="M667" s="251" t="s">
        <v>2923</v>
      </c>
    </row>
    <row r="668" spans="2:13">
      <c r="B668" s="251" t="s">
        <v>2931</v>
      </c>
      <c r="C668" s="255" t="s">
        <v>256</v>
      </c>
      <c r="M668" s="251" t="s">
        <v>2923</v>
      </c>
    </row>
    <row r="669" spans="2:13">
      <c r="B669" s="251" t="s">
        <v>2380</v>
      </c>
      <c r="C669" s="255" t="s">
        <v>256</v>
      </c>
      <c r="M669" s="251" t="s">
        <v>2923</v>
      </c>
    </row>
    <row r="670" spans="2:13">
      <c r="B670" s="251" t="s">
        <v>2932</v>
      </c>
      <c r="C670" s="255" t="s">
        <v>256</v>
      </c>
      <c r="M670" s="251" t="s">
        <v>2923</v>
      </c>
    </row>
    <row r="671" spans="2:13">
      <c r="B671" s="251" t="s">
        <v>2933</v>
      </c>
      <c r="C671" s="255" t="s">
        <v>256</v>
      </c>
      <c r="M671" s="251" t="s">
        <v>2923</v>
      </c>
    </row>
    <row r="672" spans="2:13">
      <c r="B672" s="251" t="s">
        <v>2934</v>
      </c>
      <c r="C672" s="255" t="s">
        <v>256</v>
      </c>
      <c r="M672" s="251" t="s">
        <v>2923</v>
      </c>
    </row>
    <row r="673" spans="2:13">
      <c r="B673" s="251" t="s">
        <v>2935</v>
      </c>
      <c r="C673" s="255" t="s">
        <v>256</v>
      </c>
      <c r="M673" s="251" t="s">
        <v>2923</v>
      </c>
    </row>
    <row r="674" spans="2:13">
      <c r="B674" s="251" t="s">
        <v>2936</v>
      </c>
      <c r="C674" s="255" t="s">
        <v>256</v>
      </c>
      <c r="M674" s="251" t="s">
        <v>2923</v>
      </c>
    </row>
    <row r="675" spans="2:13">
      <c r="B675" s="251" t="s">
        <v>2937</v>
      </c>
      <c r="C675" s="255" t="s">
        <v>256</v>
      </c>
      <c r="M675" s="251" t="s">
        <v>2923</v>
      </c>
    </row>
    <row r="676" spans="2:13">
      <c r="B676" s="251" t="s">
        <v>2938</v>
      </c>
      <c r="C676" s="255" t="s">
        <v>256</v>
      </c>
      <c r="M676" s="251" t="s">
        <v>2923</v>
      </c>
    </row>
    <row r="677" spans="2:13">
      <c r="B677" s="251" t="s">
        <v>2939</v>
      </c>
      <c r="C677" s="255" t="s">
        <v>256</v>
      </c>
      <c r="M677" s="251" t="s">
        <v>2923</v>
      </c>
    </row>
    <row r="678" spans="2:13">
      <c r="B678" s="251" t="s">
        <v>2940</v>
      </c>
      <c r="C678" s="255" t="s">
        <v>256</v>
      </c>
      <c r="M678" s="251" t="s">
        <v>2923</v>
      </c>
    </row>
    <row r="679" spans="2:13">
      <c r="B679" s="251" t="s">
        <v>2941</v>
      </c>
      <c r="C679" s="255" t="s">
        <v>256</v>
      </c>
      <c r="M679" s="251" t="s">
        <v>2923</v>
      </c>
    </row>
    <row r="680" spans="2:13">
      <c r="B680" s="251" t="s">
        <v>2942</v>
      </c>
      <c r="C680" s="255" t="s">
        <v>256</v>
      </c>
      <c r="M680" s="251" t="s">
        <v>2923</v>
      </c>
    </row>
    <row r="681" spans="2:13">
      <c r="B681" s="251" t="s">
        <v>2943</v>
      </c>
      <c r="C681" s="255" t="s">
        <v>256</v>
      </c>
      <c r="M681" s="251" t="s">
        <v>2923</v>
      </c>
    </row>
    <row r="682" spans="2:13">
      <c r="B682" s="251" t="s">
        <v>2944</v>
      </c>
      <c r="C682" s="255" t="s">
        <v>256</v>
      </c>
      <c r="M682" s="251" t="s">
        <v>2923</v>
      </c>
    </row>
    <row r="683" spans="2:13">
      <c r="B683" s="251" t="s">
        <v>2945</v>
      </c>
      <c r="C683" s="255" t="s">
        <v>256</v>
      </c>
      <c r="M683" s="251" t="s">
        <v>2923</v>
      </c>
    </row>
    <row r="684" spans="2:13">
      <c r="B684" s="251" t="s">
        <v>2946</v>
      </c>
      <c r="C684" s="255" t="s">
        <v>256</v>
      </c>
      <c r="M684" s="251" t="s">
        <v>2923</v>
      </c>
    </row>
    <row r="685" spans="2:13">
      <c r="B685" s="251" t="s">
        <v>2947</v>
      </c>
      <c r="C685" s="255" t="s">
        <v>256</v>
      </c>
      <c r="M685" s="251" t="s">
        <v>2923</v>
      </c>
    </row>
    <row r="686" spans="2:13">
      <c r="B686" s="251" t="s">
        <v>2948</v>
      </c>
      <c r="C686" s="255" t="s">
        <v>256</v>
      </c>
      <c r="M686" s="251" t="s">
        <v>2923</v>
      </c>
    </row>
    <row r="687" spans="2:13">
      <c r="B687" s="251" t="s">
        <v>2949</v>
      </c>
      <c r="C687" s="255" t="s">
        <v>256</v>
      </c>
      <c r="M687" s="251" t="s">
        <v>2923</v>
      </c>
    </row>
    <row r="688" spans="2:13">
      <c r="B688" s="251" t="s">
        <v>2950</v>
      </c>
      <c r="C688" s="255" t="s">
        <v>256</v>
      </c>
      <c r="M688" s="251" t="s">
        <v>2923</v>
      </c>
    </row>
    <row r="689" spans="2:13">
      <c r="B689" s="251" t="s">
        <v>2951</v>
      </c>
      <c r="C689" s="255" t="s">
        <v>256</v>
      </c>
      <c r="M689" s="251" t="s">
        <v>2923</v>
      </c>
    </row>
    <row r="690" spans="2:13">
      <c r="B690" s="251" t="s">
        <v>2952</v>
      </c>
      <c r="C690" s="255" t="s">
        <v>256</v>
      </c>
      <c r="M690" s="251" t="s">
        <v>2923</v>
      </c>
    </row>
    <row r="691" spans="2:13">
      <c r="B691" s="251" t="s">
        <v>2953</v>
      </c>
      <c r="C691" s="255" t="s">
        <v>256</v>
      </c>
      <c r="M691" s="251" t="s">
        <v>2923</v>
      </c>
    </row>
    <row r="692" spans="2:13">
      <c r="B692" s="251" t="s">
        <v>2954</v>
      </c>
      <c r="C692" s="255" t="s">
        <v>256</v>
      </c>
      <c r="M692" s="251" t="s">
        <v>2923</v>
      </c>
    </row>
    <row r="693" spans="2:13">
      <c r="B693" s="251" t="s">
        <v>2955</v>
      </c>
      <c r="C693" s="255" t="s">
        <v>256</v>
      </c>
      <c r="M693" s="251" t="s">
        <v>2923</v>
      </c>
    </row>
    <row r="694" spans="2:13">
      <c r="B694" s="251" t="s">
        <v>2956</v>
      </c>
      <c r="C694" s="255" t="s">
        <v>256</v>
      </c>
      <c r="M694" s="251" t="s">
        <v>2923</v>
      </c>
    </row>
    <row r="695" spans="2:13">
      <c r="B695" s="251" t="s">
        <v>2957</v>
      </c>
      <c r="C695" s="255" t="s">
        <v>256</v>
      </c>
      <c r="M695" s="251" t="s">
        <v>2923</v>
      </c>
    </row>
    <row r="696" spans="2:13">
      <c r="B696" s="251" t="s">
        <v>2958</v>
      </c>
      <c r="C696" s="255" t="s">
        <v>256</v>
      </c>
      <c r="M696" s="251" t="s">
        <v>2923</v>
      </c>
    </row>
    <row r="697" spans="2:13">
      <c r="B697" s="251" t="s">
        <v>2959</v>
      </c>
      <c r="C697" s="255" t="s">
        <v>256</v>
      </c>
      <c r="M697" s="251" t="s">
        <v>2923</v>
      </c>
    </row>
    <row r="698" spans="2:13">
      <c r="B698" s="251" t="s">
        <v>2960</v>
      </c>
      <c r="C698" s="255" t="s">
        <v>256</v>
      </c>
      <c r="M698" s="251" t="s">
        <v>2923</v>
      </c>
    </row>
    <row r="699" spans="2:13">
      <c r="B699" s="251" t="s">
        <v>2961</v>
      </c>
      <c r="C699" s="255" t="s">
        <v>256</v>
      </c>
      <c r="M699" s="251" t="s">
        <v>2923</v>
      </c>
    </row>
    <row r="700" spans="2:13">
      <c r="B700" s="251" t="s">
        <v>2962</v>
      </c>
      <c r="C700" s="255" t="s">
        <v>256</v>
      </c>
      <c r="M700" s="251" t="s">
        <v>2923</v>
      </c>
    </row>
    <row r="701" spans="2:13">
      <c r="B701" s="266" t="s">
        <v>2963</v>
      </c>
      <c r="C701" s="255" t="s">
        <v>256</v>
      </c>
      <c r="M701" s="251" t="s">
        <v>2923</v>
      </c>
    </row>
    <row r="702" spans="2:13">
      <c r="B702" s="251" t="s">
        <v>2964</v>
      </c>
      <c r="C702" s="255" t="s">
        <v>256</v>
      </c>
      <c r="M702" s="251" t="s">
        <v>2923</v>
      </c>
    </row>
    <row r="703" spans="2:13">
      <c r="B703" s="251" t="s">
        <v>2965</v>
      </c>
      <c r="C703" s="255" t="s">
        <v>256</v>
      </c>
      <c r="M703" s="251" t="s">
        <v>2923</v>
      </c>
    </row>
    <row r="704" spans="2:13">
      <c r="B704" s="251" t="s">
        <v>2966</v>
      </c>
      <c r="C704" s="255" t="s">
        <v>256</v>
      </c>
      <c r="M704" s="251" t="s">
        <v>2923</v>
      </c>
    </row>
    <row r="705" spans="2:13">
      <c r="B705" s="251" t="s">
        <v>2967</v>
      </c>
      <c r="C705" s="255" t="s">
        <v>256</v>
      </c>
      <c r="M705" s="251" t="s">
        <v>2923</v>
      </c>
    </row>
    <row r="706" spans="2:13">
      <c r="B706" s="251" t="s">
        <v>2968</v>
      </c>
      <c r="C706" s="255" t="s">
        <v>256</v>
      </c>
      <c r="M706" s="251" t="s">
        <v>2923</v>
      </c>
    </row>
    <row r="707" spans="2:13">
      <c r="B707" s="251" t="s">
        <v>2969</v>
      </c>
      <c r="C707" s="255" t="s">
        <v>256</v>
      </c>
      <c r="M707" s="251" t="s">
        <v>2923</v>
      </c>
    </row>
    <row r="708" spans="2:13">
      <c r="B708" s="251" t="s">
        <v>2970</v>
      </c>
      <c r="C708" s="255" t="s">
        <v>256</v>
      </c>
      <c r="M708" s="251" t="s">
        <v>2923</v>
      </c>
    </row>
    <row r="709" spans="2:13">
      <c r="B709" s="251" t="s">
        <v>2971</v>
      </c>
      <c r="C709" s="255" t="s">
        <v>256</v>
      </c>
      <c r="M709" s="251" t="s">
        <v>2923</v>
      </c>
    </row>
    <row r="710" spans="2:13">
      <c r="B710" s="251" t="s">
        <v>2972</v>
      </c>
      <c r="C710" s="255" t="s">
        <v>256</v>
      </c>
      <c r="M710" s="251" t="s">
        <v>2923</v>
      </c>
    </row>
    <row r="711" spans="2:13">
      <c r="B711" s="251" t="s">
        <v>2973</v>
      </c>
      <c r="C711" s="255" t="s">
        <v>256</v>
      </c>
      <c r="M711" s="251" t="s">
        <v>2923</v>
      </c>
    </row>
    <row r="712" spans="2:13">
      <c r="B712" s="251" t="s">
        <v>2974</v>
      </c>
      <c r="C712" s="255" t="s">
        <v>256</v>
      </c>
      <c r="M712" s="251" t="s">
        <v>2923</v>
      </c>
    </row>
    <row r="713" spans="2:13">
      <c r="B713" s="251" t="s">
        <v>2975</v>
      </c>
      <c r="C713" s="255" t="s">
        <v>256</v>
      </c>
      <c r="M713" s="251" t="s">
        <v>2923</v>
      </c>
    </row>
    <row r="714" spans="2:13">
      <c r="B714" s="251" t="s">
        <v>2976</v>
      </c>
      <c r="C714" s="255" t="s">
        <v>256</v>
      </c>
      <c r="M714" s="251" t="s">
        <v>2923</v>
      </c>
    </row>
    <row r="715" spans="2:13">
      <c r="B715" s="251" t="s">
        <v>2977</v>
      </c>
      <c r="C715" s="255" t="s">
        <v>256</v>
      </c>
      <c r="M715" s="251" t="s">
        <v>2923</v>
      </c>
    </row>
    <row r="716" spans="2:13">
      <c r="B716" s="251" t="s">
        <v>2978</v>
      </c>
      <c r="C716" s="255" t="s">
        <v>256</v>
      </c>
      <c r="M716" s="251" t="s">
        <v>2923</v>
      </c>
    </row>
    <row r="717" spans="2:13">
      <c r="B717" s="251" t="s">
        <v>2979</v>
      </c>
      <c r="C717" s="255" t="s">
        <v>256</v>
      </c>
      <c r="M717" s="251" t="s">
        <v>2923</v>
      </c>
    </row>
    <row r="718" spans="2:13">
      <c r="B718" s="251" t="s">
        <v>2980</v>
      </c>
      <c r="C718" s="255" t="s">
        <v>256</v>
      </c>
      <c r="M718" s="251" t="s">
        <v>2923</v>
      </c>
    </row>
    <row r="719" spans="2:13">
      <c r="B719" s="251" t="s">
        <v>2981</v>
      </c>
      <c r="C719" s="255" t="s">
        <v>256</v>
      </c>
      <c r="M719" s="251" t="s">
        <v>2923</v>
      </c>
    </row>
    <row r="720" spans="2:13">
      <c r="B720" s="251" t="s">
        <v>2982</v>
      </c>
      <c r="C720" s="255" t="s">
        <v>256</v>
      </c>
      <c r="M720" s="251" t="s">
        <v>2923</v>
      </c>
    </row>
    <row r="721" spans="2:13">
      <c r="B721" s="251" t="s">
        <v>2983</v>
      </c>
      <c r="C721" s="255" t="s">
        <v>256</v>
      </c>
      <c r="M721" s="251" t="s">
        <v>2923</v>
      </c>
    </row>
    <row r="722" spans="2:13">
      <c r="B722" s="251" t="s">
        <v>2984</v>
      </c>
      <c r="C722" s="255" t="s">
        <v>256</v>
      </c>
      <c r="M722" s="251" t="s">
        <v>2923</v>
      </c>
    </row>
    <row r="723" spans="2:13">
      <c r="B723" s="251" t="s">
        <v>2986</v>
      </c>
      <c r="C723" s="255" t="s">
        <v>256</v>
      </c>
      <c r="M723" s="251" t="s">
        <v>2923</v>
      </c>
    </row>
    <row r="724" spans="2:13">
      <c r="B724" s="251" t="s">
        <v>2987</v>
      </c>
      <c r="C724" s="255" t="s">
        <v>256</v>
      </c>
      <c r="M724" s="251" t="s">
        <v>2923</v>
      </c>
    </row>
    <row r="725" spans="2:13">
      <c r="B725" s="251" t="s">
        <v>2988</v>
      </c>
      <c r="C725" s="255" t="s">
        <v>256</v>
      </c>
      <c r="M725" s="251" t="s">
        <v>2923</v>
      </c>
    </row>
    <row r="726" spans="2:13">
      <c r="B726" s="251" t="s">
        <v>2989</v>
      </c>
      <c r="C726" s="255" t="s">
        <v>256</v>
      </c>
      <c r="M726" s="251" t="s">
        <v>2923</v>
      </c>
    </row>
    <row r="727" spans="2:13">
      <c r="B727" s="251" t="s">
        <v>2990</v>
      </c>
      <c r="C727" s="255" t="s">
        <v>256</v>
      </c>
      <c r="M727" s="251" t="s">
        <v>2923</v>
      </c>
    </row>
    <row r="728" spans="2:13">
      <c r="B728" s="251" t="s">
        <v>2991</v>
      </c>
      <c r="C728" s="255" t="s">
        <v>256</v>
      </c>
      <c r="M728" s="251" t="s">
        <v>2923</v>
      </c>
    </row>
    <row r="729" spans="2:13">
      <c r="B729" s="251" t="s">
        <v>2992</v>
      </c>
      <c r="C729" s="255" t="s">
        <v>256</v>
      </c>
      <c r="M729" s="251" t="s">
        <v>2923</v>
      </c>
    </row>
    <row r="730" spans="2:13">
      <c r="B730" s="251" t="s">
        <v>2993</v>
      </c>
      <c r="C730" s="255" t="s">
        <v>256</v>
      </c>
      <c r="M730" s="251" t="s">
        <v>2923</v>
      </c>
    </row>
    <row r="731" spans="2:13">
      <c r="B731" s="251" t="s">
        <v>2994</v>
      </c>
      <c r="C731" s="255" t="s">
        <v>256</v>
      </c>
      <c r="M731" s="251" t="s">
        <v>2923</v>
      </c>
    </row>
    <row r="732" spans="2:13">
      <c r="B732" s="251" t="s">
        <v>2995</v>
      </c>
      <c r="C732" s="255" t="s">
        <v>256</v>
      </c>
      <c r="M732" s="251" t="s">
        <v>2923</v>
      </c>
    </row>
    <row r="733" spans="2:13">
      <c r="B733" s="251" t="s">
        <v>2996</v>
      </c>
      <c r="C733" s="255" t="s">
        <v>256</v>
      </c>
      <c r="M733" s="251" t="s">
        <v>2923</v>
      </c>
    </row>
    <row r="734" spans="2:13">
      <c r="B734" s="251" t="s">
        <v>2997</v>
      </c>
      <c r="C734" s="255" t="s">
        <v>256</v>
      </c>
      <c r="M734" s="251" t="s">
        <v>2923</v>
      </c>
    </row>
    <row r="735" spans="2:13">
      <c r="B735" s="251" t="s">
        <v>2998</v>
      </c>
      <c r="C735" s="255" t="s">
        <v>256</v>
      </c>
      <c r="M735" s="251" t="s">
        <v>2923</v>
      </c>
    </row>
    <row r="736" spans="2:13">
      <c r="B736" s="251" t="s">
        <v>2999</v>
      </c>
      <c r="C736" s="255" t="s">
        <v>256</v>
      </c>
      <c r="M736" s="251" t="s">
        <v>2923</v>
      </c>
    </row>
    <row r="737" spans="2:13">
      <c r="B737" s="251" t="s">
        <v>3000</v>
      </c>
      <c r="C737" s="255" t="s">
        <v>256</v>
      </c>
      <c r="M737" s="251" t="s">
        <v>2923</v>
      </c>
    </row>
    <row r="738" spans="2:13">
      <c r="B738" s="251" t="s">
        <v>3001</v>
      </c>
      <c r="C738" s="255" t="s">
        <v>256</v>
      </c>
      <c r="M738" s="251" t="s">
        <v>2923</v>
      </c>
    </row>
    <row r="739" spans="2:13">
      <c r="B739" s="251" t="s">
        <v>3002</v>
      </c>
      <c r="C739" s="255" t="s">
        <v>256</v>
      </c>
      <c r="M739" s="251" t="s">
        <v>2923</v>
      </c>
    </row>
    <row r="740" spans="2:13">
      <c r="B740" s="251" t="s">
        <v>3003</v>
      </c>
      <c r="C740" s="255" t="s">
        <v>256</v>
      </c>
      <c r="M740" s="251" t="s">
        <v>2923</v>
      </c>
    </row>
    <row r="741" spans="2:13">
      <c r="B741" s="251" t="s">
        <v>3004</v>
      </c>
      <c r="C741" s="255" t="s">
        <v>256</v>
      </c>
      <c r="M741" s="251" t="s">
        <v>2923</v>
      </c>
    </row>
    <row r="742" spans="2:13">
      <c r="B742" s="251" t="s">
        <v>3005</v>
      </c>
      <c r="C742" s="255" t="s">
        <v>256</v>
      </c>
      <c r="M742" s="251" t="s">
        <v>2923</v>
      </c>
    </row>
    <row r="743" spans="2:13">
      <c r="B743" s="251" t="s">
        <v>3006</v>
      </c>
      <c r="C743" s="255" t="s">
        <v>256</v>
      </c>
      <c r="M743" s="251" t="s">
        <v>2923</v>
      </c>
    </row>
    <row r="744" spans="2:13">
      <c r="B744" s="251" t="s">
        <v>3007</v>
      </c>
      <c r="C744" s="255" t="s">
        <v>256</v>
      </c>
      <c r="M744" s="251" t="s">
        <v>2923</v>
      </c>
    </row>
    <row r="745" spans="2:13">
      <c r="B745" s="251" t="s">
        <v>3008</v>
      </c>
      <c r="C745" s="255" t="s">
        <v>256</v>
      </c>
      <c r="M745" s="251" t="s">
        <v>2923</v>
      </c>
    </row>
    <row r="746" spans="2:13">
      <c r="B746" s="251" t="s">
        <v>3009</v>
      </c>
      <c r="C746" s="255" t="s">
        <v>256</v>
      </c>
      <c r="M746" s="251" t="s">
        <v>2923</v>
      </c>
    </row>
    <row r="747" spans="2:13">
      <c r="B747" s="251" t="s">
        <v>3010</v>
      </c>
      <c r="C747" s="255" t="s">
        <v>256</v>
      </c>
      <c r="M747" s="251" t="s">
        <v>2923</v>
      </c>
    </row>
    <row r="748" spans="2:13">
      <c r="B748" s="251" t="s">
        <v>3011</v>
      </c>
      <c r="C748" s="255" t="s">
        <v>256</v>
      </c>
      <c r="M748" s="251" t="s">
        <v>2923</v>
      </c>
    </row>
    <row r="749" spans="2:13">
      <c r="B749" s="251" t="s">
        <v>3012</v>
      </c>
      <c r="C749" s="255" t="s">
        <v>256</v>
      </c>
      <c r="M749" s="251" t="s">
        <v>2923</v>
      </c>
    </row>
    <row r="750" spans="2:13">
      <c r="B750" s="251" t="s">
        <v>3013</v>
      </c>
      <c r="C750" s="255" t="s">
        <v>256</v>
      </c>
      <c r="M750" s="251" t="s">
        <v>2923</v>
      </c>
    </row>
    <row r="751" spans="2:13">
      <c r="B751" s="251" t="s">
        <v>3014</v>
      </c>
      <c r="C751" s="255" t="s">
        <v>256</v>
      </c>
      <c r="M751" s="251" t="s">
        <v>2923</v>
      </c>
    </row>
    <row r="752" spans="2:13">
      <c r="B752" s="251" t="s">
        <v>3015</v>
      </c>
      <c r="C752" s="255" t="s">
        <v>256</v>
      </c>
      <c r="M752" s="251" t="s">
        <v>2923</v>
      </c>
    </row>
    <row r="753" spans="2:13">
      <c r="B753" s="251" t="s">
        <v>3016</v>
      </c>
      <c r="C753" s="255" t="s">
        <v>256</v>
      </c>
      <c r="M753" s="251" t="s">
        <v>2923</v>
      </c>
    </row>
    <row r="754" spans="2:13">
      <c r="B754" s="251" t="s">
        <v>3017</v>
      </c>
      <c r="C754" s="255" t="s">
        <v>256</v>
      </c>
      <c r="M754" s="251" t="s">
        <v>2923</v>
      </c>
    </row>
    <row r="755" spans="2:13">
      <c r="B755" s="251" t="s">
        <v>3018</v>
      </c>
      <c r="C755" s="255" t="s">
        <v>256</v>
      </c>
      <c r="M755" s="251" t="s">
        <v>2923</v>
      </c>
    </row>
    <row r="756" spans="2:13">
      <c r="B756" s="251" t="s">
        <v>3019</v>
      </c>
      <c r="C756" s="255" t="s">
        <v>256</v>
      </c>
      <c r="M756" s="251" t="s">
        <v>2923</v>
      </c>
    </row>
    <row r="757" spans="2:13">
      <c r="B757" s="251" t="s">
        <v>3020</v>
      </c>
      <c r="C757" s="255" t="s">
        <v>256</v>
      </c>
      <c r="M757" s="251" t="s">
        <v>2923</v>
      </c>
    </row>
    <row r="758" spans="2:13">
      <c r="B758" s="251" t="s">
        <v>3021</v>
      </c>
      <c r="C758" s="255" t="s">
        <v>256</v>
      </c>
      <c r="M758" s="251" t="s">
        <v>2923</v>
      </c>
    </row>
    <row r="759" spans="2:13">
      <c r="B759" s="251" t="s">
        <v>3041</v>
      </c>
      <c r="C759" s="255" t="s">
        <v>256</v>
      </c>
    </row>
    <row r="760" spans="2:13">
      <c r="B760" s="251" t="s">
        <v>3044</v>
      </c>
      <c r="C760" s="255" t="s">
        <v>256</v>
      </c>
    </row>
    <row r="761" spans="2:13">
      <c r="B761" s="251" t="s">
        <v>3053</v>
      </c>
      <c r="C761" s="255" t="s">
        <v>256</v>
      </c>
    </row>
    <row r="762" spans="2:13">
      <c r="B762" s="251" t="s">
        <v>3059</v>
      </c>
      <c r="C762" s="255" t="s">
        <v>256</v>
      </c>
    </row>
    <row r="763" spans="2:13">
      <c r="B763" s="251" t="s">
        <v>3060</v>
      </c>
      <c r="C763" s="255" t="s">
        <v>256</v>
      </c>
    </row>
    <row r="764" spans="2:13">
      <c r="B764" s="251" t="s">
        <v>3093</v>
      </c>
      <c r="C764" s="255" t="s">
        <v>256</v>
      </c>
    </row>
    <row r="765" spans="2:13">
      <c r="B765" s="251" t="s">
        <v>3103</v>
      </c>
      <c r="C765" s="255" t="s">
        <v>256</v>
      </c>
    </row>
    <row r="766" spans="2:13">
      <c r="B766" s="251" t="s">
        <v>3112</v>
      </c>
      <c r="C766" s="255" t="s">
        <v>256</v>
      </c>
    </row>
    <row r="767" spans="2:13">
      <c r="B767" s="251" t="s">
        <v>3116</v>
      </c>
      <c r="C767" s="255" t="s">
        <v>256</v>
      </c>
    </row>
    <row r="768" spans="2:13">
      <c r="B768" s="251" t="s">
        <v>3117</v>
      </c>
      <c r="C768" s="255" t="s">
        <v>256</v>
      </c>
    </row>
    <row r="769" spans="2:3">
      <c r="B769" s="251" t="s">
        <v>3120</v>
      </c>
      <c r="C769" s="255" t="s">
        <v>256</v>
      </c>
    </row>
    <row r="770" spans="2:3">
      <c r="B770" s="251" t="s">
        <v>3156</v>
      </c>
      <c r="C770" s="255" t="s">
        <v>256</v>
      </c>
    </row>
    <row r="771" spans="2:3">
      <c r="B771" s="251" t="s">
        <v>3157</v>
      </c>
      <c r="C771" s="255" t="s">
        <v>256</v>
      </c>
    </row>
    <row r="772" spans="2:3">
      <c r="B772" s="251" t="s">
        <v>3158</v>
      </c>
      <c r="C772" s="255" t="s">
        <v>256</v>
      </c>
    </row>
    <row r="773" spans="2:3">
      <c r="B773" s="251" t="s">
        <v>3165</v>
      </c>
    </row>
    <row r="774" spans="2:3">
      <c r="B774" s="251" t="s">
        <v>3177</v>
      </c>
    </row>
    <row r="775" spans="2:3">
      <c r="B775" s="251" t="s">
        <v>3178</v>
      </c>
    </row>
    <row r="776" spans="2:3">
      <c r="B776" s="251" t="s">
        <v>3179</v>
      </c>
    </row>
    <row r="777" spans="2:3">
      <c r="B777" s="251" t="s">
        <v>3180</v>
      </c>
    </row>
    <row r="778" spans="2:3">
      <c r="B778" s="251" t="s">
        <v>3181</v>
      </c>
    </row>
    <row r="779" spans="2:3">
      <c r="B779" s="251" t="s">
        <v>3182</v>
      </c>
    </row>
    <row r="780" spans="2:3">
      <c r="B780" s="251" t="s">
        <v>3183</v>
      </c>
    </row>
    <row r="781" spans="2:3">
      <c r="B781" s="251" t="s">
        <v>3210</v>
      </c>
    </row>
    <row r="782" spans="2:3">
      <c r="B782" s="251" t="s">
        <v>3226</v>
      </c>
    </row>
    <row r="783" spans="2:3">
      <c r="B783" s="251" t="s">
        <v>3252</v>
      </c>
    </row>
    <row r="784" spans="2:3">
      <c r="B784" s="251" t="s">
        <v>3253</v>
      </c>
    </row>
    <row r="785" spans="2:2">
      <c r="B785" s="251" t="s">
        <v>3254</v>
      </c>
    </row>
    <row r="786" spans="2:2">
      <c r="B786" s="251" t="s">
        <v>3260</v>
      </c>
    </row>
    <row r="787" spans="2:2">
      <c r="B787" s="251" t="s">
        <v>3261</v>
      </c>
    </row>
    <row r="788" spans="2:2">
      <c r="B788" s="251" t="s">
        <v>3262</v>
      </c>
    </row>
    <row r="789" spans="2:2">
      <c r="B789" s="251" t="s">
        <v>3263</v>
      </c>
    </row>
    <row r="790" spans="2:2">
      <c r="B790" s="251" t="s">
        <v>3264</v>
      </c>
    </row>
    <row r="791" spans="2:2">
      <c r="B791" s="251" t="s">
        <v>3265</v>
      </c>
    </row>
    <row r="792" spans="2:2">
      <c r="B792" s="251" t="s">
        <v>3266</v>
      </c>
    </row>
    <row r="793" spans="2:2">
      <c r="B793" s="251" t="s">
        <v>3267</v>
      </c>
    </row>
    <row r="794" spans="2:2">
      <c r="B794" s="251" t="s">
        <v>3268</v>
      </c>
    </row>
    <row r="795" spans="2:2">
      <c r="B795" s="251" t="s">
        <v>3269</v>
      </c>
    </row>
    <row r="796" spans="2:2">
      <c r="B796" s="251" t="s">
        <v>3270</v>
      </c>
    </row>
    <row r="797" spans="2:2">
      <c r="B797" s="251" t="s">
        <v>3271</v>
      </c>
    </row>
    <row r="798" spans="2:2">
      <c r="B798" s="251" t="s">
        <v>3272</v>
      </c>
    </row>
    <row r="799" spans="2:2">
      <c r="B799" s="251" t="s">
        <v>3273</v>
      </c>
    </row>
    <row r="800" spans="2:2">
      <c r="B800" s="251" t="s">
        <v>3274</v>
      </c>
    </row>
    <row r="801" spans="2:2">
      <c r="B801" s="251" t="s">
        <v>3275</v>
      </c>
    </row>
    <row r="802" spans="2:2">
      <c r="B802" s="251" t="s">
        <v>3276</v>
      </c>
    </row>
    <row r="803" spans="2:2">
      <c r="B803" s="251" t="s">
        <v>3277</v>
      </c>
    </row>
    <row r="804" spans="2:2">
      <c r="B804" s="251" t="s">
        <v>3278</v>
      </c>
    </row>
    <row r="805" spans="2:2">
      <c r="B805" s="251" t="s">
        <v>3279</v>
      </c>
    </row>
    <row r="806" spans="2:2">
      <c r="B806" s="251" t="s">
        <v>3280</v>
      </c>
    </row>
    <row r="807" spans="2:2">
      <c r="B807" s="251" t="s">
        <v>3281</v>
      </c>
    </row>
    <row r="808" spans="2:2">
      <c r="B808" s="251" t="s">
        <v>3282</v>
      </c>
    </row>
    <row r="809" spans="2:2">
      <c r="B809" s="251" t="s">
        <v>3283</v>
      </c>
    </row>
    <row r="810" spans="2:2">
      <c r="B810" s="251" t="s">
        <v>3284</v>
      </c>
    </row>
    <row r="811" spans="2:2">
      <c r="B811" s="251" t="s">
        <v>3285</v>
      </c>
    </row>
    <row r="812" spans="2:2">
      <c r="B812" s="251" t="s">
        <v>3286</v>
      </c>
    </row>
    <row r="813" spans="2:2">
      <c r="B813" s="251" t="s">
        <v>3287</v>
      </c>
    </row>
    <row r="814" spans="2:2">
      <c r="B814" s="251" t="s">
        <v>3288</v>
      </c>
    </row>
    <row r="815" spans="2:2">
      <c r="B815" s="251" t="s">
        <v>3290</v>
      </c>
    </row>
    <row r="816" spans="2:2">
      <c r="B816" s="251" t="s">
        <v>3291</v>
      </c>
    </row>
    <row r="817" spans="2:2">
      <c r="B817" s="251" t="s">
        <v>3292</v>
      </c>
    </row>
    <row r="818" spans="2:2">
      <c r="B818" s="251" t="s">
        <v>3293</v>
      </c>
    </row>
    <row r="819" spans="2:2">
      <c r="B819" s="251" t="s">
        <v>3294</v>
      </c>
    </row>
    <row r="820" spans="2:2">
      <c r="B820" s="251" t="s">
        <v>3295</v>
      </c>
    </row>
    <row r="821" spans="2:2">
      <c r="B821" s="251" t="s">
        <v>3296</v>
      </c>
    </row>
    <row r="822" spans="2:2">
      <c r="B822" s="251" t="s">
        <v>3297</v>
      </c>
    </row>
    <row r="823" spans="2:2">
      <c r="B823" s="251" t="s">
        <v>3298</v>
      </c>
    </row>
    <row r="824" spans="2:2">
      <c r="B824" s="251" t="s">
        <v>3299</v>
      </c>
    </row>
    <row r="825" spans="2:2">
      <c r="B825" s="251" t="s">
        <v>3300</v>
      </c>
    </row>
    <row r="826" spans="2:2">
      <c r="B826" s="251" t="s">
        <v>3301</v>
      </c>
    </row>
    <row r="827" spans="2:2">
      <c r="B827" s="251" t="s">
        <v>3302</v>
      </c>
    </row>
    <row r="828" spans="2:2">
      <c r="B828" s="251" t="s">
        <v>3303</v>
      </c>
    </row>
    <row r="829" spans="2:2">
      <c r="B829" s="251" t="s">
        <v>3304</v>
      </c>
    </row>
    <row r="830" spans="2:2">
      <c r="B830" s="251" t="s">
        <v>3305</v>
      </c>
    </row>
    <row r="831" spans="2:2">
      <c r="B831" s="251" t="s">
        <v>3306</v>
      </c>
    </row>
    <row r="832" spans="2:2">
      <c r="B832" s="251" t="s">
        <v>3307</v>
      </c>
    </row>
    <row r="833" spans="2:2">
      <c r="B833" s="251" t="s">
        <v>3308</v>
      </c>
    </row>
    <row r="834" spans="2:2">
      <c r="B834" s="251" t="s">
        <v>3309</v>
      </c>
    </row>
    <row r="835" spans="2:2">
      <c r="B835" s="251" t="s">
        <v>3310</v>
      </c>
    </row>
    <row r="836" spans="2:2">
      <c r="B836" s="251" t="s">
        <v>3311</v>
      </c>
    </row>
    <row r="837" spans="2:2">
      <c r="B837" s="251" t="s">
        <v>3312</v>
      </c>
    </row>
    <row r="838" spans="2:2">
      <c r="B838" s="251" t="s">
        <v>3313</v>
      </c>
    </row>
    <row r="839" spans="2:2">
      <c r="B839" s="251" t="s">
        <v>3314</v>
      </c>
    </row>
    <row r="840" spans="2:2">
      <c r="B840" s="251" t="s">
        <v>3315</v>
      </c>
    </row>
    <row r="841" spans="2:2">
      <c r="B841" s="251" t="s">
        <v>3316</v>
      </c>
    </row>
    <row r="842" spans="2:2">
      <c r="B842" s="251" t="s">
        <v>3317</v>
      </c>
    </row>
    <row r="843" spans="2:2">
      <c r="B843" s="251" t="s">
        <v>3318</v>
      </c>
    </row>
    <row r="844" spans="2:2">
      <c r="B844" s="251" t="s">
        <v>3319</v>
      </c>
    </row>
    <row r="845" spans="2:2">
      <c r="B845" s="251" t="s">
        <v>3320</v>
      </c>
    </row>
    <row r="846" spans="2:2">
      <c r="B846" s="251" t="s">
        <v>3321</v>
      </c>
    </row>
    <row r="847" spans="2:2">
      <c r="B847" s="251" t="s">
        <v>3322</v>
      </c>
    </row>
    <row r="848" spans="2:2">
      <c r="B848" s="251" t="s">
        <v>3323</v>
      </c>
    </row>
    <row r="849" spans="2:2">
      <c r="B849" s="251" t="s">
        <v>3324</v>
      </c>
    </row>
    <row r="850" spans="2:2">
      <c r="B850" s="251" t="s">
        <v>3325</v>
      </c>
    </row>
    <row r="851" spans="2:2">
      <c r="B851" s="251" t="s">
        <v>3326</v>
      </c>
    </row>
    <row r="852" spans="2:2">
      <c r="B852" s="251" t="s">
        <v>3327</v>
      </c>
    </row>
    <row r="853" spans="2:2">
      <c r="B853" s="251" t="s">
        <v>3328</v>
      </c>
    </row>
    <row r="854" spans="2:2">
      <c r="B854" s="251" t="s">
        <v>3329</v>
      </c>
    </row>
    <row r="855" spans="2:2">
      <c r="B855" s="251" t="s">
        <v>3330</v>
      </c>
    </row>
    <row r="856" spans="2:2">
      <c r="B856" s="251" t="s">
        <v>3331</v>
      </c>
    </row>
    <row r="857" spans="2:2">
      <c r="B857" s="251" t="s">
        <v>3332</v>
      </c>
    </row>
    <row r="858" spans="2:2">
      <c r="B858" s="251" t="s">
        <v>3333</v>
      </c>
    </row>
    <row r="859" spans="2:2">
      <c r="B859" s="251" t="s">
        <v>3334</v>
      </c>
    </row>
    <row r="860" spans="2:2">
      <c r="B860" s="251" t="s">
        <v>3335</v>
      </c>
    </row>
    <row r="861" spans="2:2">
      <c r="B861" s="251" t="s">
        <v>3336</v>
      </c>
    </row>
    <row r="862" spans="2:2">
      <c r="B862" s="251" t="s">
        <v>3337</v>
      </c>
    </row>
    <row r="863" spans="2:2">
      <c r="B863" s="251" t="s">
        <v>3338</v>
      </c>
    </row>
    <row r="864" spans="2:2">
      <c r="B864" s="251" t="s">
        <v>3339</v>
      </c>
    </row>
    <row r="865" spans="2:2">
      <c r="B865" s="251" t="s">
        <v>3340</v>
      </c>
    </row>
    <row r="866" spans="2:2">
      <c r="B866" s="251" t="s">
        <v>3341</v>
      </c>
    </row>
    <row r="867" spans="2:2">
      <c r="B867" s="251" t="s">
        <v>3342</v>
      </c>
    </row>
    <row r="868" spans="2:2">
      <c r="B868" s="251" t="s">
        <v>3343</v>
      </c>
    </row>
    <row r="869" spans="2:2">
      <c r="B869" s="251" t="s">
        <v>3344</v>
      </c>
    </row>
    <row r="870" spans="2:2">
      <c r="B870" s="251" t="s">
        <v>3345</v>
      </c>
    </row>
    <row r="871" spans="2:2">
      <c r="B871" s="251" t="s">
        <v>3346</v>
      </c>
    </row>
    <row r="872" spans="2:2">
      <c r="B872" s="251" t="s">
        <v>3347</v>
      </c>
    </row>
    <row r="873" spans="2:2">
      <c r="B873" s="251" t="s">
        <v>3348</v>
      </c>
    </row>
    <row r="874" spans="2:2">
      <c r="B874" s="251" t="s">
        <v>3349</v>
      </c>
    </row>
    <row r="875" spans="2:2">
      <c r="B875" s="251" t="s">
        <v>3350</v>
      </c>
    </row>
    <row r="876" spans="2:2">
      <c r="B876" s="251" t="s">
        <v>3351</v>
      </c>
    </row>
    <row r="877" spans="2:2">
      <c r="B877" s="251" t="s">
        <v>3352</v>
      </c>
    </row>
    <row r="878" spans="2:2">
      <c r="B878" s="251" t="s">
        <v>3353</v>
      </c>
    </row>
    <row r="879" spans="2:2">
      <c r="B879" s="251" t="s">
        <v>3354</v>
      </c>
    </row>
    <row r="880" spans="2:2">
      <c r="B880" s="251" t="s">
        <v>3355</v>
      </c>
    </row>
    <row r="881" spans="2:2">
      <c r="B881" s="251" t="s">
        <v>3356</v>
      </c>
    </row>
    <row r="882" spans="2:2">
      <c r="B882" s="251" t="s">
        <v>3357</v>
      </c>
    </row>
    <row r="883" spans="2:2">
      <c r="B883" s="251" t="s">
        <v>3358</v>
      </c>
    </row>
    <row r="884" spans="2:2">
      <c r="B884" s="251" t="s">
        <v>3359</v>
      </c>
    </row>
    <row r="885" spans="2:2">
      <c r="B885" s="251" t="s">
        <v>3360</v>
      </c>
    </row>
    <row r="886" spans="2:2">
      <c r="B886" s="251" t="s">
        <v>3362</v>
      </c>
    </row>
    <row r="887" spans="2:2">
      <c r="B887" s="251" t="s">
        <v>3363</v>
      </c>
    </row>
    <row r="888" spans="2:2">
      <c r="B888" s="251" t="s">
        <v>3364</v>
      </c>
    </row>
    <row r="889" spans="2:2">
      <c r="B889" s="251" t="s">
        <v>2044</v>
      </c>
    </row>
    <row r="890" spans="2:2">
      <c r="B890" s="251" t="s">
        <v>3365</v>
      </c>
    </row>
    <row r="891" spans="2:2">
      <c r="B891" s="251" t="s">
        <v>3366</v>
      </c>
    </row>
    <row r="892" spans="2:2">
      <c r="B892" s="251" t="s">
        <v>3367</v>
      </c>
    </row>
    <row r="893" spans="2:2">
      <c r="B893" s="251" t="s">
        <v>3368</v>
      </c>
    </row>
    <row r="894" spans="2:2">
      <c r="B894" s="251" t="s">
        <v>3369</v>
      </c>
    </row>
    <row r="895" spans="2:2">
      <c r="B895" s="251" t="s">
        <v>3370</v>
      </c>
    </row>
    <row r="896" spans="2:2">
      <c r="B896" s="251" t="s">
        <v>3371</v>
      </c>
    </row>
    <row r="897" spans="2:2">
      <c r="B897" s="251" t="s">
        <v>3372</v>
      </c>
    </row>
    <row r="898" spans="2:2">
      <c r="B898" s="251" t="s">
        <v>3373</v>
      </c>
    </row>
    <row r="899" spans="2:2">
      <c r="B899" s="251" t="s">
        <v>3374</v>
      </c>
    </row>
    <row r="900" spans="2:2">
      <c r="B900" s="251" t="s">
        <v>3375</v>
      </c>
    </row>
    <row r="901" spans="2:2">
      <c r="B901" s="251" t="s">
        <v>3376</v>
      </c>
    </row>
    <row r="902" spans="2:2">
      <c r="B902" s="251" t="s">
        <v>3377</v>
      </c>
    </row>
    <row r="903" spans="2:2">
      <c r="B903" s="251" t="s">
        <v>3378</v>
      </c>
    </row>
    <row r="904" spans="2:2">
      <c r="B904" s="251" t="s">
        <v>3379</v>
      </c>
    </row>
    <row r="905" spans="2:2">
      <c r="B905" s="251" t="s">
        <v>3380</v>
      </c>
    </row>
    <row r="906" spans="2:2">
      <c r="B906" s="251" t="s">
        <v>3381</v>
      </c>
    </row>
    <row r="907" spans="2:2">
      <c r="B907" s="251" t="s">
        <v>3382</v>
      </c>
    </row>
    <row r="908" spans="2:2">
      <c r="B908" s="251" t="s">
        <v>3383</v>
      </c>
    </row>
    <row r="909" spans="2:2">
      <c r="B909" s="251" t="s">
        <v>3384</v>
      </c>
    </row>
    <row r="910" spans="2:2">
      <c r="B910" s="251" t="s">
        <v>3385</v>
      </c>
    </row>
    <row r="911" spans="2:2">
      <c r="B911" s="251" t="s">
        <v>3386</v>
      </c>
    </row>
    <row r="912" spans="2:2">
      <c r="B912" s="251" t="s">
        <v>3387</v>
      </c>
    </row>
    <row r="913" spans="2:2">
      <c r="B913" s="251" t="s">
        <v>3388</v>
      </c>
    </row>
    <row r="914" spans="2:2">
      <c r="B914" s="251" t="s">
        <v>3389</v>
      </c>
    </row>
    <row r="915" spans="2:2">
      <c r="B915" s="251" t="s">
        <v>3390</v>
      </c>
    </row>
    <row r="916" spans="2:2">
      <c r="B916" s="251" t="s">
        <v>3391</v>
      </c>
    </row>
    <row r="917" spans="2:2">
      <c r="B917" s="251" t="s">
        <v>3392</v>
      </c>
    </row>
    <row r="918" spans="2:2">
      <c r="B918" s="251" t="s">
        <v>3393</v>
      </c>
    </row>
    <row r="919" spans="2:2">
      <c r="B919" s="251" t="s">
        <v>3394</v>
      </c>
    </row>
    <row r="920" spans="2:2">
      <c r="B920" s="251" t="s">
        <v>3395</v>
      </c>
    </row>
    <row r="921" spans="2:2">
      <c r="B921" s="251" t="s">
        <v>3396</v>
      </c>
    </row>
    <row r="922" spans="2:2">
      <c r="B922" s="251" t="s">
        <v>3397</v>
      </c>
    </row>
    <row r="923" spans="2:2">
      <c r="B923" s="251" t="s">
        <v>3398</v>
      </c>
    </row>
    <row r="924" spans="2:2">
      <c r="B924" s="251" t="s">
        <v>3399</v>
      </c>
    </row>
    <row r="925" spans="2:2">
      <c r="B925" s="251" t="s">
        <v>3400</v>
      </c>
    </row>
    <row r="926" spans="2:2">
      <c r="B926" s="251" t="s">
        <v>3401</v>
      </c>
    </row>
    <row r="927" spans="2:2">
      <c r="B927" s="251" t="s">
        <v>3402</v>
      </c>
    </row>
    <row r="928" spans="2:2">
      <c r="B928" s="251" t="s">
        <v>3403</v>
      </c>
    </row>
    <row r="929" spans="2:2">
      <c r="B929" s="251" t="s">
        <v>3404</v>
      </c>
    </row>
    <row r="930" spans="2:2">
      <c r="B930" s="251" t="s">
        <v>3405</v>
      </c>
    </row>
    <row r="931" spans="2:2">
      <c r="B931" s="251" t="s">
        <v>3406</v>
      </c>
    </row>
    <row r="932" spans="2:2">
      <c r="B932" s="251" t="s">
        <v>3407</v>
      </c>
    </row>
    <row r="933" spans="2:2">
      <c r="B933" s="251" t="s">
        <v>3408</v>
      </c>
    </row>
    <row r="934" spans="2:2">
      <c r="B934" s="251" t="s">
        <v>3409</v>
      </c>
    </row>
    <row r="935" spans="2:2">
      <c r="B935" s="251" t="s">
        <v>3410</v>
      </c>
    </row>
    <row r="936" spans="2:2">
      <c r="B936" s="251" t="s">
        <v>3411</v>
      </c>
    </row>
    <row r="937" spans="2:2">
      <c r="B937" s="251" t="s">
        <v>3412</v>
      </c>
    </row>
    <row r="938" spans="2:2">
      <c r="B938" s="251" t="s">
        <v>3413</v>
      </c>
    </row>
    <row r="939" spans="2:2">
      <c r="B939" s="251" t="s">
        <v>3414</v>
      </c>
    </row>
    <row r="940" spans="2:2">
      <c r="B940" s="251" t="s">
        <v>3415</v>
      </c>
    </row>
    <row r="941" spans="2:2">
      <c r="B941" s="251" t="s">
        <v>3416</v>
      </c>
    </row>
    <row r="942" spans="2:2">
      <c r="B942" s="251" t="s">
        <v>3417</v>
      </c>
    </row>
    <row r="943" spans="2:2">
      <c r="B943" s="251" t="s">
        <v>3418</v>
      </c>
    </row>
    <row r="944" spans="2:2">
      <c r="B944" s="251" t="s">
        <v>3419</v>
      </c>
    </row>
    <row r="945" spans="2:2">
      <c r="B945" s="251" t="s">
        <v>3420</v>
      </c>
    </row>
    <row r="946" spans="2:2">
      <c r="B946" s="251" t="s">
        <v>3421</v>
      </c>
    </row>
    <row r="947" spans="2:2">
      <c r="B947" s="251" t="s">
        <v>3422</v>
      </c>
    </row>
    <row r="948" spans="2:2">
      <c r="B948" s="251" t="s">
        <v>3423</v>
      </c>
    </row>
    <row r="949" spans="2:2">
      <c r="B949" s="251" t="s">
        <v>3424</v>
      </c>
    </row>
    <row r="950" spans="2:2">
      <c r="B950" s="251" t="s">
        <v>3425</v>
      </c>
    </row>
    <row r="951" spans="2:2">
      <c r="B951" s="251" t="s">
        <v>3426</v>
      </c>
    </row>
    <row r="952" spans="2:2">
      <c r="B952" s="251" t="s">
        <v>3427</v>
      </c>
    </row>
    <row r="953" spans="2:2">
      <c r="B953" s="251" t="s">
        <v>3428</v>
      </c>
    </row>
    <row r="954" spans="2:2">
      <c r="B954" s="251" t="s">
        <v>3429</v>
      </c>
    </row>
    <row r="955" spans="2:2">
      <c r="B955" s="251" t="s">
        <v>3430</v>
      </c>
    </row>
    <row r="956" spans="2:2">
      <c r="B956" s="251" t="s">
        <v>3431</v>
      </c>
    </row>
    <row r="957" spans="2:2">
      <c r="B957" s="251" t="s">
        <v>3432</v>
      </c>
    </row>
    <row r="958" spans="2:2">
      <c r="B958" s="251" t="s">
        <v>3433</v>
      </c>
    </row>
    <row r="959" spans="2:2">
      <c r="B959" s="251" t="s">
        <v>3434</v>
      </c>
    </row>
    <row r="960" spans="2:2">
      <c r="B960" s="251" t="s">
        <v>3435</v>
      </c>
    </row>
    <row r="961" spans="2:2">
      <c r="B961" s="251" t="s">
        <v>3436</v>
      </c>
    </row>
    <row r="962" spans="2:2">
      <c r="B962" s="251" t="s">
        <v>3437</v>
      </c>
    </row>
    <row r="963" spans="2:2">
      <c r="B963" s="251" t="s">
        <v>3438</v>
      </c>
    </row>
    <row r="964" spans="2:2">
      <c r="B964" s="251" t="s">
        <v>3439</v>
      </c>
    </row>
    <row r="965" spans="2:2">
      <c r="B965" s="251" t="s">
        <v>3440</v>
      </c>
    </row>
    <row r="966" spans="2:2">
      <c r="B966" s="251" t="s">
        <v>3441</v>
      </c>
    </row>
    <row r="967" spans="2:2">
      <c r="B967" s="251" t="s">
        <v>3442</v>
      </c>
    </row>
    <row r="968" spans="2:2">
      <c r="B968" s="251" t="s">
        <v>3443</v>
      </c>
    </row>
    <row r="969" spans="2:2">
      <c r="B969" s="251" t="s">
        <v>3444</v>
      </c>
    </row>
    <row r="970" spans="2:2">
      <c r="B970" s="251" t="s">
        <v>3445</v>
      </c>
    </row>
    <row r="971" spans="2:2">
      <c r="B971" s="251" t="s">
        <v>3446</v>
      </c>
    </row>
    <row r="972" spans="2:2">
      <c r="B972" s="251" t="s">
        <v>3447</v>
      </c>
    </row>
    <row r="973" spans="2:2">
      <c r="B973" s="251" t="s">
        <v>3448</v>
      </c>
    </row>
    <row r="974" spans="2:2">
      <c r="B974" s="251" t="s">
        <v>3449</v>
      </c>
    </row>
    <row r="975" spans="2:2">
      <c r="B975" s="251" t="s">
        <v>3450</v>
      </c>
    </row>
    <row r="976" spans="2:2">
      <c r="B976" s="251" t="s">
        <v>3451</v>
      </c>
    </row>
    <row r="977" spans="2:2">
      <c r="B977" s="251" t="s">
        <v>3452</v>
      </c>
    </row>
    <row r="978" spans="2:2">
      <c r="B978" s="251" t="s">
        <v>3453</v>
      </c>
    </row>
    <row r="979" spans="2:2">
      <c r="B979" s="251" t="s">
        <v>3454</v>
      </c>
    </row>
    <row r="980" spans="2:2">
      <c r="B980" s="251" t="s">
        <v>3455</v>
      </c>
    </row>
    <row r="981" spans="2:2">
      <c r="B981" s="251" t="s">
        <v>3456</v>
      </c>
    </row>
    <row r="982" spans="2:2">
      <c r="B982" s="251" t="s">
        <v>3457</v>
      </c>
    </row>
    <row r="983" spans="2:2">
      <c r="B983" s="251" t="s">
        <v>3458</v>
      </c>
    </row>
    <row r="984" spans="2:2">
      <c r="B984" s="251" t="s">
        <v>3459</v>
      </c>
    </row>
    <row r="985" spans="2:2">
      <c r="B985" s="251" t="s">
        <v>3460</v>
      </c>
    </row>
    <row r="986" spans="2:2">
      <c r="B986" s="251" t="s">
        <v>3461</v>
      </c>
    </row>
    <row r="987" spans="2:2">
      <c r="B987" s="251" t="s">
        <v>3462</v>
      </c>
    </row>
    <row r="988" spans="2:2">
      <c r="B988" s="251" t="s">
        <v>3463</v>
      </c>
    </row>
    <row r="989" spans="2:2">
      <c r="B989" s="251" t="s">
        <v>3464</v>
      </c>
    </row>
    <row r="990" spans="2:2">
      <c r="B990" s="251" t="s">
        <v>3465</v>
      </c>
    </row>
    <row r="991" spans="2:2">
      <c r="B991" s="251" t="s">
        <v>3466</v>
      </c>
    </row>
    <row r="992" spans="2:2">
      <c r="B992" s="251" t="s">
        <v>3467</v>
      </c>
    </row>
    <row r="993" spans="2:28">
      <c r="B993" s="251" t="s">
        <v>3468</v>
      </c>
    </row>
    <row r="994" spans="2:28">
      <c r="B994" s="251" t="s">
        <v>3469</v>
      </c>
    </row>
    <row r="995" spans="2:28">
      <c r="B995" s="251" t="s">
        <v>3470</v>
      </c>
    </row>
    <row r="996" spans="2:28">
      <c r="B996" s="251" t="s">
        <v>3471</v>
      </c>
    </row>
    <row r="997" spans="2:28">
      <c r="B997" s="251" t="s">
        <v>3472</v>
      </c>
    </row>
    <row r="998" spans="2:28">
      <c r="B998" s="251" t="s">
        <v>3473</v>
      </c>
    </row>
    <row r="999" spans="2:28">
      <c r="B999" s="251" t="s">
        <v>3474</v>
      </c>
    </row>
    <row r="1000" spans="2:28">
      <c r="B1000" s="251" t="s">
        <v>3475</v>
      </c>
    </row>
    <row r="1001" spans="2:28">
      <c r="B1001" s="251" t="s">
        <v>3476</v>
      </c>
    </row>
    <row r="1002" spans="2:28">
      <c r="B1002" s="251" t="s">
        <v>3477</v>
      </c>
    </row>
    <row r="1003" spans="2:28">
      <c r="B1003" s="251" t="s">
        <v>3478</v>
      </c>
    </row>
    <row r="1004" spans="2:28">
      <c r="B1004" s="251" t="s">
        <v>3479</v>
      </c>
      <c r="AB1004" s="267"/>
    </row>
    <row r="1005" spans="2:28">
      <c r="B1005" s="251" t="s">
        <v>3480</v>
      </c>
    </row>
    <row r="1006" spans="2:28">
      <c r="B1006" s="251" t="s">
        <v>3481</v>
      </c>
    </row>
    <row r="1007" spans="2:28">
      <c r="B1007" s="251" t="s">
        <v>3482</v>
      </c>
    </row>
    <row r="1008" spans="2:28">
      <c r="B1008" s="251" t="s">
        <v>3483</v>
      </c>
    </row>
    <row r="1009" spans="2:2">
      <c r="B1009" s="251" t="s">
        <v>3484</v>
      </c>
    </row>
    <row r="1010" spans="2:2">
      <c r="B1010" s="251" t="s">
        <v>3485</v>
      </c>
    </row>
    <row r="1011" spans="2:2">
      <c r="B1011" s="251" t="s">
        <v>3486</v>
      </c>
    </row>
    <row r="1012" spans="2:2">
      <c r="B1012" s="251" t="s">
        <v>3487</v>
      </c>
    </row>
    <row r="1013" spans="2:2">
      <c r="B1013" s="251" t="s">
        <v>3488</v>
      </c>
    </row>
    <row r="1014" spans="2:2">
      <c r="B1014" s="251" t="s">
        <v>3489</v>
      </c>
    </row>
    <row r="1015" spans="2:2">
      <c r="B1015" s="251" t="s">
        <v>3490</v>
      </c>
    </row>
    <row r="1016" spans="2:2">
      <c r="B1016" s="251" t="s">
        <v>3491</v>
      </c>
    </row>
    <row r="1017" spans="2:2">
      <c r="B1017" s="251" t="s">
        <v>3492</v>
      </c>
    </row>
    <row r="1018" spans="2:2">
      <c r="B1018" s="251" t="s">
        <v>3493</v>
      </c>
    </row>
    <row r="1019" spans="2:2">
      <c r="B1019" s="251" t="s">
        <v>3494</v>
      </c>
    </row>
    <row r="1020" spans="2:2">
      <c r="B1020" s="251" t="s">
        <v>3495</v>
      </c>
    </row>
    <row r="1021" spans="2:2">
      <c r="B1021" s="251" t="s">
        <v>3496</v>
      </c>
    </row>
    <row r="1022" spans="2:2">
      <c r="B1022" s="251" t="s">
        <v>3497</v>
      </c>
    </row>
    <row r="1023" spans="2:2">
      <c r="B1023" s="251" t="s">
        <v>3498</v>
      </c>
    </row>
    <row r="1024" spans="2:2">
      <c r="B1024" s="251" t="s">
        <v>3499</v>
      </c>
    </row>
    <row r="1025" spans="2:2">
      <c r="B1025" s="251" t="s">
        <v>3500</v>
      </c>
    </row>
    <row r="1026" spans="2:2">
      <c r="B1026" s="251" t="s">
        <v>3501</v>
      </c>
    </row>
    <row r="1027" spans="2:2">
      <c r="B1027" s="251" t="s">
        <v>3502</v>
      </c>
    </row>
    <row r="1028" spans="2:2">
      <c r="B1028" s="251" t="s">
        <v>2464</v>
      </c>
    </row>
    <row r="1029" spans="2:2">
      <c r="B1029" s="251" t="s">
        <v>3503</v>
      </c>
    </row>
    <row r="1030" spans="2:2">
      <c r="B1030" s="251" t="s">
        <v>3504</v>
      </c>
    </row>
    <row r="1031" spans="2:2">
      <c r="B1031" s="251" t="s">
        <v>3505</v>
      </c>
    </row>
    <row r="1032" spans="2:2">
      <c r="B1032" s="251" t="s">
        <v>3506</v>
      </c>
    </row>
    <row r="1033" spans="2:2">
      <c r="B1033" s="251" t="s">
        <v>3015</v>
      </c>
    </row>
    <row r="1034" spans="2:2">
      <c r="B1034" s="251" t="s">
        <v>3507</v>
      </c>
    </row>
    <row r="1035" spans="2:2">
      <c r="B1035" s="251" t="s">
        <v>3508</v>
      </c>
    </row>
    <row r="1036" spans="2:2">
      <c r="B1036" s="251" t="s">
        <v>3509</v>
      </c>
    </row>
    <row r="1037" spans="2:2">
      <c r="B1037" s="251" t="s">
        <v>3510</v>
      </c>
    </row>
    <row r="1038" spans="2:2">
      <c r="B1038" s="251" t="s">
        <v>3511</v>
      </c>
    </row>
    <row r="1039" spans="2:2">
      <c r="B1039" s="251" t="s">
        <v>3512</v>
      </c>
    </row>
    <row r="1040" spans="2:2">
      <c r="B1040" s="251" t="s">
        <v>3513</v>
      </c>
    </row>
    <row r="1041" spans="2:2">
      <c r="B1041" s="251" t="s">
        <v>3514</v>
      </c>
    </row>
    <row r="1042" spans="2:2">
      <c r="B1042" s="251" t="s">
        <v>3515</v>
      </c>
    </row>
    <row r="1043" spans="2:2">
      <c r="B1043" s="251" t="s">
        <v>3516</v>
      </c>
    </row>
    <row r="1044" spans="2:2">
      <c r="B1044" s="251" t="s">
        <v>3517</v>
      </c>
    </row>
    <row r="1045" spans="2:2">
      <c r="B1045" s="251" t="s">
        <v>3518</v>
      </c>
    </row>
    <row r="1046" spans="2:2">
      <c r="B1046" s="251" t="s">
        <v>3519</v>
      </c>
    </row>
    <row r="1047" spans="2:2">
      <c r="B1047" s="251" t="s">
        <v>3520</v>
      </c>
    </row>
    <row r="1048" spans="2:2">
      <c r="B1048" s="251" t="s">
        <v>3521</v>
      </c>
    </row>
    <row r="1049" spans="2:2">
      <c r="B1049" s="251" t="s">
        <v>3522</v>
      </c>
    </row>
    <row r="1050" spans="2:2">
      <c r="B1050" s="251" t="s">
        <v>3523</v>
      </c>
    </row>
    <row r="1051" spans="2:2">
      <c r="B1051" s="251" t="s">
        <v>3524</v>
      </c>
    </row>
    <row r="1052" spans="2:2">
      <c r="B1052" s="251" t="s">
        <v>3525</v>
      </c>
    </row>
    <row r="1053" spans="2:2">
      <c r="B1053" s="251" t="s">
        <v>3526</v>
      </c>
    </row>
    <row r="1054" spans="2:2">
      <c r="B1054" s="251" t="s">
        <v>3527</v>
      </c>
    </row>
    <row r="1055" spans="2:2">
      <c r="B1055" s="251" t="s">
        <v>3528</v>
      </c>
    </row>
    <row r="1056" spans="2:2">
      <c r="B1056" s="251" t="s">
        <v>3529</v>
      </c>
    </row>
    <row r="1057" spans="2:2">
      <c r="B1057" s="251" t="s">
        <v>3530</v>
      </c>
    </row>
    <row r="1058" spans="2:2">
      <c r="B1058" s="251" t="s">
        <v>3531</v>
      </c>
    </row>
    <row r="1059" spans="2:2">
      <c r="B1059" s="251" t="s">
        <v>3532</v>
      </c>
    </row>
    <row r="1060" spans="2:2">
      <c r="B1060" s="251" t="s">
        <v>3533</v>
      </c>
    </row>
    <row r="1061" spans="2:2">
      <c r="B1061" s="251" t="s">
        <v>3534</v>
      </c>
    </row>
    <row r="1062" spans="2:2">
      <c r="B1062" s="251" t="s">
        <v>3535</v>
      </c>
    </row>
    <row r="1063" spans="2:2">
      <c r="B1063" s="251" t="s">
        <v>3536</v>
      </c>
    </row>
    <row r="1064" spans="2:2">
      <c r="B1064" s="251" t="s">
        <v>3537</v>
      </c>
    </row>
    <row r="1065" spans="2:2">
      <c r="B1065" s="251" t="s">
        <v>3538</v>
      </c>
    </row>
    <row r="1066" spans="2:2">
      <c r="B1066" s="251" t="s">
        <v>3539</v>
      </c>
    </row>
    <row r="1067" spans="2:2">
      <c r="B1067" s="251" t="s">
        <v>3540</v>
      </c>
    </row>
    <row r="1068" spans="2:2">
      <c r="B1068" s="251" t="s">
        <v>3541</v>
      </c>
    </row>
    <row r="1069" spans="2:2">
      <c r="B1069" s="251" t="s">
        <v>3542</v>
      </c>
    </row>
    <row r="1070" spans="2:2">
      <c r="B1070" s="251" t="s">
        <v>3543</v>
      </c>
    </row>
    <row r="1071" spans="2:2">
      <c r="B1071" s="251" t="s">
        <v>3544</v>
      </c>
    </row>
    <row r="1072" spans="2:2">
      <c r="B1072" s="251" t="s">
        <v>3545</v>
      </c>
    </row>
    <row r="1073" spans="2:2">
      <c r="B1073" s="251" t="s">
        <v>3546</v>
      </c>
    </row>
    <row r="1074" spans="2:2">
      <c r="B1074" s="251" t="s">
        <v>3547</v>
      </c>
    </row>
    <row r="1075" spans="2:2">
      <c r="B1075" s="251" t="s">
        <v>3548</v>
      </c>
    </row>
    <row r="1076" spans="2:2">
      <c r="B1076" s="251" t="s">
        <v>3549</v>
      </c>
    </row>
    <row r="1077" spans="2:2">
      <c r="B1077" s="251" t="s">
        <v>3550</v>
      </c>
    </row>
    <row r="1078" spans="2:2">
      <c r="B1078" s="251" t="s">
        <v>3551</v>
      </c>
    </row>
    <row r="1079" spans="2:2">
      <c r="B1079" s="251" t="s">
        <v>3552</v>
      </c>
    </row>
    <row r="1080" spans="2:2">
      <c r="B1080" s="251" t="s">
        <v>3553</v>
      </c>
    </row>
    <row r="1081" spans="2:2">
      <c r="B1081" s="251" t="s">
        <v>3554</v>
      </c>
    </row>
    <row r="1082" spans="2:2">
      <c r="B1082" s="251" t="s">
        <v>3555</v>
      </c>
    </row>
    <row r="1083" spans="2:2">
      <c r="B1083" s="251" t="s">
        <v>3556</v>
      </c>
    </row>
    <row r="1084" spans="2:2">
      <c r="B1084" s="251" t="s">
        <v>3557</v>
      </c>
    </row>
    <row r="1085" spans="2:2">
      <c r="B1085" s="251" t="s">
        <v>3558</v>
      </c>
    </row>
    <row r="1086" spans="2:2">
      <c r="B1086" s="251" t="s">
        <v>3559</v>
      </c>
    </row>
    <row r="1087" spans="2:2">
      <c r="B1087" s="251" t="s">
        <v>3560</v>
      </c>
    </row>
    <row r="1088" spans="2:2">
      <c r="B1088" s="251" t="s">
        <v>3561</v>
      </c>
    </row>
    <row r="1089" spans="2:2">
      <c r="B1089" s="251" t="s">
        <v>3562</v>
      </c>
    </row>
    <row r="1090" spans="2:2">
      <c r="B1090" s="251" t="s">
        <v>3563</v>
      </c>
    </row>
    <row r="1091" spans="2:2">
      <c r="B1091" s="251" t="s">
        <v>3564</v>
      </c>
    </row>
    <row r="1092" spans="2:2">
      <c r="B1092" s="251" t="s">
        <v>3565</v>
      </c>
    </row>
    <row r="1093" spans="2:2">
      <c r="B1093" s="251" t="s">
        <v>3566</v>
      </c>
    </row>
    <row r="1094" spans="2:2">
      <c r="B1094" s="251" t="s">
        <v>3567</v>
      </c>
    </row>
    <row r="1095" spans="2:2">
      <c r="B1095" s="251" t="s">
        <v>3568</v>
      </c>
    </row>
    <row r="1096" spans="2:2">
      <c r="B1096" s="251" t="s">
        <v>3569</v>
      </c>
    </row>
    <row r="1097" spans="2:2">
      <c r="B1097" s="251" t="s">
        <v>3570</v>
      </c>
    </row>
    <row r="1098" spans="2:2">
      <c r="B1098" s="251" t="s">
        <v>3571</v>
      </c>
    </row>
    <row r="1099" spans="2:2">
      <c r="B1099" s="251" t="s">
        <v>3572</v>
      </c>
    </row>
    <row r="1100" spans="2:2">
      <c r="B1100" s="251" t="s">
        <v>3573</v>
      </c>
    </row>
    <row r="1101" spans="2:2">
      <c r="B1101" s="251" t="s">
        <v>3574</v>
      </c>
    </row>
    <row r="1102" spans="2:2">
      <c r="B1102" s="251" t="s">
        <v>3575</v>
      </c>
    </row>
    <row r="1103" spans="2:2">
      <c r="B1103" s="251" t="s">
        <v>3576</v>
      </c>
    </row>
    <row r="1104" spans="2:2">
      <c r="B1104" s="251" t="s">
        <v>3577</v>
      </c>
    </row>
    <row r="1105" spans="2:2">
      <c r="B1105" s="251" t="s">
        <v>3578</v>
      </c>
    </row>
    <row r="1106" spans="2:2">
      <c r="B1106" s="251" t="s">
        <v>3579</v>
      </c>
    </row>
    <row r="1107" spans="2:2">
      <c r="B1107" s="251" t="s">
        <v>3580</v>
      </c>
    </row>
    <row r="1108" spans="2:2">
      <c r="B1108" s="251" t="s">
        <v>3581</v>
      </c>
    </row>
    <row r="1109" spans="2:2">
      <c r="B1109" s="251" t="s">
        <v>3582</v>
      </c>
    </row>
    <row r="1110" spans="2:2">
      <c r="B1110" s="251" t="s">
        <v>3583</v>
      </c>
    </row>
    <row r="1111" spans="2:2">
      <c r="B1111" s="251" t="s">
        <v>3584</v>
      </c>
    </row>
    <row r="1112" spans="2:2">
      <c r="B1112" s="251" t="s">
        <v>3585</v>
      </c>
    </row>
    <row r="1113" spans="2:2">
      <c r="B1113" s="251" t="s">
        <v>3586</v>
      </c>
    </row>
    <row r="1114" spans="2:2">
      <c r="B1114" s="251" t="s">
        <v>3587</v>
      </c>
    </row>
    <row r="1115" spans="2:2">
      <c r="B1115" s="251" t="s">
        <v>3588</v>
      </c>
    </row>
    <row r="1116" spans="2:2">
      <c r="B1116" s="251" t="s">
        <v>3589</v>
      </c>
    </row>
    <row r="1117" spans="2:2">
      <c r="B1117" s="251" t="s">
        <v>3590</v>
      </c>
    </row>
    <row r="1118" spans="2:2">
      <c r="B1118" s="251" t="s">
        <v>3591</v>
      </c>
    </row>
    <row r="1119" spans="2:2">
      <c r="B1119" s="251" t="s">
        <v>3592</v>
      </c>
    </row>
    <row r="1120" spans="2:2">
      <c r="B1120" s="251" t="s">
        <v>3593</v>
      </c>
    </row>
    <row r="1121" spans="2:2">
      <c r="B1121" s="251" t="s">
        <v>3594</v>
      </c>
    </row>
    <row r="1122" spans="2:2">
      <c r="B1122" s="251" t="s">
        <v>3595</v>
      </c>
    </row>
    <row r="1123" spans="2:2">
      <c r="B1123" s="251" t="s">
        <v>3596</v>
      </c>
    </row>
    <row r="1124" spans="2:2">
      <c r="B1124" s="251" t="s">
        <v>3597</v>
      </c>
    </row>
    <row r="1125" spans="2:2">
      <c r="B1125" s="251" t="s">
        <v>3598</v>
      </c>
    </row>
    <row r="1126" spans="2:2">
      <c r="B1126" s="251" t="s">
        <v>3599</v>
      </c>
    </row>
    <row r="1127" spans="2:2">
      <c r="B1127" s="251" t="s">
        <v>3600</v>
      </c>
    </row>
    <row r="1128" spans="2:2">
      <c r="B1128" s="251" t="s">
        <v>3601</v>
      </c>
    </row>
    <row r="1129" spans="2:2">
      <c r="B1129" s="251" t="s">
        <v>3602</v>
      </c>
    </row>
    <row r="1130" spans="2:2">
      <c r="B1130" s="251" t="s">
        <v>3603</v>
      </c>
    </row>
    <row r="1131" spans="2:2">
      <c r="B1131" s="251" t="s">
        <v>3604</v>
      </c>
    </row>
    <row r="1132" spans="2:2">
      <c r="B1132" s="251" t="s">
        <v>3605</v>
      </c>
    </row>
    <row r="1133" spans="2:2">
      <c r="B1133" s="251" t="s">
        <v>3606</v>
      </c>
    </row>
    <row r="1134" spans="2:2">
      <c r="B1134" s="251" t="s">
        <v>3607</v>
      </c>
    </row>
    <row r="1135" spans="2:2">
      <c r="B1135" s="251" t="s">
        <v>3608</v>
      </c>
    </row>
    <row r="1136" spans="2:2">
      <c r="B1136" s="251" t="s">
        <v>3609</v>
      </c>
    </row>
    <row r="1137" spans="2:2">
      <c r="B1137" s="251" t="s">
        <v>3610</v>
      </c>
    </row>
    <row r="1138" spans="2:2">
      <c r="B1138" s="251" t="s">
        <v>3611</v>
      </c>
    </row>
    <row r="1139" spans="2:2">
      <c r="B1139" s="251" t="s">
        <v>3612</v>
      </c>
    </row>
    <row r="1140" spans="2:2">
      <c r="B1140" s="251" t="s">
        <v>3613</v>
      </c>
    </row>
    <row r="1141" spans="2:2">
      <c r="B1141" s="251" t="s">
        <v>3614</v>
      </c>
    </row>
    <row r="1142" spans="2:2">
      <c r="B1142" s="251" t="s">
        <v>3615</v>
      </c>
    </row>
    <row r="1143" spans="2:2">
      <c r="B1143" s="251" t="s">
        <v>3616</v>
      </c>
    </row>
    <row r="1144" spans="2:2">
      <c r="B1144" s="251" t="s">
        <v>3617</v>
      </c>
    </row>
    <row r="1145" spans="2:2">
      <c r="B1145" s="251" t="s">
        <v>3618</v>
      </c>
    </row>
    <row r="1146" spans="2:2">
      <c r="B1146" s="251" t="s">
        <v>3619</v>
      </c>
    </row>
    <row r="1147" spans="2:2">
      <c r="B1147" s="251" t="s">
        <v>3620</v>
      </c>
    </row>
    <row r="1148" spans="2:2">
      <c r="B1148" s="251" t="s">
        <v>3621</v>
      </c>
    </row>
    <row r="1149" spans="2:2">
      <c r="B1149" s="251" t="s">
        <v>3622</v>
      </c>
    </row>
    <row r="1150" spans="2:2">
      <c r="B1150" s="251" t="s">
        <v>3623</v>
      </c>
    </row>
    <row r="1151" spans="2:2">
      <c r="B1151" s="251" t="s">
        <v>3624</v>
      </c>
    </row>
    <row r="1152" spans="2:2">
      <c r="B1152" s="251" t="s">
        <v>3625</v>
      </c>
    </row>
    <row r="1153" spans="2:2">
      <c r="B1153" s="251" t="s">
        <v>3626</v>
      </c>
    </row>
    <row r="1154" spans="2:2">
      <c r="B1154" s="251" t="s">
        <v>3627</v>
      </c>
    </row>
    <row r="1155" spans="2:2">
      <c r="B1155" s="251" t="s">
        <v>3628</v>
      </c>
    </row>
    <row r="1156" spans="2:2">
      <c r="B1156" s="251" t="s">
        <v>3629</v>
      </c>
    </row>
    <row r="1157" spans="2:2">
      <c r="B1157" s="251" t="s">
        <v>3630</v>
      </c>
    </row>
    <row r="1158" spans="2:2">
      <c r="B1158" s="251" t="s">
        <v>3631</v>
      </c>
    </row>
    <row r="1159" spans="2:2">
      <c r="B1159" s="251" t="s">
        <v>3632</v>
      </c>
    </row>
    <row r="1160" spans="2:2">
      <c r="B1160" s="251" t="s">
        <v>3633</v>
      </c>
    </row>
    <row r="1161" spans="2:2">
      <c r="B1161" s="251" t="s">
        <v>3634</v>
      </c>
    </row>
    <row r="1162" spans="2:2">
      <c r="B1162" s="251" t="s">
        <v>3635</v>
      </c>
    </row>
    <row r="1163" spans="2:2">
      <c r="B1163" s="251" t="s">
        <v>3636</v>
      </c>
    </row>
    <row r="1164" spans="2:2">
      <c r="B1164" s="251" t="s">
        <v>3637</v>
      </c>
    </row>
    <row r="1165" spans="2:2">
      <c r="B1165" s="251" t="s">
        <v>3638</v>
      </c>
    </row>
    <row r="1166" spans="2:2">
      <c r="B1166" s="251" t="s">
        <v>3639</v>
      </c>
    </row>
    <row r="1167" spans="2:2">
      <c r="B1167" s="251" t="s">
        <v>3640</v>
      </c>
    </row>
    <row r="1168" spans="2:2">
      <c r="B1168" s="251" t="s">
        <v>3641</v>
      </c>
    </row>
    <row r="1169" spans="2:2">
      <c r="B1169" s="251" t="s">
        <v>3642</v>
      </c>
    </row>
    <row r="1170" spans="2:2">
      <c r="B1170" s="251" t="s">
        <v>3643</v>
      </c>
    </row>
    <row r="1171" spans="2:2">
      <c r="B1171" s="251" t="s">
        <v>3644</v>
      </c>
    </row>
    <row r="1172" spans="2:2">
      <c r="B1172" s="251" t="s">
        <v>3645</v>
      </c>
    </row>
    <row r="1173" spans="2:2">
      <c r="B1173" s="251" t="s">
        <v>3646</v>
      </c>
    </row>
    <row r="1174" spans="2:2">
      <c r="B1174" s="251" t="s">
        <v>3647</v>
      </c>
    </row>
    <row r="1175" spans="2:2">
      <c r="B1175" s="251" t="s">
        <v>3648</v>
      </c>
    </row>
    <row r="1176" spans="2:2">
      <c r="B1176" s="251" t="s">
        <v>3649</v>
      </c>
    </row>
    <row r="1177" spans="2:2">
      <c r="B1177" s="251" t="s">
        <v>3650</v>
      </c>
    </row>
    <row r="1178" spans="2:2">
      <c r="B1178" s="251" t="s">
        <v>3651</v>
      </c>
    </row>
    <row r="1179" spans="2:2">
      <c r="B1179" s="251" t="s">
        <v>2126</v>
      </c>
    </row>
    <row r="1180" spans="2:2">
      <c r="B1180" s="251" t="s">
        <v>3652</v>
      </c>
    </row>
    <row r="1181" spans="2:2">
      <c r="B1181" s="251" t="s">
        <v>3653</v>
      </c>
    </row>
    <row r="1182" spans="2:2">
      <c r="B1182" s="251" t="s">
        <v>3654</v>
      </c>
    </row>
    <row r="1183" spans="2:2">
      <c r="B1183" s="251" t="s">
        <v>3655</v>
      </c>
    </row>
    <row r="1184" spans="2:2">
      <c r="B1184" s="251" t="s">
        <v>3656</v>
      </c>
    </row>
    <row r="1185" spans="2:2">
      <c r="B1185" s="251" t="s">
        <v>3657</v>
      </c>
    </row>
    <row r="1186" spans="2:2">
      <c r="B1186" s="251" t="s">
        <v>3658</v>
      </c>
    </row>
    <row r="1187" spans="2:2">
      <c r="B1187" s="251" t="s">
        <v>3659</v>
      </c>
    </row>
    <row r="1188" spans="2:2">
      <c r="B1188" s="251" t="s">
        <v>3660</v>
      </c>
    </row>
    <row r="1189" spans="2:2">
      <c r="B1189" s="251" t="s">
        <v>3661</v>
      </c>
    </row>
    <row r="1190" spans="2:2">
      <c r="B1190" s="251" t="s">
        <v>3662</v>
      </c>
    </row>
    <row r="1191" spans="2:2">
      <c r="B1191" s="251" t="s">
        <v>3663</v>
      </c>
    </row>
    <row r="1192" spans="2:2">
      <c r="B1192" s="251" t="s">
        <v>3664</v>
      </c>
    </row>
    <row r="1193" spans="2:2">
      <c r="B1193" s="251" t="s">
        <v>3665</v>
      </c>
    </row>
    <row r="1194" spans="2:2">
      <c r="B1194" s="251" t="s">
        <v>3666</v>
      </c>
    </row>
    <row r="1195" spans="2:2">
      <c r="B1195" s="251" t="s">
        <v>3667</v>
      </c>
    </row>
    <row r="1196" spans="2:2">
      <c r="B1196" s="251" t="s">
        <v>3668</v>
      </c>
    </row>
    <row r="1197" spans="2:2">
      <c r="B1197" s="251" t="s">
        <v>3669</v>
      </c>
    </row>
    <row r="1198" spans="2:2">
      <c r="B1198" s="251" t="s">
        <v>3670</v>
      </c>
    </row>
    <row r="1199" spans="2:2">
      <c r="B1199" s="251" t="s">
        <v>3671</v>
      </c>
    </row>
    <row r="1200" spans="2:2">
      <c r="B1200" s="251" t="s">
        <v>3672</v>
      </c>
    </row>
    <row r="1201" spans="2:2">
      <c r="B1201" s="251" t="s">
        <v>3673</v>
      </c>
    </row>
    <row r="1202" spans="2:2">
      <c r="B1202" s="251" t="s">
        <v>3674</v>
      </c>
    </row>
    <row r="1203" spans="2:2">
      <c r="B1203" s="251" t="s">
        <v>3675</v>
      </c>
    </row>
    <row r="1204" spans="2:2">
      <c r="B1204" s="251" t="s">
        <v>3676</v>
      </c>
    </row>
    <row r="1205" spans="2:2">
      <c r="B1205" s="251" t="s">
        <v>3677</v>
      </c>
    </row>
    <row r="1206" spans="2:2">
      <c r="B1206" s="251" t="s">
        <v>3678</v>
      </c>
    </row>
    <row r="1207" spans="2:2">
      <c r="B1207" s="251" t="s">
        <v>3679</v>
      </c>
    </row>
    <row r="1208" spans="2:2">
      <c r="B1208" s="251" t="s">
        <v>3680</v>
      </c>
    </row>
    <row r="1209" spans="2:2">
      <c r="B1209" s="251" t="s">
        <v>3681</v>
      </c>
    </row>
    <row r="1210" spans="2:2">
      <c r="B1210" s="251" t="s">
        <v>3682</v>
      </c>
    </row>
    <row r="1211" spans="2:2">
      <c r="B1211" s="251" t="s">
        <v>3683</v>
      </c>
    </row>
    <row r="1212" spans="2:2">
      <c r="B1212" s="251" t="s">
        <v>3684</v>
      </c>
    </row>
    <row r="1213" spans="2:2">
      <c r="B1213" s="251" t="s">
        <v>3685</v>
      </c>
    </row>
    <row r="1214" spans="2:2">
      <c r="B1214" s="251" t="s">
        <v>3686</v>
      </c>
    </row>
    <row r="1215" spans="2:2">
      <c r="B1215" s="251" t="s">
        <v>3687</v>
      </c>
    </row>
    <row r="1216" spans="2:2">
      <c r="B1216" s="251" t="s">
        <v>3688</v>
      </c>
    </row>
    <row r="1217" spans="2:2">
      <c r="B1217" s="251" t="s">
        <v>3689</v>
      </c>
    </row>
    <row r="1218" spans="2:2">
      <c r="B1218" s="251" t="s">
        <v>3690</v>
      </c>
    </row>
    <row r="1219" spans="2:2">
      <c r="B1219" s="251" t="s">
        <v>3691</v>
      </c>
    </row>
    <row r="1220" spans="2:2">
      <c r="B1220" s="251" t="s">
        <v>2116</v>
      </c>
    </row>
    <row r="1221" spans="2:2">
      <c r="B1221" s="251" t="s">
        <v>3692</v>
      </c>
    </row>
    <row r="1222" spans="2:2">
      <c r="B1222" s="251" t="s">
        <v>3693</v>
      </c>
    </row>
    <row r="1223" spans="2:2">
      <c r="B1223" s="251" t="s">
        <v>3694</v>
      </c>
    </row>
    <row r="1224" spans="2:2">
      <c r="B1224" s="251" t="s">
        <v>3695</v>
      </c>
    </row>
    <row r="1225" spans="2:2">
      <c r="B1225" s="251" t="s">
        <v>2106</v>
      </c>
    </row>
    <row r="1226" spans="2:2">
      <c r="B1226" s="251" t="s">
        <v>3696</v>
      </c>
    </row>
    <row r="1227" spans="2:2">
      <c r="B1227" s="251" t="s">
        <v>3697</v>
      </c>
    </row>
    <row r="1228" spans="2:2">
      <c r="B1228" s="251" t="s">
        <v>3698</v>
      </c>
    </row>
    <row r="1229" spans="2:2">
      <c r="B1229" s="251" t="s">
        <v>3699</v>
      </c>
    </row>
    <row r="1230" spans="2:2">
      <c r="B1230" s="251" t="s">
        <v>3700</v>
      </c>
    </row>
    <row r="1231" spans="2:2">
      <c r="B1231" s="251" t="s">
        <v>3701</v>
      </c>
    </row>
    <row r="1232" spans="2:2">
      <c r="B1232" s="251" t="s">
        <v>3702</v>
      </c>
    </row>
    <row r="1233" spans="2:2">
      <c r="B1233" s="251" t="s">
        <v>3703</v>
      </c>
    </row>
    <row r="1234" spans="2:2">
      <c r="B1234" s="251" t="s">
        <v>3704</v>
      </c>
    </row>
    <row r="1235" spans="2:2">
      <c r="B1235" s="251" t="s">
        <v>3705</v>
      </c>
    </row>
    <row r="1236" spans="2:2">
      <c r="B1236" s="251" t="s">
        <v>3706</v>
      </c>
    </row>
    <row r="1237" spans="2:2">
      <c r="B1237" s="251" t="s">
        <v>3707</v>
      </c>
    </row>
    <row r="1238" spans="2:2">
      <c r="B1238" s="251" t="s">
        <v>3708</v>
      </c>
    </row>
    <row r="1239" spans="2:2">
      <c r="B1239" s="251" t="s">
        <v>3709</v>
      </c>
    </row>
    <row r="1240" spans="2:2">
      <c r="B1240" s="251" t="s">
        <v>3710</v>
      </c>
    </row>
    <row r="1241" spans="2:2">
      <c r="B1241" s="251" t="s">
        <v>3711</v>
      </c>
    </row>
    <row r="1242" spans="2:2">
      <c r="B1242" s="251" t="s">
        <v>3712</v>
      </c>
    </row>
    <row r="1243" spans="2:2">
      <c r="B1243" s="251" t="s">
        <v>3734</v>
      </c>
    </row>
    <row r="1244" spans="2:2">
      <c r="B1244" s="251" t="s">
        <v>3735</v>
      </c>
    </row>
    <row r="1245" spans="2:2">
      <c r="B1245" s="251" t="s">
        <v>3738</v>
      </c>
    </row>
    <row r="1246" spans="2:2">
      <c r="B1246" s="251" t="s">
        <v>3740</v>
      </c>
    </row>
    <row r="1247" spans="2:2">
      <c r="B1247" s="251" t="s">
        <v>3742</v>
      </c>
    </row>
    <row r="1248" spans="2:2">
      <c r="B1248" s="251" t="s">
        <v>3746</v>
      </c>
    </row>
    <row r="1249" spans="2:2">
      <c r="B1249" s="251" t="s">
        <v>3747</v>
      </c>
    </row>
    <row r="1250" spans="2:2">
      <c r="B1250" s="251" t="s">
        <v>3748</v>
      </c>
    </row>
    <row r="1251" spans="2:2">
      <c r="B1251" s="251" t="s">
        <v>3749</v>
      </c>
    </row>
    <row r="1252" spans="2:2">
      <c r="B1252" s="251" t="s">
        <v>3759</v>
      </c>
    </row>
    <row r="1253" spans="2:2">
      <c r="B1253" s="251" t="s">
        <v>3761</v>
      </c>
    </row>
    <row r="1254" spans="2:2">
      <c r="B1254" s="251" t="s">
        <v>3763</v>
      </c>
    </row>
    <row r="1255" spans="2:2">
      <c r="B1255" s="268" t="s">
        <v>3768</v>
      </c>
    </row>
    <row r="1256" spans="2:2">
      <c r="B1256" s="268" t="s">
        <v>3769</v>
      </c>
    </row>
    <row r="1257" spans="2:2">
      <c r="B1257" s="268" t="s">
        <v>3775</v>
      </c>
    </row>
    <row r="1258" spans="2:2">
      <c r="B1258" s="268" t="s">
        <v>3776</v>
      </c>
    </row>
    <row r="1259" spans="2:2">
      <c r="B1259" s="268" t="s">
        <v>3797</v>
      </c>
    </row>
    <row r="1260" spans="2:2">
      <c r="B1260" s="268" t="s">
        <v>3847</v>
      </c>
    </row>
    <row r="1261" spans="2:2">
      <c r="B1261" s="268" t="s">
        <v>3848</v>
      </c>
    </row>
    <row r="1262" spans="2:2">
      <c r="B1262" s="268" t="s">
        <v>3863</v>
      </c>
    </row>
    <row r="1263" spans="2:2">
      <c r="B1263" s="268" t="s">
        <v>3864</v>
      </c>
    </row>
    <row r="1264" spans="2:2">
      <c r="B1264" s="268" t="s">
        <v>1828</v>
      </c>
    </row>
    <row r="1265" spans="2:30">
      <c r="B1265" s="268" t="s">
        <v>3867</v>
      </c>
      <c r="AD1265" s="267"/>
    </row>
    <row r="1266" spans="2:30">
      <c r="B1266" s="268" t="s">
        <v>3880</v>
      </c>
    </row>
    <row r="1267" spans="2:30">
      <c r="B1267" s="268" t="s">
        <v>3881</v>
      </c>
    </row>
    <row r="1268" spans="2:30">
      <c r="B1268" s="268" t="s">
        <v>3942</v>
      </c>
    </row>
  </sheetData>
  <autoFilter ref="A2:L333" xr:uid="{DC9C89C9-C58C-431A-80D5-5C7D568EC13B}"/>
  <hyperlinks>
    <hyperlink ref="A1" location="Main!A1" display="Main" xr:uid="{A37A7071-3D61-430B-9870-62023C7BA352}"/>
    <hyperlink ref="M56" r:id="rId1" xr:uid="{7C3C37F8-6BFF-44F4-8D86-2F59EFD976D8}"/>
    <hyperlink ref="M301" r:id="rId2" xr:uid="{82D25570-50C8-456F-B7DA-93D23837F857}"/>
    <hyperlink ref="M31" r:id="rId3" xr:uid="{45530F9C-6F03-4419-B248-DA5DE522BD64}"/>
    <hyperlink ref="AC4" r:id="rId4" location="gid=503924035" xr:uid="{766FAF7F-537A-4945-B336-F36141942782}"/>
    <hyperlink ref="AC3" r:id="rId5" xr:uid="{29085746-BB2B-794A-80FD-E0FFC2B9A551}"/>
    <hyperlink ref="AB247" r:id="rId6" xr:uid="{57BDF0FE-4DEA-8848-BACB-677031F3671F}"/>
    <hyperlink ref="AB273" r:id="rId7" xr:uid="{938ACD04-6FD2-4118-BCDA-7F4D5126A30E}"/>
    <hyperlink ref="AB82" r:id="rId8" xr:uid="{A59341D8-A2F4-439E-9F72-CA7746195183}"/>
    <hyperlink ref="AB83" r:id="rId9" xr:uid="{33D34484-E102-4D4D-A399-94AD36E38A2D}"/>
    <hyperlink ref="AB246" r:id="rId10" xr:uid="{AF13D07A-6F7C-4BA1-BC0D-A8DA11A1C76A}"/>
    <hyperlink ref="AB53" r:id="rId11" xr:uid="{1B0CDC65-8F33-49BC-AE81-0626C648E85D}"/>
    <hyperlink ref="AB248" r:id="rId12" xr:uid="{46C1B3AF-5E9E-4E90-BA13-B3E12549BAA5}"/>
    <hyperlink ref="AB16" r:id="rId13" xr:uid="{0C88B5A3-DCE0-B34C-A603-060AE5ACDA1D}"/>
    <hyperlink ref="AB20" r:id="rId14" xr:uid="{237FE729-95E9-8D42-9FD0-1B3D6D10549E}"/>
    <hyperlink ref="AB23" r:id="rId15" xr:uid="{6D499C26-ED62-1F4B-9C43-3A05BA429B60}"/>
    <hyperlink ref="AB25" r:id="rId16" xr:uid="{A03BA222-9D2B-2C41-B496-1B1C67AE8DD1}"/>
    <hyperlink ref="AB19" r:id="rId17" xr:uid="{306A8E1E-A6BD-2448-A6D3-F50C19396B5D}"/>
    <hyperlink ref="AB27" r:id="rId18" xr:uid="{E4CC9286-D2FD-1648-9618-ACC443F10DDE}"/>
    <hyperlink ref="AB22" r:id="rId19" xr:uid="{845F529F-7D9D-7242-880B-12C75FF7B5B8}"/>
    <hyperlink ref="AB15" r:id="rId20" xr:uid="{B438B147-56EC-874E-BACD-E34875EBEC8B}"/>
    <hyperlink ref="AB336" r:id="rId21" xr:uid="{781F1542-F6ED-664E-A537-CFB86BD4098E}"/>
  </hyperlinks>
  <pageMargins left="0.7" right="0.7" top="0.75" bottom="0.75" header="0.3" footer="0.3"/>
  <pageSetup orientation="portrait" r:id="rId22"/>
  <legacyDrawing r:id="rId2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CBFEC-29DF-40E8-ABA2-B3BB501AC0C1}">
  <dimension ref="A1:O25"/>
  <sheetViews>
    <sheetView zoomScale="190" zoomScaleNormal="190"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9.1640625" defaultRowHeight="13"/>
  <cols>
    <col min="1" max="1" width="5" style="172" bestFit="1" customWidth="1"/>
    <col min="2" max="2" width="12.6640625" style="172" customWidth="1"/>
    <col min="3" max="16384" width="9.1640625" style="172"/>
  </cols>
  <sheetData>
    <row r="1" spans="1:15">
      <c r="A1" s="5" t="s">
        <v>146</v>
      </c>
    </row>
    <row r="2" spans="1:15">
      <c r="B2" s="172" t="s">
        <v>0</v>
      </c>
      <c r="C2" s="172">
        <v>2010</v>
      </c>
      <c r="D2" s="172">
        <f>C2+1</f>
        <v>2011</v>
      </c>
      <c r="E2" s="172">
        <f t="shared" ref="E2:O2" si="0">D2+1</f>
        <v>2012</v>
      </c>
      <c r="F2" s="172">
        <f t="shared" si="0"/>
        <v>2013</v>
      </c>
      <c r="G2" s="172">
        <f t="shared" si="0"/>
        <v>2014</v>
      </c>
      <c r="H2" s="172">
        <f t="shared" si="0"/>
        <v>2015</v>
      </c>
      <c r="I2" s="172">
        <f t="shared" si="0"/>
        <v>2016</v>
      </c>
      <c r="J2" s="172">
        <f t="shared" si="0"/>
        <v>2017</v>
      </c>
      <c r="K2" s="172">
        <f t="shared" si="0"/>
        <v>2018</v>
      </c>
      <c r="L2" s="172">
        <f t="shared" si="0"/>
        <v>2019</v>
      </c>
      <c r="M2" s="172">
        <f t="shared" si="0"/>
        <v>2020</v>
      </c>
      <c r="N2" s="172">
        <f t="shared" si="0"/>
        <v>2021</v>
      </c>
      <c r="O2" s="172">
        <f t="shared" si="0"/>
        <v>2022</v>
      </c>
    </row>
    <row r="3" spans="1:15">
      <c r="B3" s="176" t="s">
        <v>491</v>
      </c>
      <c r="C3" s="173">
        <f>SUM(C5:C25)</f>
        <v>62484</v>
      </c>
      <c r="D3" s="173">
        <f t="shared" ref="D3:O3" si="1">SUM(D5:D25)</f>
        <v>69943</v>
      </c>
      <c r="E3" s="173">
        <f t="shared" si="1"/>
        <v>119762</v>
      </c>
      <c r="F3" s="173">
        <f t="shared" si="1"/>
        <v>141240</v>
      </c>
      <c r="G3" s="173">
        <f t="shared" si="1"/>
        <v>169944</v>
      </c>
      <c r="H3" s="173">
        <f t="shared" si="1"/>
        <v>194377</v>
      </c>
      <c r="I3" s="173">
        <f t="shared" si="1"/>
        <v>253177</v>
      </c>
      <c r="J3" s="173">
        <f t="shared" si="1"/>
        <v>305432</v>
      </c>
      <c r="K3" s="173">
        <f t="shared" si="1"/>
        <v>371389</v>
      </c>
      <c r="L3" s="173">
        <f t="shared" si="1"/>
        <v>436330</v>
      </c>
      <c r="M3" s="173">
        <f t="shared" si="1"/>
        <v>503965</v>
      </c>
      <c r="N3" s="173">
        <f t="shared" si="1"/>
        <v>718643</v>
      </c>
      <c r="O3" s="177">
        <f t="shared" si="1"/>
        <v>825015.8</v>
      </c>
    </row>
    <row r="5" spans="1:15">
      <c r="B5" s="172" t="s">
        <v>9</v>
      </c>
      <c r="E5" s="173">
        <v>46039</v>
      </c>
      <c r="F5" s="173">
        <v>55519</v>
      </c>
      <c r="G5" s="173">
        <v>66001</v>
      </c>
      <c r="H5" s="173">
        <v>74989</v>
      </c>
      <c r="I5" s="173">
        <v>90272</v>
      </c>
      <c r="J5" s="173">
        <v>110855</v>
      </c>
      <c r="K5" s="173">
        <v>136819</v>
      </c>
      <c r="L5" s="173">
        <v>161857</v>
      </c>
      <c r="M5" s="173">
        <v>182527</v>
      </c>
      <c r="N5" s="173">
        <v>257637</v>
      </c>
      <c r="O5" s="173">
        <v>282836</v>
      </c>
    </row>
    <row r="6" spans="1:15">
      <c r="B6" s="172" t="s">
        <v>7</v>
      </c>
      <c r="C6" s="173">
        <v>62484</v>
      </c>
      <c r="D6" s="173">
        <v>69943</v>
      </c>
      <c r="E6" s="173">
        <v>73723</v>
      </c>
      <c r="F6" s="173">
        <v>77849</v>
      </c>
      <c r="G6" s="173">
        <v>86833</v>
      </c>
      <c r="H6" s="173">
        <v>93580</v>
      </c>
      <c r="I6" s="173">
        <v>85320</v>
      </c>
      <c r="J6" s="173">
        <v>96571</v>
      </c>
      <c r="K6" s="173">
        <v>110360</v>
      </c>
      <c r="L6" s="173">
        <v>125843</v>
      </c>
      <c r="M6" s="173">
        <v>143015</v>
      </c>
      <c r="N6" s="173">
        <v>184903</v>
      </c>
      <c r="O6" s="173">
        <v>204094</v>
      </c>
    </row>
    <row r="7" spans="1:15">
      <c r="B7" s="172" t="s">
        <v>13</v>
      </c>
      <c r="F7" s="173">
        <v>7872</v>
      </c>
      <c r="G7" s="173">
        <v>12466</v>
      </c>
      <c r="H7" s="173">
        <v>17928</v>
      </c>
      <c r="I7" s="173">
        <v>27638</v>
      </c>
      <c r="J7" s="173">
        <v>40653</v>
      </c>
      <c r="K7" s="173">
        <v>55838</v>
      </c>
      <c r="L7" s="173">
        <v>70697</v>
      </c>
      <c r="M7" s="173">
        <v>85965</v>
      </c>
      <c r="N7" s="173">
        <v>117929</v>
      </c>
      <c r="O7" s="173">
        <v>116609</v>
      </c>
    </row>
    <row r="8" spans="1:15">
      <c r="B8" s="172" t="s">
        <v>478</v>
      </c>
      <c r="G8" s="173">
        <v>4644</v>
      </c>
      <c r="H8" s="173">
        <v>7880</v>
      </c>
      <c r="I8" s="173">
        <v>12219</v>
      </c>
      <c r="J8" s="173">
        <v>17459</v>
      </c>
      <c r="K8" s="173">
        <v>25655</v>
      </c>
      <c r="L8" s="173">
        <v>35026</v>
      </c>
      <c r="M8" s="173">
        <v>45370</v>
      </c>
      <c r="N8" s="173">
        <v>62202</v>
      </c>
      <c r="O8" s="173">
        <v>80096</v>
      </c>
    </row>
    <row r="9" spans="1:15">
      <c r="B9" s="172" t="s">
        <v>23</v>
      </c>
      <c r="I9" s="173">
        <v>37728</v>
      </c>
      <c r="J9" s="173">
        <v>39831</v>
      </c>
      <c r="K9" s="173">
        <v>39506</v>
      </c>
      <c r="L9" s="173">
        <v>39068</v>
      </c>
      <c r="M9" s="173">
        <v>40479</v>
      </c>
      <c r="N9" s="173">
        <v>42440</v>
      </c>
      <c r="O9" s="173">
        <v>46073</v>
      </c>
    </row>
    <row r="10" spans="1:15">
      <c r="B10" s="172" t="s">
        <v>25</v>
      </c>
      <c r="N10" s="173">
        <v>27843</v>
      </c>
      <c r="O10" s="174">
        <f>N10*1.1</f>
        <v>30627.300000000003</v>
      </c>
    </row>
    <row r="11" spans="1:15">
      <c r="B11" s="172" t="s">
        <v>21</v>
      </c>
      <c r="O11" s="174">
        <v>30294</v>
      </c>
    </row>
    <row r="12" spans="1:15">
      <c r="B12" s="172" t="s">
        <v>19</v>
      </c>
      <c r="N12" s="173">
        <v>15785</v>
      </c>
      <c r="O12" s="174">
        <f>N12*1.1</f>
        <v>17363.5</v>
      </c>
    </row>
    <row r="13" spans="1:15">
      <c r="B13" s="172" t="s">
        <v>479</v>
      </c>
      <c r="J13" s="173">
        <v>63</v>
      </c>
      <c r="K13" s="173">
        <v>150</v>
      </c>
      <c r="L13" s="173">
        <v>350</v>
      </c>
      <c r="M13" s="173">
        <v>2640</v>
      </c>
      <c r="N13" s="173">
        <v>4697</v>
      </c>
      <c r="O13" s="173">
        <v>9401</v>
      </c>
    </row>
    <row r="14" spans="1:15">
      <c r="B14" s="172" t="s">
        <v>264</v>
      </c>
    </row>
    <row r="15" spans="1:15">
      <c r="B15" s="172" t="s">
        <v>44</v>
      </c>
    </row>
    <row r="16" spans="1:15">
      <c r="B16" s="172" t="s">
        <v>178</v>
      </c>
    </row>
    <row r="17" spans="2:15">
      <c r="B17" s="172" t="s">
        <v>29</v>
      </c>
    </row>
    <row r="18" spans="2:15">
      <c r="B18" s="172" t="s">
        <v>480</v>
      </c>
    </row>
    <row r="19" spans="2:15">
      <c r="B19" s="176" t="s">
        <v>180</v>
      </c>
      <c r="K19" s="173">
        <v>3061</v>
      </c>
      <c r="L19" s="173">
        <v>3489</v>
      </c>
      <c r="M19" s="173">
        <v>3969</v>
      </c>
      <c r="N19" s="173">
        <v>5107</v>
      </c>
      <c r="O19" s="173">
        <v>6622</v>
      </c>
    </row>
    <row r="20" spans="2:15">
      <c r="B20" s="172" t="s">
        <v>33</v>
      </c>
    </row>
    <row r="21" spans="2:15">
      <c r="B21" s="172" t="s">
        <v>401</v>
      </c>
      <c r="N21" s="173">
        <v>100</v>
      </c>
      <c r="O21" s="173">
        <v>1000</v>
      </c>
    </row>
    <row r="22" spans="2:15">
      <c r="B22" s="172" t="s">
        <v>40</v>
      </c>
    </row>
    <row r="23" spans="2:15">
      <c r="B23" s="172" t="s">
        <v>50</v>
      </c>
    </row>
    <row r="24" spans="2:15">
      <c r="B24" s="172" t="s">
        <v>52</v>
      </c>
    </row>
    <row r="25" spans="2:15">
      <c r="B25" s="172" t="s">
        <v>304</v>
      </c>
    </row>
  </sheetData>
  <hyperlinks>
    <hyperlink ref="A1" location="Main!A1" display="Main" xr:uid="{04070A17-ACBF-4452-AFD7-3FBDA4940F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990C-C1C5-4FE2-B554-717099EBE596}">
  <dimension ref="A1:Z29"/>
  <sheetViews>
    <sheetView zoomScale="175" zoomScaleNormal="175" workbookViewId="0">
      <pane xSplit="2" ySplit="2" topLeftCell="C3" activePane="bottomRight" state="frozen"/>
      <selection pane="topRight" activeCell="C1" sqref="C1"/>
      <selection pane="bottomLeft" activeCell="A3" sqref="A3"/>
      <selection pane="bottomRight" activeCell="D20" sqref="D20"/>
    </sheetView>
  </sheetViews>
  <sheetFormatPr baseColWidth="10" defaultColWidth="9.1640625" defaultRowHeight="13"/>
  <cols>
    <col min="1" max="1" width="5" style="10" bestFit="1" customWidth="1"/>
    <col min="2" max="2" width="13.6640625" style="10" customWidth="1"/>
    <col min="3" max="3" width="9.1640625" style="10"/>
    <col min="4" max="4" width="10" style="10" bestFit="1" customWidth="1"/>
    <col min="5" max="9" width="9.1640625" style="10"/>
    <col min="10" max="10" width="10.33203125" style="10" customWidth="1"/>
    <col min="11" max="16384" width="9.1640625" style="10"/>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c r="Y2" s="181" t="s">
        <v>513</v>
      </c>
    </row>
    <row r="3" spans="1:26">
      <c r="A3" s="72" t="s">
        <v>261</v>
      </c>
      <c r="B3" s="5" t="s">
        <v>7</v>
      </c>
      <c r="C3" s="20" t="s">
        <v>8</v>
      </c>
      <c r="D3" s="21">
        <v>252</v>
      </c>
      <c r="E3" s="22">
        <f>D3*[1]Main!$L$3</f>
        <v>1883196</v>
      </c>
      <c r="F3" s="22">
        <f>[1]Main!$L$5-[1]Main!$L$6</f>
        <v>58489</v>
      </c>
      <c r="G3" s="22">
        <f>+E3-F3</f>
        <v>1824707</v>
      </c>
      <c r="H3" s="22">
        <f>+[1]Main!$L$3</f>
        <v>7473</v>
      </c>
      <c r="I3" s="23" t="s">
        <v>14</v>
      </c>
    </row>
    <row r="4" spans="1:26">
      <c r="A4" s="72" t="s">
        <v>261</v>
      </c>
      <c r="B4" s="5" t="s">
        <v>15</v>
      </c>
      <c r="C4" s="20" t="s">
        <v>16</v>
      </c>
      <c r="D4" s="21">
        <v>391.4</v>
      </c>
      <c r="E4" s="22">
        <f>+D4*[21]Main!$L$3*1000/HKD</f>
        <v>482256.9746999924</v>
      </c>
      <c r="F4" s="22">
        <f>([21]Main!$L$5-[21]Main!$L$6)/HKD*1000</f>
        <v>81912.914978725574</v>
      </c>
      <c r="G4" s="22">
        <f>+E4-F4</f>
        <v>400344.05972126685</v>
      </c>
      <c r="H4" s="22"/>
      <c r="I4" s="23" t="s">
        <v>14</v>
      </c>
    </row>
    <row r="5" spans="1:26" s="20" customFormat="1">
      <c r="A5" s="82" t="s">
        <v>261</v>
      </c>
      <c r="B5" s="5" t="s">
        <v>19</v>
      </c>
      <c r="C5" s="20" t="s">
        <v>20</v>
      </c>
      <c r="D5" s="21">
        <v>309.18</v>
      </c>
      <c r="E5" s="22">
        <f>+D5*[28]Main!$N$3</f>
        <v>146087.55000000002</v>
      </c>
      <c r="F5" s="22">
        <f>+[28]Main!$N$5-[28]Main!$N$6</f>
        <v>1173</v>
      </c>
      <c r="G5" s="22">
        <f t="shared" ref="G5:G8" si="0">+E5-F5</f>
        <v>144914.55000000002</v>
      </c>
      <c r="H5" s="22">
        <f>+[28]Main!$N$3</f>
        <v>472.5</v>
      </c>
      <c r="I5" s="23" t="s">
        <v>208</v>
      </c>
      <c r="J5" s="43">
        <v>44823</v>
      </c>
      <c r="K5" s="24"/>
      <c r="L5" s="24"/>
      <c r="M5" s="24"/>
      <c r="N5" s="24"/>
      <c r="O5" s="24"/>
      <c r="P5" s="25"/>
      <c r="Q5" s="24"/>
      <c r="R5" s="24"/>
      <c r="S5" s="26"/>
      <c r="T5" s="25"/>
      <c r="U5" s="24"/>
      <c r="V5" s="24"/>
      <c r="W5" s="26"/>
      <c r="X5" s="20">
        <v>1982</v>
      </c>
    </row>
    <row r="6" spans="1:26" s="20" customFormat="1">
      <c r="A6" s="82" t="s">
        <v>261</v>
      </c>
      <c r="B6" s="5" t="s">
        <v>267</v>
      </c>
      <c r="C6" s="82" t="s">
        <v>268</v>
      </c>
      <c r="D6" s="154">
        <v>12025</v>
      </c>
      <c r="E6" s="22">
        <f>D6*H6/JPY</f>
        <v>108755.68776016941</v>
      </c>
      <c r="F6" s="22">
        <f>([29]Main!$O$7-[29]Main!$O$8)/JPY</f>
        <v>3147.411085956328</v>
      </c>
      <c r="G6" s="22">
        <f t="shared" si="0"/>
        <v>105608.27667421309</v>
      </c>
      <c r="H6" s="22">
        <f>[29]Main!$O$4</f>
        <v>1238.413</v>
      </c>
      <c r="I6" s="155" t="s">
        <v>390</v>
      </c>
      <c r="J6" s="43">
        <v>44994</v>
      </c>
      <c r="K6" s="24"/>
      <c r="L6" s="24"/>
      <c r="M6" s="24"/>
      <c r="N6" s="24"/>
      <c r="O6" s="24"/>
      <c r="P6" s="24"/>
      <c r="Q6" s="24"/>
      <c r="R6" s="24"/>
      <c r="S6" s="24"/>
      <c r="T6" s="24"/>
      <c r="U6" s="24"/>
      <c r="V6" s="24"/>
      <c r="W6" s="24"/>
    </row>
    <row r="7" spans="1:26" s="20" customFormat="1">
      <c r="A7" s="153" t="s">
        <v>261</v>
      </c>
      <c r="B7" s="5" t="s">
        <v>267</v>
      </c>
      <c r="C7" s="153" t="s">
        <v>391</v>
      </c>
      <c r="D7" s="21">
        <v>87.8</v>
      </c>
      <c r="E7" s="22">
        <f>D7*H7</f>
        <v>108732.6614</v>
      </c>
      <c r="F7" s="22">
        <f>([29]Main!$O$7-[29]Main!$O$8)/JPY</f>
        <v>3147.411085956328</v>
      </c>
      <c r="G7" s="22">
        <f t="shared" si="0"/>
        <v>105585.25031404367</v>
      </c>
      <c r="H7" s="22">
        <f>[29]Main!$O$4</f>
        <v>1238.413</v>
      </c>
      <c r="I7" s="155" t="s">
        <v>390</v>
      </c>
      <c r="J7" s="43">
        <v>44994</v>
      </c>
      <c r="K7" s="24"/>
      <c r="L7" s="24"/>
      <c r="M7" s="24"/>
      <c r="N7" s="24"/>
      <c r="O7" s="24"/>
      <c r="P7" s="24"/>
      <c r="Q7" s="24"/>
      <c r="R7" s="24"/>
      <c r="S7" s="24"/>
      <c r="T7" s="24"/>
      <c r="U7" s="24"/>
      <c r="V7" s="24"/>
      <c r="W7" s="24"/>
    </row>
    <row r="8" spans="1:26" s="20" customFormat="1">
      <c r="A8" s="85" t="s">
        <v>261</v>
      </c>
      <c r="B8" s="85" t="s">
        <v>271</v>
      </c>
      <c r="C8" s="85" t="s">
        <v>272</v>
      </c>
      <c r="D8" s="21">
        <v>327</v>
      </c>
      <c r="E8" s="22">
        <v>145680</v>
      </c>
      <c r="F8" s="22"/>
      <c r="G8" s="22">
        <f t="shared" si="0"/>
        <v>145680</v>
      </c>
      <c r="H8" s="22"/>
      <c r="I8" s="23"/>
      <c r="J8" s="23"/>
      <c r="K8" s="24"/>
      <c r="L8" s="24"/>
      <c r="M8" s="24"/>
      <c r="N8" s="24"/>
      <c r="O8" s="24"/>
      <c r="P8" s="24"/>
      <c r="Q8" s="24"/>
      <c r="R8" s="24"/>
      <c r="S8" s="24"/>
      <c r="T8" s="24"/>
      <c r="U8" s="24"/>
      <c r="V8" s="24"/>
      <c r="W8" s="24"/>
    </row>
    <row r="9" spans="1:26">
      <c r="A9" s="87" t="s">
        <v>261</v>
      </c>
      <c r="B9" s="5" t="s">
        <v>175</v>
      </c>
      <c r="C9" s="10" t="s">
        <v>176</v>
      </c>
      <c r="D9" s="10">
        <v>73.88</v>
      </c>
      <c r="E9" s="52">
        <f>+D9*H9</f>
        <v>57820.358567719995</v>
      </c>
      <c r="F9" s="52">
        <f>+[30]Main!$J$5-[30]Main!$J$6</f>
        <v>7078</v>
      </c>
      <c r="G9" s="22">
        <f t="shared" ref="G9" si="1">+E9-F9</f>
        <v>50742.358567719995</v>
      </c>
      <c r="H9" s="52">
        <f>+[30]Main!$J$3</f>
        <v>782.62531899999999</v>
      </c>
      <c r="I9" s="144" t="s">
        <v>359</v>
      </c>
      <c r="J9" s="67">
        <v>44946</v>
      </c>
    </row>
    <row r="10" spans="1:26">
      <c r="A10" s="87" t="s">
        <v>261</v>
      </c>
      <c r="B10" s="10" t="s">
        <v>177</v>
      </c>
      <c r="C10" s="46" t="s">
        <v>240</v>
      </c>
      <c r="D10" s="52">
        <v>59910</v>
      </c>
      <c r="E10" s="52" cm="1">
        <f t="array" ref="E10">6975000/JPY</f>
        <v>50938.435697071494</v>
      </c>
    </row>
    <row r="11" spans="1:26">
      <c r="A11" s="88" t="s">
        <v>261</v>
      </c>
      <c r="B11" s="88" t="s">
        <v>275</v>
      </c>
      <c r="C11" s="88" t="s">
        <v>276</v>
      </c>
      <c r="D11" s="52"/>
      <c r="E11" s="52"/>
    </row>
    <row r="12" spans="1:26">
      <c r="A12" s="98" t="s">
        <v>261</v>
      </c>
      <c r="B12" s="98" t="s">
        <v>293</v>
      </c>
      <c r="C12" s="98" t="s">
        <v>294</v>
      </c>
      <c r="D12" s="52"/>
      <c r="E12" s="52"/>
    </row>
    <row r="13" spans="1:26">
      <c r="A13" s="98" t="s">
        <v>261</v>
      </c>
      <c r="B13" s="5" t="s">
        <v>171</v>
      </c>
      <c r="C13" s="10" t="s">
        <v>172</v>
      </c>
      <c r="D13" s="10">
        <v>130.47999999999999</v>
      </c>
      <c r="E13" s="52">
        <f>+D13*H13</f>
        <v>36664.879999999997</v>
      </c>
      <c r="F13" s="52">
        <f>+[31]Main!$N$5-[31]Main!$N$6</f>
        <v>538</v>
      </c>
      <c r="G13" s="52">
        <f>+E13-F13</f>
        <v>36126.879999999997</v>
      </c>
      <c r="H13" s="10">
        <f>+[31]Main!$N$3</f>
        <v>281</v>
      </c>
      <c r="I13" s="66" t="s">
        <v>208</v>
      </c>
      <c r="J13" s="67">
        <v>44799</v>
      </c>
      <c r="X13" s="10">
        <v>1982</v>
      </c>
    </row>
    <row r="14" spans="1:26" s="1" customFormat="1">
      <c r="A14" s="1" t="s">
        <v>261</v>
      </c>
      <c r="B14" s="5" t="s">
        <v>77</v>
      </c>
      <c r="C14" s="1" t="s">
        <v>78</v>
      </c>
      <c r="D14" s="2">
        <v>37.76</v>
      </c>
      <c r="E14" s="3">
        <f>D14*H14</f>
        <v>22849.913459200001</v>
      </c>
      <c r="F14" s="3">
        <f>[32]Main!$L$5-[32]Main!$L$6</f>
        <v>1988</v>
      </c>
      <c r="G14" s="3">
        <f>+E14-F14</f>
        <v>20861.913459200001</v>
      </c>
      <c r="H14" s="3">
        <f>[32]Main!$L$3</f>
        <v>605.13542000000007</v>
      </c>
      <c r="I14" s="4" t="s">
        <v>390</v>
      </c>
      <c r="J14" s="152">
        <v>44987</v>
      </c>
      <c r="X14" s="1">
        <v>2004</v>
      </c>
      <c r="Y14" s="1">
        <v>56</v>
      </c>
      <c r="Z14" s="183">
        <f>G14/Y14</f>
        <v>372.53416891428571</v>
      </c>
    </row>
    <row r="15" spans="1:26" s="1" customFormat="1">
      <c r="A15" s="1" t="s">
        <v>261</v>
      </c>
      <c r="B15" s="136" t="s">
        <v>340</v>
      </c>
      <c r="C15" s="1" t="s">
        <v>341</v>
      </c>
      <c r="D15" s="2"/>
      <c r="E15" s="3"/>
      <c r="F15" s="3"/>
      <c r="G15" s="3"/>
      <c r="H15" s="4"/>
      <c r="I15" s="4"/>
    </row>
    <row r="16" spans="1:26">
      <c r="B16" s="10" t="s">
        <v>173</v>
      </c>
      <c r="C16" s="10" t="s">
        <v>174</v>
      </c>
      <c r="D16" s="10">
        <v>127.74</v>
      </c>
      <c r="E16" s="52">
        <v>21290</v>
      </c>
    </row>
    <row r="17" spans="2:26" s="1" customFormat="1">
      <c r="B17" s="1" t="s">
        <v>88</v>
      </c>
      <c r="C17" s="1" t="s">
        <v>89</v>
      </c>
      <c r="D17" s="2">
        <v>45.8</v>
      </c>
      <c r="E17" s="3">
        <v>14330</v>
      </c>
      <c r="F17" s="4"/>
      <c r="G17" s="4"/>
      <c r="H17" s="4"/>
    </row>
    <row r="18" spans="2:26" s="1" customFormat="1">
      <c r="B18" s="1" t="s">
        <v>259</v>
      </c>
      <c r="C18" s="1" t="s">
        <v>260</v>
      </c>
      <c r="D18" s="2"/>
      <c r="E18" s="3"/>
      <c r="F18" s="4"/>
      <c r="G18" s="4"/>
      <c r="H18" s="4"/>
    </row>
    <row r="19" spans="2:26" s="20" customFormat="1">
      <c r="B19" s="114" t="s">
        <v>75</v>
      </c>
      <c r="C19" s="20" t="s">
        <v>76</v>
      </c>
      <c r="D19" s="21">
        <v>102.23</v>
      </c>
      <c r="E19" s="22">
        <f>+D19*[33]Main!$K$3</f>
        <v>20147.20788088</v>
      </c>
      <c r="F19" s="22">
        <f>+[33]Main!$K$5-[33]Main!$K$6</f>
        <v>3155</v>
      </c>
      <c r="G19" s="22">
        <f>E19-F19</f>
        <v>16992.20788088</v>
      </c>
      <c r="H19" s="22"/>
      <c r="I19" s="23" t="s">
        <v>14</v>
      </c>
      <c r="J19" s="23"/>
      <c r="K19" s="24"/>
      <c r="L19" s="24"/>
      <c r="M19" s="24"/>
      <c r="N19" s="24"/>
      <c r="O19" s="26"/>
      <c r="P19" s="25"/>
      <c r="Q19" s="24"/>
      <c r="R19" s="24"/>
      <c r="S19" s="26"/>
      <c r="T19" s="25"/>
      <c r="U19" s="24"/>
      <c r="V19" s="24"/>
      <c r="W19" s="26"/>
    </row>
    <row r="20" spans="2:26" s="20" customFormat="1">
      <c r="B20" s="65" t="s">
        <v>258</v>
      </c>
      <c r="D20" s="21"/>
      <c r="E20" s="22"/>
      <c r="F20" s="23"/>
      <c r="G20" s="23"/>
      <c r="H20" s="23"/>
      <c r="I20" s="23"/>
      <c r="J20" s="23"/>
      <c r="K20" s="24"/>
      <c r="L20" s="24"/>
      <c r="M20" s="24"/>
      <c r="N20" s="24"/>
      <c r="O20" s="24"/>
      <c r="P20" s="24"/>
      <c r="Q20" s="24"/>
      <c r="R20" s="24"/>
      <c r="S20" s="24"/>
      <c r="T20" s="24"/>
      <c r="U20" s="24"/>
      <c r="V20" s="24"/>
      <c r="W20" s="24"/>
    </row>
    <row r="21" spans="2:26" s="20" customFormat="1">
      <c r="D21" s="21"/>
      <c r="E21" s="22"/>
      <c r="F21" s="23"/>
      <c r="G21" s="23"/>
      <c r="H21" s="23"/>
      <c r="I21" s="23"/>
      <c r="J21" s="23"/>
      <c r="K21" s="24"/>
      <c r="L21" s="24"/>
      <c r="M21" s="24"/>
      <c r="N21" s="24"/>
      <c r="O21" s="24"/>
      <c r="P21" s="24"/>
      <c r="Q21" s="24"/>
      <c r="R21" s="24"/>
      <c r="S21" s="24"/>
      <c r="T21" s="24"/>
      <c r="U21" s="24"/>
      <c r="V21" s="24"/>
      <c r="W21" s="24"/>
    </row>
    <row r="22" spans="2:26" s="20" customFormat="1">
      <c r="D22" s="21"/>
      <c r="E22" s="22"/>
      <c r="F22" s="23"/>
      <c r="G22" s="23"/>
      <c r="H22" s="23"/>
      <c r="I22" s="23"/>
      <c r="J22" s="23"/>
      <c r="K22" s="24"/>
      <c r="L22" s="24"/>
      <c r="M22" s="24"/>
      <c r="N22" s="24"/>
      <c r="O22" s="24"/>
      <c r="P22" s="24"/>
      <c r="Q22" s="24"/>
      <c r="R22" s="24"/>
      <c r="S22" s="24"/>
      <c r="T22" s="24"/>
      <c r="U22" s="24"/>
      <c r="V22" s="24"/>
      <c r="W22" s="24"/>
    </row>
    <row r="23" spans="2:26" s="20" customFormat="1">
      <c r="D23" s="21"/>
      <c r="E23" s="22"/>
      <c r="F23" s="23"/>
      <c r="G23" s="23"/>
      <c r="H23" s="23"/>
      <c r="I23" s="23"/>
      <c r="J23" s="23"/>
      <c r="K23" s="24"/>
      <c r="L23" s="24"/>
      <c r="M23" s="24"/>
      <c r="N23" s="24"/>
      <c r="O23" s="24"/>
      <c r="P23" s="24"/>
      <c r="Q23" s="24"/>
      <c r="R23" s="24"/>
      <c r="S23" s="24"/>
      <c r="T23" s="24"/>
      <c r="U23" s="24"/>
      <c r="V23" s="24"/>
      <c r="W23" s="24"/>
    </row>
    <row r="24" spans="2:26">
      <c r="B24" s="1" t="s">
        <v>54</v>
      </c>
      <c r="C24" s="1"/>
      <c r="D24" s="2"/>
      <c r="E24" s="3">
        <v>31500</v>
      </c>
      <c r="G24" s="52">
        <f>E24</f>
        <v>31500</v>
      </c>
      <c r="Y24" s="10">
        <v>270</v>
      </c>
      <c r="Z24" s="183">
        <f>G24/Y24</f>
        <v>116.66666666666667</v>
      </c>
    </row>
    <row r="25" spans="2:26" s="20" customFormat="1">
      <c r="B25" s="20" t="s">
        <v>58</v>
      </c>
      <c r="D25" s="21"/>
      <c r="E25" s="22">
        <v>27000</v>
      </c>
      <c r="F25" s="23"/>
      <c r="G25" s="23"/>
      <c r="H25" s="23"/>
      <c r="I25" s="23"/>
      <c r="J25" s="23"/>
      <c r="K25" s="24"/>
      <c r="L25" s="24"/>
      <c r="M25" s="24"/>
      <c r="N25" s="24"/>
      <c r="O25" s="24"/>
      <c r="P25" s="24"/>
      <c r="Q25" s="24"/>
      <c r="R25" s="24"/>
      <c r="S25" s="24"/>
      <c r="T25" s="24"/>
      <c r="U25" s="24"/>
      <c r="V25" s="24"/>
      <c r="W25" s="24"/>
    </row>
    <row r="26" spans="2:26" s="20" customFormat="1">
      <c r="B26" s="20" t="s">
        <v>110</v>
      </c>
      <c r="D26" s="21"/>
      <c r="E26" s="22">
        <v>10000</v>
      </c>
      <c r="F26" s="23"/>
      <c r="G26" s="23"/>
      <c r="H26" s="23"/>
      <c r="I26" s="23"/>
      <c r="J26" s="23"/>
      <c r="K26" s="24"/>
      <c r="L26" s="24"/>
      <c r="M26" s="24"/>
      <c r="N26" s="24"/>
      <c r="O26" s="24"/>
      <c r="P26" s="24"/>
      <c r="Q26" s="24"/>
      <c r="R26" s="24"/>
      <c r="S26" s="24"/>
      <c r="T26" s="24"/>
      <c r="U26" s="24"/>
      <c r="V26" s="24"/>
      <c r="W26" s="24"/>
    </row>
    <row r="27" spans="2:26">
      <c r="B27" s="63" t="s">
        <v>257</v>
      </c>
    </row>
    <row r="28" spans="2:26">
      <c r="B28" s="165" t="s">
        <v>473</v>
      </c>
    </row>
    <row r="29" spans="2:26">
      <c r="B29" s="192" t="s">
        <v>598</v>
      </c>
      <c r="E29" s="10">
        <v>100</v>
      </c>
      <c r="H29" s="192" t="s">
        <v>599</v>
      </c>
    </row>
  </sheetData>
  <hyperlinks>
    <hyperlink ref="A1" location="Main!A1" display="Main" xr:uid="{B2E999A0-B9C6-426F-B868-4B47C66D3C76}"/>
    <hyperlink ref="B14" r:id="rId1" xr:uid="{4D4AAA00-BFE8-4498-9D01-136889AF20D4}"/>
    <hyperlink ref="B3" r:id="rId2" xr:uid="{3976EBF1-944B-4446-8A82-A83B8F045357}"/>
    <hyperlink ref="B4" r:id="rId3" xr:uid="{F038AE55-03C6-4C11-AB9A-E55BDED9EAEB}"/>
    <hyperlink ref="B13" r:id="rId4" xr:uid="{7C332E55-E10B-4AF1-A314-5F96A0E9060B}"/>
    <hyperlink ref="B5" r:id="rId5" xr:uid="{D15C9016-D909-4B61-8E61-89DF546A9452}"/>
    <hyperlink ref="B19" r:id="rId6" xr:uid="{B43B07AD-918B-4E3C-B6FF-2D0A1726D08C}"/>
    <hyperlink ref="B9" r:id="rId7" xr:uid="{54D233D9-C949-4228-9F3B-6F4618FC7C4C}"/>
    <hyperlink ref="B6" r:id="rId8" xr:uid="{C317DCAB-F486-4C03-A390-844EB230A084}"/>
    <hyperlink ref="B7" r:id="rId9" xr:uid="{B27274A8-24B6-4DB9-826D-7802A0C1EEB1}"/>
  </hyperlinks>
  <pageMargins left="0.7" right="0.7" top="0.75" bottom="0.75" header="0.3" footer="0.3"/>
  <pageSetup orientation="portrait" r:id="rId1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5841C-1187-4786-8CDA-18459BF1140B}">
  <dimension ref="A1:X35"/>
  <sheetViews>
    <sheetView zoomScale="235" zoomScaleNormal="235" workbookViewId="0">
      <pane xSplit="2" ySplit="2" topLeftCell="C3" activePane="bottomRight" state="frozen"/>
      <selection pane="topRight" activeCell="C1" sqref="C1"/>
      <selection pane="bottomLeft" activeCell="A3" sqref="A3"/>
      <selection pane="bottomRight" activeCell="B8" sqref="B8"/>
    </sheetView>
  </sheetViews>
  <sheetFormatPr baseColWidth="10" defaultColWidth="9.1640625" defaultRowHeight="13"/>
  <cols>
    <col min="1" max="1" width="5" style="10" bestFit="1" customWidth="1"/>
    <col min="2" max="2" width="18.33203125" style="10" customWidth="1"/>
    <col min="3" max="3" width="10.5" style="10" bestFit="1" customWidth="1"/>
    <col min="4" max="9" width="9.1640625" style="68"/>
    <col min="10" max="16384" width="9.1640625" style="10"/>
  </cols>
  <sheetData>
    <row r="1" spans="1:24">
      <c r="A1" s="5" t="s">
        <v>146</v>
      </c>
    </row>
    <row r="2" spans="1:24">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row>
    <row r="3" spans="1:24" s="52" customFormat="1">
      <c r="A3" s="71" t="s">
        <v>261</v>
      </c>
      <c r="B3" s="52" t="s">
        <v>166</v>
      </c>
      <c r="C3" s="52" t="s">
        <v>167</v>
      </c>
      <c r="D3" s="69">
        <v>206.8</v>
      </c>
      <c r="E3" s="70">
        <v>427830</v>
      </c>
      <c r="F3" s="70"/>
      <c r="G3" s="70"/>
      <c r="H3" s="70"/>
      <c r="I3" s="70"/>
    </row>
    <row r="4" spans="1:24" s="52" customFormat="1">
      <c r="A4" s="71" t="s">
        <v>261</v>
      </c>
      <c r="B4" s="52" t="s">
        <v>168</v>
      </c>
      <c r="C4" s="112" t="s">
        <v>323</v>
      </c>
      <c r="D4" s="69">
        <v>340.89</v>
      </c>
      <c r="E4" s="70">
        <v>329430</v>
      </c>
      <c r="F4" s="70"/>
      <c r="G4" s="70"/>
      <c r="H4" s="70"/>
      <c r="I4" s="70"/>
    </row>
    <row r="5" spans="1:24" s="52" customFormat="1">
      <c r="A5" s="83" t="s">
        <v>261</v>
      </c>
      <c r="B5" s="83" t="s">
        <v>265</v>
      </c>
      <c r="C5" s="83" t="s">
        <v>266</v>
      </c>
      <c r="D5" s="69"/>
      <c r="E5" s="70"/>
      <c r="F5" s="70"/>
      <c r="G5" s="70"/>
      <c r="H5" s="70"/>
      <c r="I5" s="70"/>
    </row>
    <row r="6" spans="1:24" s="52" customFormat="1">
      <c r="A6" s="84" t="s">
        <v>261</v>
      </c>
      <c r="B6" s="84" t="s">
        <v>269</v>
      </c>
      <c r="C6" s="84" t="s">
        <v>270</v>
      </c>
      <c r="D6" s="69"/>
      <c r="E6" s="70"/>
      <c r="F6" s="70"/>
      <c r="G6" s="70"/>
      <c r="H6" s="70"/>
      <c r="I6" s="70"/>
    </row>
    <row r="7" spans="1:24" s="20" customFormat="1">
      <c r="A7" s="82" t="s">
        <v>261</v>
      </c>
      <c r="B7" s="142" t="s">
        <v>26</v>
      </c>
      <c r="C7" s="20" t="s">
        <v>27</v>
      </c>
      <c r="D7" s="21">
        <v>413.72</v>
      </c>
      <c r="E7" s="22">
        <f>+D7*H7</f>
        <v>116615.20633988002</v>
      </c>
      <c r="F7" s="22">
        <f>[34]Main!$L$5-[34]Main!$L$6</f>
        <v>-2851</v>
      </c>
      <c r="G7" s="22">
        <f>E7-F7</f>
        <v>119466.20633988002</v>
      </c>
      <c r="H7" s="22">
        <f>+[34]Main!$L$3</f>
        <v>281.86987900000003</v>
      </c>
      <c r="I7" s="131" t="s">
        <v>208</v>
      </c>
      <c r="J7" s="43">
        <v>44830</v>
      </c>
      <c r="K7" s="24"/>
      <c r="L7" s="24"/>
      <c r="M7" s="24"/>
      <c r="N7" s="24"/>
      <c r="O7" s="26"/>
      <c r="P7" s="25"/>
      <c r="Q7" s="24"/>
      <c r="R7" s="24"/>
      <c r="S7" s="26"/>
      <c r="T7" s="25"/>
      <c r="U7" s="24"/>
      <c r="V7" s="24"/>
      <c r="W7" s="26"/>
      <c r="X7" s="20">
        <v>1984</v>
      </c>
    </row>
    <row r="8" spans="1:24" s="52" customFormat="1">
      <c r="A8" s="84" t="s">
        <v>261</v>
      </c>
      <c r="B8" s="179" t="s">
        <v>31</v>
      </c>
      <c r="C8" s="57" t="s">
        <v>32</v>
      </c>
      <c r="D8" s="60">
        <v>65</v>
      </c>
      <c r="E8" s="3">
        <f>D8*H8</f>
        <v>74360</v>
      </c>
      <c r="F8" s="70">
        <f>[35]Main!$M$5-[35]Main!$M$6</f>
        <v>5469</v>
      </c>
      <c r="G8" s="22">
        <f>E8-F8</f>
        <v>68891</v>
      </c>
      <c r="H8" s="70">
        <f>[35]Main!$M$3</f>
        <v>1144</v>
      </c>
      <c r="I8" s="180" t="s">
        <v>390</v>
      </c>
      <c r="J8" s="43">
        <v>45069</v>
      </c>
    </row>
    <row r="9" spans="1:24">
      <c r="A9" s="87" t="s">
        <v>261</v>
      </c>
      <c r="B9" s="87" t="s">
        <v>273</v>
      </c>
      <c r="C9" s="87" t="s">
        <v>274</v>
      </c>
    </row>
    <row r="10" spans="1:24">
      <c r="A10" s="88" t="s">
        <v>261</v>
      </c>
      <c r="B10" s="88" t="s">
        <v>277</v>
      </c>
      <c r="C10" s="88" t="s">
        <v>278</v>
      </c>
    </row>
    <row r="11" spans="1:24" s="52" customFormat="1">
      <c r="A11" s="91" t="s">
        <v>261</v>
      </c>
      <c r="B11" s="59" t="s">
        <v>251</v>
      </c>
      <c r="C11" s="52" t="s">
        <v>165</v>
      </c>
      <c r="D11" s="69">
        <v>70.94</v>
      </c>
      <c r="E11" s="70">
        <v>41870</v>
      </c>
      <c r="F11" s="70"/>
      <c r="G11" s="70"/>
      <c r="H11" s="70"/>
      <c r="I11" s="70"/>
    </row>
    <row r="12" spans="1:24" s="52" customFormat="1">
      <c r="A12" s="91" t="s">
        <v>261</v>
      </c>
      <c r="B12" s="91" t="s">
        <v>279</v>
      </c>
      <c r="C12" s="91" t="s">
        <v>280</v>
      </c>
      <c r="D12" s="69"/>
      <c r="E12" s="70"/>
      <c r="F12" s="70"/>
      <c r="G12" s="70"/>
      <c r="H12" s="70"/>
      <c r="I12" s="70"/>
    </row>
    <row r="13" spans="1:24" s="52" customFormat="1">
      <c r="A13" s="93" t="s">
        <v>261</v>
      </c>
      <c r="B13" s="93" t="s">
        <v>281</v>
      </c>
      <c r="C13" s="93" t="s">
        <v>282</v>
      </c>
      <c r="D13" s="69"/>
      <c r="E13" s="70"/>
      <c r="F13" s="70"/>
      <c r="G13" s="70"/>
      <c r="H13" s="70"/>
      <c r="I13" s="70"/>
    </row>
    <row r="14" spans="1:24" s="52" customFormat="1">
      <c r="A14" s="99" t="s">
        <v>261</v>
      </c>
      <c r="B14" s="99" t="s">
        <v>297</v>
      </c>
      <c r="C14" s="99" t="s">
        <v>297</v>
      </c>
      <c r="D14" s="69"/>
      <c r="E14" s="70"/>
      <c r="F14" s="70"/>
      <c r="G14" s="70"/>
      <c r="H14" s="70"/>
      <c r="I14" s="70"/>
    </row>
    <row r="15" spans="1:24" s="52" customFormat="1">
      <c r="A15" s="99" t="s">
        <v>261</v>
      </c>
      <c r="B15" s="99" t="s">
        <v>298</v>
      </c>
      <c r="C15" s="99" t="s">
        <v>299</v>
      </c>
      <c r="D15" s="69"/>
      <c r="E15" s="70"/>
      <c r="F15" s="70"/>
      <c r="G15" s="70"/>
      <c r="H15" s="70"/>
      <c r="I15" s="70"/>
    </row>
    <row r="16" spans="1:24" s="52" customFormat="1">
      <c r="A16" s="104" t="s">
        <v>261</v>
      </c>
      <c r="B16" s="104" t="s">
        <v>302</v>
      </c>
      <c r="C16" s="104" t="s">
        <v>303</v>
      </c>
      <c r="D16" s="69"/>
      <c r="E16" s="70"/>
      <c r="F16" s="70"/>
      <c r="G16" s="70"/>
      <c r="H16" s="70"/>
      <c r="I16" s="70"/>
    </row>
    <row r="17" spans="1:23" s="52" customFormat="1">
      <c r="A17" s="106" t="s">
        <v>261</v>
      </c>
      <c r="B17" s="106" t="s">
        <v>305</v>
      </c>
      <c r="C17" s="106" t="s">
        <v>306</v>
      </c>
      <c r="D17" s="69"/>
      <c r="E17" s="70"/>
      <c r="F17" s="70"/>
      <c r="G17" s="70"/>
      <c r="H17" s="70"/>
      <c r="I17" s="70"/>
    </row>
    <row r="18" spans="1:23" s="52" customFormat="1">
      <c r="A18" s="109" t="s">
        <v>261</v>
      </c>
      <c r="B18" s="109" t="s">
        <v>315</v>
      </c>
      <c r="C18" s="109" t="s">
        <v>316</v>
      </c>
      <c r="D18" s="69"/>
      <c r="E18" s="70"/>
      <c r="F18" s="70"/>
      <c r="G18" s="70"/>
      <c r="H18" s="70"/>
      <c r="I18" s="70"/>
    </row>
    <row r="19" spans="1:23" s="52" customFormat="1">
      <c r="B19" s="57" t="s">
        <v>71</v>
      </c>
      <c r="C19" s="57" t="s">
        <v>72</v>
      </c>
      <c r="D19" s="60">
        <v>68.930000000000007</v>
      </c>
      <c r="E19" s="3">
        <v>18053</v>
      </c>
      <c r="F19" s="70"/>
      <c r="G19" s="70"/>
      <c r="H19" s="70"/>
      <c r="I19" s="70"/>
    </row>
    <row r="20" spans="1:23" s="52" customFormat="1">
      <c r="B20" s="52" t="s">
        <v>83</v>
      </c>
      <c r="C20" s="52" t="s">
        <v>84</v>
      </c>
      <c r="D20" s="69">
        <v>58.75</v>
      </c>
      <c r="E20" s="70">
        <v>14980</v>
      </c>
      <c r="F20" s="70"/>
      <c r="G20" s="70"/>
      <c r="H20" s="70"/>
      <c r="I20" s="70"/>
    </row>
    <row r="21" spans="1:23" s="52" customFormat="1">
      <c r="B21" s="57" t="s">
        <v>104</v>
      </c>
      <c r="C21" s="57" t="s">
        <v>105</v>
      </c>
      <c r="D21" s="60">
        <v>184.44</v>
      </c>
      <c r="E21" s="3">
        <v>10400</v>
      </c>
      <c r="F21" s="70"/>
      <c r="G21" s="70"/>
      <c r="H21" s="70"/>
      <c r="I21" s="70"/>
    </row>
    <row r="22" spans="1:23" s="20" customFormat="1">
      <c r="A22" s="108" t="s">
        <v>261</v>
      </c>
      <c r="B22" s="117" t="s">
        <v>309</v>
      </c>
      <c r="C22" s="108" t="s">
        <v>310</v>
      </c>
      <c r="D22" s="21">
        <v>175.2</v>
      </c>
      <c r="E22" s="22">
        <v>27500</v>
      </c>
      <c r="F22" s="22"/>
      <c r="G22" s="22"/>
      <c r="H22" s="22"/>
      <c r="I22" s="23"/>
      <c r="J22" s="23"/>
      <c r="K22" s="24"/>
      <c r="L22" s="24"/>
      <c r="M22" s="24"/>
      <c r="N22" s="24"/>
      <c r="O22" s="26"/>
      <c r="P22" s="25"/>
      <c r="Q22" s="24"/>
      <c r="R22" s="24"/>
      <c r="S22" s="26"/>
      <c r="T22" s="25"/>
      <c r="U22" s="24"/>
      <c r="V22" s="24"/>
      <c r="W22" s="26"/>
    </row>
    <row r="23" spans="1:23">
      <c r="B23" s="120" t="s">
        <v>65</v>
      </c>
      <c r="C23" s="20" t="s">
        <v>66</v>
      </c>
      <c r="D23" s="21">
        <v>312</v>
      </c>
      <c r="E23" s="22">
        <v>19090</v>
      </c>
    </row>
    <row r="24" spans="1:23">
      <c r="B24" s="185" t="s">
        <v>521</v>
      </c>
      <c r="C24" s="185" t="s">
        <v>522</v>
      </c>
    </row>
    <row r="25" spans="1:23">
      <c r="B25" s="185" t="s">
        <v>527</v>
      </c>
      <c r="C25" s="185" t="s">
        <v>528</v>
      </c>
    </row>
    <row r="27" spans="1:23" s="52" customFormat="1">
      <c r="B27" s="58" t="s">
        <v>33</v>
      </c>
      <c r="C27" s="58" t="s">
        <v>154</v>
      </c>
      <c r="D27" s="61">
        <v>0</v>
      </c>
      <c r="E27" s="9">
        <v>100000</v>
      </c>
      <c r="F27" s="70"/>
      <c r="G27" s="70"/>
      <c r="H27" s="70"/>
      <c r="I27" s="70"/>
    </row>
    <row r="28" spans="1:23">
      <c r="B28" s="166" t="s">
        <v>59</v>
      </c>
      <c r="C28" s="166"/>
      <c r="D28" s="167">
        <v>0</v>
      </c>
      <c r="E28" s="168">
        <v>26000</v>
      </c>
    </row>
    <row r="29" spans="1:23">
      <c r="B29" s="57" t="s">
        <v>87</v>
      </c>
      <c r="C29" s="57"/>
      <c r="D29" s="61">
        <v>0</v>
      </c>
      <c r="E29" s="3">
        <v>15000</v>
      </c>
    </row>
    <row r="30" spans="1:23">
      <c r="B30" s="56" t="s">
        <v>250</v>
      </c>
      <c r="D30" s="61">
        <v>0</v>
      </c>
      <c r="E30" s="68">
        <v>75</v>
      </c>
    </row>
    <row r="31" spans="1:23">
      <c r="B31" s="62" t="s">
        <v>252</v>
      </c>
      <c r="D31" s="61">
        <v>0</v>
      </c>
    </row>
    <row r="32" spans="1:23">
      <c r="B32" s="94" t="s">
        <v>283</v>
      </c>
      <c r="E32" s="68">
        <v>424</v>
      </c>
    </row>
    <row r="33" spans="2:5">
      <c r="B33" s="94" t="s">
        <v>285</v>
      </c>
      <c r="E33" s="68">
        <v>159.5</v>
      </c>
    </row>
    <row r="34" spans="2:5">
      <c r="B34" s="165" t="s">
        <v>474</v>
      </c>
    </row>
    <row r="35" spans="2:5">
      <c r="B35" s="165"/>
    </row>
  </sheetData>
  <hyperlinks>
    <hyperlink ref="A1" location="Main!A1" display="Main" xr:uid="{A1A6C7BE-B827-4E66-8B30-A4C4FF1A4224}"/>
    <hyperlink ref="B7" r:id="rId1" xr:uid="{B2FAC7EC-CB56-42A3-96CC-14E909698321}"/>
    <hyperlink ref="B8" r:id="rId2" xr:uid="{B88BB985-A6BE-418A-A3AF-D32B8C4FDEDC}"/>
  </hyperlinks>
  <pageMargins left="0.7" right="0.7" top="0.75" bottom="0.75" header="0.3" footer="0.3"/>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EF4EB-ECD2-418F-8A42-9502B535E912}">
  <dimension ref="A1:X32"/>
  <sheetViews>
    <sheetView zoomScale="175" zoomScaleNormal="175" workbookViewId="0">
      <pane xSplit="2" ySplit="2" topLeftCell="C18" activePane="bottomRight" state="frozen"/>
      <selection pane="topRight" activeCell="C1" sqref="C1"/>
      <selection pane="bottomLeft" activeCell="A3" sqref="A3"/>
      <selection pane="bottomRight" activeCell="L32" sqref="L32"/>
    </sheetView>
  </sheetViews>
  <sheetFormatPr baseColWidth="10" defaultColWidth="9.1640625" defaultRowHeight="13"/>
  <cols>
    <col min="1" max="1" width="5" style="10" bestFit="1" customWidth="1"/>
    <col min="2" max="2" width="11.83203125" style="10" customWidth="1"/>
    <col min="3" max="16384" width="9.1640625" style="10"/>
  </cols>
  <sheetData>
    <row r="1" spans="1:24">
      <c r="A1" s="5" t="s">
        <v>146</v>
      </c>
    </row>
    <row r="2" spans="1:24" s="72" customFormat="1">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c r="A3" s="72" t="s">
        <v>261</v>
      </c>
      <c r="B3" s="5" t="s">
        <v>11</v>
      </c>
      <c r="C3" s="1" t="s">
        <v>12</v>
      </c>
      <c r="D3" s="2">
        <v>98.24</v>
      </c>
      <c r="E3" s="3">
        <f>+D3*H3</f>
        <v>1014917.44</v>
      </c>
      <c r="F3" s="3">
        <f>[6]Main!$K$5-[6]Main!$K$6</f>
        <v>-257</v>
      </c>
      <c r="G3" s="3">
        <f>+E3-F3</f>
        <v>1015174.44</v>
      </c>
      <c r="H3" s="52">
        <f>+[6]Main!$K$3</f>
        <v>10331</v>
      </c>
      <c r="I3" s="4" t="s">
        <v>14</v>
      </c>
      <c r="J3" s="67">
        <v>44967</v>
      </c>
    </row>
    <row r="4" spans="1:24" s="20" customFormat="1">
      <c r="A4" s="72" t="s">
        <v>261</v>
      </c>
      <c r="B4" s="5" t="s">
        <v>17</v>
      </c>
      <c r="C4" s="20" t="s">
        <v>18</v>
      </c>
      <c r="D4" s="21">
        <v>115.9</v>
      </c>
      <c r="E4" s="22">
        <f>D4*[36]Main!$L$3</f>
        <v>310046.98749999999</v>
      </c>
      <c r="F4" s="22" cm="1">
        <f t="array" ref="F4">([36]Main!$L$5-[36]Main!$L$6)/RMB</f>
        <v>119719.43620178041</v>
      </c>
      <c r="G4" s="22">
        <f>+E4-F4</f>
        <v>190327.55129821959</v>
      </c>
      <c r="H4" s="22"/>
      <c r="I4" s="23" t="s">
        <v>14</v>
      </c>
      <c r="J4" s="23"/>
      <c r="K4" s="24"/>
      <c r="L4" s="24"/>
      <c r="M4" s="24"/>
      <c r="N4" s="24"/>
      <c r="O4" s="24"/>
      <c r="P4" s="25"/>
      <c r="Q4" s="24"/>
      <c r="R4" s="24"/>
      <c r="S4" s="26"/>
      <c r="T4" s="25"/>
      <c r="U4" s="24"/>
      <c r="V4" s="24"/>
      <c r="W4" s="26"/>
    </row>
    <row r="5" spans="1:24">
      <c r="A5" s="72" t="s">
        <v>261</v>
      </c>
      <c r="B5" s="5" t="s">
        <v>17</v>
      </c>
      <c r="C5" s="1" t="s">
        <v>18</v>
      </c>
      <c r="D5" s="2">
        <v>115.9</v>
      </c>
      <c r="E5" s="3">
        <f>D5*[36]Main!$L$3</f>
        <v>310046.98749999999</v>
      </c>
      <c r="F5" s="3" cm="1">
        <f t="array" ref="F5">([36]Main!$L$5-[36]Main!$L$6)/RMB</f>
        <v>119719.43620178041</v>
      </c>
      <c r="G5" s="3">
        <f>+E5-F5</f>
        <v>190327.55129821959</v>
      </c>
      <c r="I5" s="4" t="s">
        <v>14</v>
      </c>
    </row>
    <row r="6" spans="1:24">
      <c r="A6" s="82" t="s">
        <v>261</v>
      </c>
      <c r="B6" s="1" t="s">
        <v>28</v>
      </c>
      <c r="C6" s="1" t="s">
        <v>28</v>
      </c>
      <c r="D6" s="2">
        <v>65.180000000000007</v>
      </c>
      <c r="E6" s="3">
        <v>101795</v>
      </c>
    </row>
    <row r="7" spans="1:24">
      <c r="A7" s="82" t="s">
        <v>261</v>
      </c>
      <c r="B7" s="82" t="s">
        <v>262</v>
      </c>
      <c r="C7" s="82" t="s">
        <v>263</v>
      </c>
    </row>
    <row r="8" spans="1:24">
      <c r="A8" s="86" t="s">
        <v>261</v>
      </c>
      <c r="B8" s="11" t="s">
        <v>206</v>
      </c>
      <c r="C8" s="11" t="s">
        <v>207</v>
      </c>
    </row>
    <row r="9" spans="1:24">
      <c r="A9" s="87" t="s">
        <v>261</v>
      </c>
      <c r="B9" s="5" t="s">
        <v>34</v>
      </c>
      <c r="C9" s="10" t="s">
        <v>35</v>
      </c>
      <c r="D9" s="10">
        <v>116.42</v>
      </c>
      <c r="E9" s="52">
        <f>+D9*H9</f>
        <v>73714.487644859997</v>
      </c>
      <c r="F9" s="52">
        <f>+[37]Main!$L$5-[37]Main!$L$6</f>
        <v>7643.4470000000001</v>
      </c>
      <c r="G9" s="22">
        <f>E9-F9</f>
        <v>66071.040644859997</v>
      </c>
      <c r="H9" s="52">
        <f>+[37]Main!$L$3</f>
        <v>633.17718300000001</v>
      </c>
      <c r="I9" s="151" t="s">
        <v>359</v>
      </c>
      <c r="J9" s="67">
        <v>44971</v>
      </c>
    </row>
    <row r="10" spans="1:24">
      <c r="A10" s="86" t="s">
        <v>261</v>
      </c>
      <c r="B10" s="11" t="s">
        <v>204</v>
      </c>
      <c r="C10" s="11" t="s">
        <v>205</v>
      </c>
    </row>
    <row r="11" spans="1:24">
      <c r="A11" s="98" t="s">
        <v>261</v>
      </c>
      <c r="B11" s="98" t="s">
        <v>293</v>
      </c>
      <c r="C11" s="98" t="s">
        <v>294</v>
      </c>
    </row>
    <row r="12" spans="1:24">
      <c r="A12" s="96" t="s">
        <v>261</v>
      </c>
      <c r="B12" s="10" t="s">
        <v>42</v>
      </c>
      <c r="C12" s="10" t="s">
        <v>43</v>
      </c>
    </row>
    <row r="13" spans="1:24" s="20" customFormat="1">
      <c r="A13" s="98" t="s">
        <v>261</v>
      </c>
      <c r="B13" s="5" t="s">
        <v>36</v>
      </c>
      <c r="C13" s="20" t="s">
        <v>37</v>
      </c>
      <c r="D13" s="21">
        <v>36.71</v>
      </c>
      <c r="E13" s="22">
        <f>+D13*[38]Main!$M$3</f>
        <v>46254.6</v>
      </c>
      <c r="F13" s="22">
        <f>+[38]Main!$M$5-[38]Main!$M$6</f>
        <v>6335.1410000000005</v>
      </c>
      <c r="G13" s="22">
        <f t="shared" ref="G13" si="0">E13-F13</f>
        <v>39919.458999999995</v>
      </c>
      <c r="H13" s="22"/>
      <c r="I13" s="23" t="s">
        <v>14</v>
      </c>
      <c r="J13" s="23"/>
      <c r="K13" s="24"/>
      <c r="L13" s="24"/>
      <c r="M13" s="24"/>
      <c r="N13" s="24"/>
      <c r="O13" s="24"/>
      <c r="P13" s="25"/>
      <c r="Q13" s="24"/>
      <c r="R13" s="24"/>
      <c r="S13" s="26"/>
      <c r="T13" s="25"/>
      <c r="U13" s="24"/>
      <c r="V13" s="24"/>
      <c r="W13" s="26"/>
    </row>
    <row r="14" spans="1:24" s="20" customFormat="1">
      <c r="A14" s="98" t="s">
        <v>261</v>
      </c>
      <c r="B14" s="98" t="s">
        <v>295</v>
      </c>
      <c r="C14" s="98" t="s">
        <v>296</v>
      </c>
      <c r="D14" s="21"/>
      <c r="E14" s="22"/>
      <c r="F14" s="22"/>
      <c r="G14" s="22"/>
      <c r="H14" s="22"/>
      <c r="I14" s="23"/>
      <c r="J14" s="23"/>
      <c r="K14" s="24"/>
      <c r="L14" s="24"/>
      <c r="M14" s="24"/>
      <c r="N14" s="24"/>
      <c r="O14" s="24"/>
      <c r="P14" s="24"/>
      <c r="Q14" s="24"/>
      <c r="R14" s="24"/>
      <c r="S14" s="24"/>
      <c r="T14" s="24"/>
      <c r="U14" s="24"/>
      <c r="V14" s="24"/>
      <c r="W14" s="24"/>
    </row>
    <row r="15" spans="1:24">
      <c r="A15" s="108" t="s">
        <v>261</v>
      </c>
      <c r="B15" s="1" t="s">
        <v>60</v>
      </c>
      <c r="C15" s="1" t="s">
        <v>61</v>
      </c>
      <c r="D15" s="2">
        <v>71.66</v>
      </c>
      <c r="E15" s="3">
        <v>25171</v>
      </c>
    </row>
    <row r="16" spans="1:24">
      <c r="A16" s="108" t="s">
        <v>261</v>
      </c>
      <c r="B16" s="108" t="s">
        <v>311</v>
      </c>
      <c r="C16" s="108" t="s">
        <v>312</v>
      </c>
    </row>
    <row r="17" spans="1:23">
      <c r="A17" s="108" t="s">
        <v>261</v>
      </c>
      <c r="B17" s="108" t="s">
        <v>313</v>
      </c>
      <c r="C17" s="108" t="s">
        <v>314</v>
      </c>
    </row>
    <row r="18" spans="1:23">
      <c r="A18" s="110" t="s">
        <v>261</v>
      </c>
      <c r="B18" s="110" t="s">
        <v>317</v>
      </c>
      <c r="C18" s="110" t="s">
        <v>318</v>
      </c>
    </row>
    <row r="19" spans="1:23">
      <c r="A19" s="111" t="s">
        <v>261</v>
      </c>
      <c r="B19" s="111" t="s">
        <v>319</v>
      </c>
      <c r="C19" s="111" t="s">
        <v>320</v>
      </c>
    </row>
    <row r="20" spans="1:23">
      <c r="A20" s="134" t="s">
        <v>261</v>
      </c>
      <c r="B20" s="10" t="s">
        <v>161</v>
      </c>
      <c r="C20" s="10" t="s">
        <v>162</v>
      </c>
    </row>
    <row r="21" spans="1:23">
      <c r="B21" s="1" t="s">
        <v>97</v>
      </c>
      <c r="C21" s="1" t="s">
        <v>98</v>
      </c>
      <c r="D21" s="2">
        <v>2.5099999999999998</v>
      </c>
      <c r="E21" s="3">
        <v>12580</v>
      </c>
    </row>
    <row r="22" spans="1:23">
      <c r="B22" s="10" t="s">
        <v>163</v>
      </c>
      <c r="C22" s="10" t="s">
        <v>164</v>
      </c>
    </row>
    <row r="23" spans="1:23" s="20" customFormat="1">
      <c r="B23" s="20" t="s">
        <v>135</v>
      </c>
      <c r="C23" s="20" t="s">
        <v>136</v>
      </c>
      <c r="D23" s="21">
        <v>17.63</v>
      </c>
      <c r="E23" s="22">
        <v>6480</v>
      </c>
      <c r="F23" s="23"/>
      <c r="G23" s="23"/>
      <c r="H23" s="23"/>
      <c r="I23" s="23"/>
      <c r="J23" s="23"/>
      <c r="K23" s="24"/>
      <c r="L23" s="24"/>
      <c r="M23" s="24"/>
      <c r="N23" s="24"/>
      <c r="O23" s="24"/>
      <c r="P23" s="25"/>
      <c r="Q23" s="24"/>
      <c r="R23" s="24"/>
      <c r="S23" s="26"/>
      <c r="T23" s="25"/>
      <c r="U23" s="24"/>
      <c r="V23" s="24"/>
      <c r="W23" s="26"/>
    </row>
    <row r="24" spans="1:23">
      <c r="B24" s="5" t="s">
        <v>387</v>
      </c>
      <c r="C24" s="146" t="s">
        <v>388</v>
      </c>
      <c r="D24" s="10">
        <v>8.86</v>
      </c>
      <c r="E24" s="52">
        <f>+D24*H24</f>
        <v>963.51364147999993</v>
      </c>
      <c r="F24" s="52">
        <f>+[39]Main!$K$5-[39]Main!$K$6</f>
        <v>-1163.2909999999999</v>
      </c>
      <c r="G24" s="52">
        <f>+E24-F24</f>
        <v>2126.8046414800001</v>
      </c>
      <c r="H24" s="52">
        <f>+[39]Main!$K$3</f>
        <v>108.748718</v>
      </c>
      <c r="I24" s="150" t="s">
        <v>359</v>
      </c>
      <c r="J24" s="67">
        <v>44965</v>
      </c>
    </row>
    <row r="25" spans="1:23">
      <c r="B25" s="149" t="s">
        <v>389</v>
      </c>
    </row>
    <row r="29" spans="1:23">
      <c r="B29" s="1" t="s">
        <v>119</v>
      </c>
      <c r="C29" s="1"/>
      <c r="D29" s="2"/>
      <c r="E29" s="3">
        <v>8333</v>
      </c>
    </row>
    <row r="30" spans="1:23">
      <c r="B30" s="20" t="s">
        <v>64</v>
      </c>
      <c r="C30" s="20"/>
      <c r="D30" s="21"/>
      <c r="E30" s="22">
        <v>22000</v>
      </c>
    </row>
    <row r="31" spans="1:23">
      <c r="B31" s="20" t="s">
        <v>55</v>
      </c>
      <c r="C31" s="20"/>
      <c r="D31" s="21"/>
      <c r="E31" s="22">
        <v>30000</v>
      </c>
    </row>
    <row r="32" spans="1:23">
      <c r="B32" s="219" t="s">
        <v>1815</v>
      </c>
      <c r="L32" s="219" t="s">
        <v>1816</v>
      </c>
    </row>
  </sheetData>
  <hyperlinks>
    <hyperlink ref="A1" location="Main!A1" display="Main" xr:uid="{5E6A4119-6CB3-4DE8-85D8-71624588AB5F}"/>
    <hyperlink ref="B5" r:id="rId1" xr:uid="{1DBE1AD0-E144-4B11-A369-C38208461D50}"/>
    <hyperlink ref="B3" r:id="rId2" xr:uid="{9E979F32-3FB9-4155-8C38-6368365757C8}"/>
    <hyperlink ref="B13" r:id="rId3" xr:uid="{7B3BF246-9F57-4E65-999A-345E6DC43A15}"/>
    <hyperlink ref="B4" r:id="rId4" xr:uid="{EBAD1208-6B7E-4686-85C8-90DFDB7B9D36}"/>
    <hyperlink ref="B24" r:id="rId5" xr:uid="{E112D5EE-DF74-4C8E-8A8A-40FA1E1DA6A2}"/>
    <hyperlink ref="B9" r:id="rId6" xr:uid="{0E4A8717-CB7F-480C-A1D1-B315F728D1CA}"/>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07CF4-895A-4CDE-92B2-BF34D258BE21}">
  <dimension ref="A1:H10"/>
  <sheetViews>
    <sheetView zoomScale="190" zoomScaleNormal="190" workbookViewId="0">
      <pane xSplit="2" ySplit="2" topLeftCell="C3" activePane="bottomRight" state="frozen"/>
      <selection pane="topRight" activeCell="C1" sqref="C1"/>
      <selection pane="bottomLeft" activeCell="A3" sqref="A3"/>
      <selection pane="bottomRight" activeCell="D10" sqref="D10"/>
    </sheetView>
  </sheetViews>
  <sheetFormatPr baseColWidth="10" defaultColWidth="9.1640625" defaultRowHeight="13"/>
  <cols>
    <col min="1" max="1" width="5" style="10" bestFit="1" customWidth="1"/>
    <col min="2" max="2" width="17" style="10" bestFit="1" customWidth="1"/>
    <col min="3" max="16384" width="9.1640625" style="10"/>
  </cols>
  <sheetData>
    <row r="1" spans="1:8">
      <c r="A1" s="5" t="s">
        <v>146</v>
      </c>
    </row>
    <row r="2" spans="1:8">
      <c r="B2" s="10" t="s">
        <v>0</v>
      </c>
      <c r="C2" s="10" t="s">
        <v>1</v>
      </c>
      <c r="D2" s="10" t="s">
        <v>2</v>
      </c>
      <c r="E2" s="10" t="s">
        <v>3</v>
      </c>
    </row>
    <row r="3" spans="1:8">
      <c r="A3" s="89" t="s">
        <v>261</v>
      </c>
      <c r="B3" s="10" t="s">
        <v>155</v>
      </c>
      <c r="C3" s="10" t="s">
        <v>156</v>
      </c>
    </row>
    <row r="4" spans="1:8">
      <c r="A4" s="90" t="s">
        <v>261</v>
      </c>
      <c r="B4" s="10" t="s">
        <v>160</v>
      </c>
      <c r="C4" s="10" t="s">
        <v>159</v>
      </c>
    </row>
    <row r="5" spans="1:8">
      <c r="A5" s="92" t="s">
        <v>261</v>
      </c>
      <c r="B5" s="10" t="s">
        <v>157</v>
      </c>
      <c r="C5" s="10" t="s">
        <v>158</v>
      </c>
    </row>
    <row r="6" spans="1:8">
      <c r="A6" s="101" t="s">
        <v>261</v>
      </c>
      <c r="B6" s="101" t="s">
        <v>300</v>
      </c>
      <c r="C6" s="101" t="s">
        <v>301</v>
      </c>
    </row>
    <row r="7" spans="1:8" s="1" customFormat="1">
      <c r="B7" s="1" t="s">
        <v>81</v>
      </c>
      <c r="C7" s="1" t="s">
        <v>82</v>
      </c>
      <c r="D7" s="2">
        <v>128.05000000000001</v>
      </c>
      <c r="E7" s="3">
        <v>16470</v>
      </c>
      <c r="F7" s="4"/>
      <c r="G7" s="4"/>
      <c r="H7" s="4"/>
    </row>
    <row r="8" spans="1:8">
      <c r="B8" s="10" t="s">
        <v>197</v>
      </c>
      <c r="C8" s="10" t="s">
        <v>198</v>
      </c>
    </row>
    <row r="9" spans="1:8">
      <c r="B9" s="120" t="s">
        <v>189</v>
      </c>
      <c r="C9" s="20" t="s">
        <v>190</v>
      </c>
      <c r="D9" s="21">
        <v>181.71</v>
      </c>
      <c r="E9" s="22">
        <v>25220</v>
      </c>
    </row>
    <row r="10" spans="1:8">
      <c r="B10" s="185" t="s">
        <v>531</v>
      </c>
      <c r="C10" s="185" t="s">
        <v>532</v>
      </c>
    </row>
  </sheetData>
  <hyperlinks>
    <hyperlink ref="A1" location="Main!A1" display="Main" xr:uid="{8911E9A3-ACF0-4B55-98BB-1EFB77BE02DE}"/>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0321-4AE5-45B4-8FB8-F8D64CF71E0E}">
  <dimension ref="A1:C7"/>
  <sheetViews>
    <sheetView workbookViewId="0"/>
  </sheetViews>
  <sheetFormatPr baseColWidth="10" defaultColWidth="9.1640625" defaultRowHeight="13"/>
  <cols>
    <col min="1" max="1" width="5" style="45" bestFit="1" customWidth="1"/>
    <col min="2" max="16384" width="9.1640625" style="45"/>
  </cols>
  <sheetData>
    <row r="1" spans="1:3">
      <c r="A1" s="5" t="s">
        <v>146</v>
      </c>
    </row>
    <row r="2" spans="1:3">
      <c r="B2" s="45" t="s">
        <v>150</v>
      </c>
      <c r="C2" s="45">
        <v>7.8498000000000001</v>
      </c>
    </row>
    <row r="3" spans="1:3">
      <c r="B3" s="45" t="s">
        <v>151</v>
      </c>
      <c r="C3" s="45">
        <v>6.74</v>
      </c>
    </row>
    <row r="4" spans="1:3">
      <c r="B4" s="45" t="s">
        <v>215</v>
      </c>
      <c r="C4" s="45">
        <v>1.01</v>
      </c>
    </row>
    <row r="5" spans="1:3">
      <c r="B5" s="45" t="s">
        <v>233</v>
      </c>
      <c r="C5" s="45">
        <v>10.3437</v>
      </c>
    </row>
    <row r="6" spans="1:3">
      <c r="B6" s="46" t="s">
        <v>241</v>
      </c>
      <c r="C6" s="45">
        <v>136.93</v>
      </c>
    </row>
    <row r="7" spans="1:3">
      <c r="B7" s="46" t="s">
        <v>242</v>
      </c>
      <c r="C7" s="45">
        <v>1.2991999999999999</v>
      </c>
    </row>
  </sheetData>
  <hyperlinks>
    <hyperlink ref="A1" location="Main!A1" display="Main" xr:uid="{CA8672F6-BB57-4BF8-83E1-A8CF0133433F}"/>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5831F-FB2E-134D-9E1A-7188BFBB74B9}">
  <dimension ref="A1:G11"/>
  <sheetViews>
    <sheetView zoomScaleNormal="100" zoomScaleSheetLayoutView="100" workbookViewId="0">
      <pane xSplit="2" ySplit="2" topLeftCell="C3" activePane="bottomRight" state="frozen"/>
      <selection pane="topRight" activeCell="C1" sqref="C1"/>
      <selection pane="bottomLeft" activeCell="A3" sqref="A3"/>
      <selection pane="bottomRight" activeCell="D12" sqref="D12"/>
    </sheetView>
  </sheetViews>
  <sheetFormatPr baseColWidth="10" defaultColWidth="9.1640625" defaultRowHeight="13"/>
  <cols>
    <col min="1" max="1" width="5" style="6" bestFit="1" customWidth="1"/>
    <col min="2" max="2" width="19.6640625" style="6" bestFit="1" customWidth="1"/>
    <col min="3" max="3" width="9.1640625" style="7"/>
    <col min="4" max="16384" width="9.1640625" style="6"/>
  </cols>
  <sheetData>
    <row r="1" spans="1:7">
      <c r="A1" s="5" t="s">
        <v>146</v>
      </c>
    </row>
    <row r="2" spans="1:7">
      <c r="B2" s="6" t="s">
        <v>0</v>
      </c>
      <c r="C2" s="7" t="s">
        <v>149</v>
      </c>
      <c r="D2" s="12" t="s">
        <v>211</v>
      </c>
      <c r="E2" s="46" t="s">
        <v>222</v>
      </c>
      <c r="F2" s="46" t="s">
        <v>244</v>
      </c>
      <c r="G2" s="53" t="s">
        <v>248</v>
      </c>
    </row>
    <row r="3" spans="1:7">
      <c r="B3" s="8" t="s">
        <v>33</v>
      </c>
      <c r="C3" s="7">
        <v>100000</v>
      </c>
      <c r="D3" s="12" t="s">
        <v>212</v>
      </c>
    </row>
    <row r="4" spans="1:7">
      <c r="B4" s="6" t="s">
        <v>87</v>
      </c>
      <c r="C4" s="7">
        <v>15000</v>
      </c>
      <c r="D4" s="12" t="s">
        <v>212</v>
      </c>
    </row>
    <row r="5" spans="1:7">
      <c r="B5" s="6" t="s">
        <v>124</v>
      </c>
      <c r="C5" s="7">
        <v>8000</v>
      </c>
      <c r="D5" s="12" t="s">
        <v>213</v>
      </c>
    </row>
    <row r="6" spans="1:7">
      <c r="B6" s="6" t="s">
        <v>144</v>
      </c>
      <c r="D6" s="12" t="s">
        <v>214</v>
      </c>
    </row>
    <row r="7" spans="1:7">
      <c r="B7" s="6" t="s">
        <v>145</v>
      </c>
      <c r="D7" s="12" t="s">
        <v>214</v>
      </c>
    </row>
    <row r="8" spans="1:7">
      <c r="B8" s="12" t="s">
        <v>209</v>
      </c>
      <c r="D8" s="12" t="s">
        <v>210</v>
      </c>
    </row>
    <row r="9" spans="1:7">
      <c r="B9" s="46" t="s">
        <v>243</v>
      </c>
      <c r="D9" s="46" t="s">
        <v>212</v>
      </c>
      <c r="E9" s="6">
        <v>2021</v>
      </c>
      <c r="F9" s="46" t="s">
        <v>245</v>
      </c>
      <c r="G9" s="53" t="s">
        <v>249</v>
      </c>
    </row>
    <row r="10" spans="1:7">
      <c r="B10" s="53" t="s">
        <v>246</v>
      </c>
      <c r="D10" s="53" t="s">
        <v>247</v>
      </c>
      <c r="E10" s="6">
        <v>2021</v>
      </c>
      <c r="G10" s="53" t="s">
        <v>249</v>
      </c>
    </row>
    <row r="11" spans="1:7">
      <c r="B11" s="162" t="s">
        <v>399</v>
      </c>
      <c r="D11" s="162" t="s">
        <v>400</v>
      </c>
    </row>
  </sheetData>
  <hyperlinks>
    <hyperlink ref="A1" location="Main!A1" display="Main" xr:uid="{F0FD3AE8-EA92-47CC-9713-F9163090CCA8}"/>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6</vt:i4>
      </vt:variant>
    </vt:vector>
  </HeadingPairs>
  <TitlesOfParts>
    <vt:vector size="22" baseType="lpstr">
      <vt:lpstr>People</vt:lpstr>
      <vt:lpstr>Glossary</vt:lpstr>
      <vt:lpstr>Historical</vt:lpstr>
      <vt:lpstr>Main</vt:lpstr>
      <vt:lpstr>Enterprise-Cloud</vt:lpstr>
      <vt:lpstr>Social-Dating</vt:lpstr>
      <vt:lpstr>Simulation-Technical Design</vt:lpstr>
      <vt:lpstr>AI Investors</vt:lpstr>
      <vt:lpstr>AI</vt:lpstr>
      <vt:lpstr>Revenue</vt:lpstr>
      <vt:lpstr>Media-Games-Design</vt:lpstr>
      <vt:lpstr>Fintech</vt:lpstr>
      <vt:lpstr>Ecommerce</vt:lpstr>
      <vt:lpstr>Security</vt:lpstr>
      <vt:lpstr>FX</vt:lpstr>
      <vt:lpstr>Private</vt:lpstr>
      <vt:lpstr>CAD</vt:lpstr>
      <vt:lpstr>EUR</vt:lpstr>
      <vt:lpstr>HKD</vt:lpstr>
      <vt:lpstr>JPY</vt:lpstr>
      <vt:lpstr>RMB</vt:lpstr>
      <vt:lpstr>SEK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2022-07-14T18:55:24Z</dcterms:created>
  <dcterms:modified xsi:type="dcterms:W3CDTF">2023-07-07T23:18:24Z</dcterms:modified>
  <cp:category/>
  <cp:contentStatus/>
</cp:coreProperties>
</file>