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4D811A9-88CE-4FD7-82CF-A457A1BB27ED}" xr6:coauthVersionLast="47" xr6:coauthVersionMax="47" xr10:uidLastSave="{00000000-0000-0000-0000-000000000000}"/>
  <bookViews>
    <workbookView xWindow="9060" yWindow="1485" windowWidth="28680" windowHeight="19260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Skyriz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45" i="1" l="1"/>
  <c r="AW45" i="1"/>
  <c r="AV45" i="1"/>
  <c r="AU45" i="1"/>
  <c r="AX43" i="1"/>
  <c r="AW43" i="1"/>
  <c r="AV43" i="1"/>
  <c r="AU43" i="1"/>
  <c r="AX44" i="1"/>
  <c r="AW44" i="1"/>
  <c r="AV44" i="1"/>
  <c r="AU44" i="1"/>
  <c r="AU47" i="1"/>
  <c r="AV47" i="1"/>
  <c r="AW47" i="1"/>
  <c r="AX47" i="1"/>
  <c r="AU48" i="1"/>
  <c r="AW48" i="1"/>
  <c r="AX48" i="1"/>
  <c r="AU50" i="1"/>
  <c r="AW50" i="1"/>
  <c r="AW52" i="1" s="1"/>
  <c r="AX50" i="1"/>
  <c r="AX51" i="1" s="1"/>
  <c r="AX66" i="1" s="1"/>
  <c r="AU51" i="1"/>
  <c r="AU66" i="1" s="1"/>
  <c r="AW51" i="1"/>
  <c r="AW66" i="1" s="1"/>
  <c r="AU52" i="1"/>
  <c r="AU54" i="1"/>
  <c r="AV54" i="1"/>
  <c r="AW54" i="1"/>
  <c r="AX54" i="1"/>
  <c r="AU26" i="1"/>
  <c r="AV26" i="1" s="1"/>
  <c r="AW26" i="1" s="1"/>
  <c r="AX26" i="1" s="1"/>
  <c r="AU25" i="1"/>
  <c r="AV25" i="1" s="1"/>
  <c r="AW25" i="1" s="1"/>
  <c r="AX25" i="1" s="1"/>
  <c r="AX24" i="1"/>
  <c r="AW24" i="1"/>
  <c r="AV24" i="1"/>
  <c r="AU24" i="1"/>
  <c r="AU23" i="1"/>
  <c r="AV23" i="1" s="1"/>
  <c r="AW23" i="1" s="1"/>
  <c r="AX23" i="1" s="1"/>
  <c r="AX22" i="1"/>
  <c r="AW22" i="1"/>
  <c r="AV22" i="1"/>
  <c r="AU22" i="1"/>
  <c r="AX21" i="1"/>
  <c r="AW21" i="1"/>
  <c r="AV21" i="1"/>
  <c r="AU21" i="1"/>
  <c r="AX20" i="1"/>
  <c r="AW20" i="1"/>
  <c r="AV20" i="1"/>
  <c r="AU20" i="1"/>
  <c r="AU19" i="1"/>
  <c r="AV19" i="1" s="1"/>
  <c r="AW19" i="1" s="1"/>
  <c r="AX19" i="1" s="1"/>
  <c r="AX18" i="1"/>
  <c r="AW18" i="1"/>
  <c r="AV18" i="1"/>
  <c r="AU18" i="1"/>
  <c r="AX17" i="1"/>
  <c r="AW17" i="1"/>
  <c r="AV17" i="1"/>
  <c r="AU17" i="1"/>
  <c r="AX16" i="1"/>
  <c r="AW16" i="1"/>
  <c r="AV16" i="1"/>
  <c r="AU16" i="1"/>
  <c r="AX15" i="1"/>
  <c r="AW15" i="1"/>
  <c r="AV15" i="1"/>
  <c r="AU15" i="1"/>
  <c r="AX14" i="1"/>
  <c r="AW14" i="1"/>
  <c r="AV14" i="1"/>
  <c r="AU14" i="1"/>
  <c r="AX13" i="1"/>
  <c r="AW13" i="1"/>
  <c r="AV13" i="1"/>
  <c r="AU13" i="1"/>
  <c r="AX12" i="1"/>
  <c r="AW12" i="1"/>
  <c r="AV12" i="1"/>
  <c r="AU12" i="1"/>
  <c r="AX11" i="1"/>
  <c r="AW11" i="1"/>
  <c r="AV11" i="1"/>
  <c r="AU11" i="1"/>
  <c r="AX10" i="1"/>
  <c r="AW10" i="1"/>
  <c r="AV10" i="1"/>
  <c r="AU10" i="1"/>
  <c r="AX9" i="1"/>
  <c r="AW9" i="1"/>
  <c r="AV9" i="1"/>
  <c r="AU9" i="1"/>
  <c r="AX8" i="1"/>
  <c r="AW8" i="1"/>
  <c r="AV8" i="1"/>
  <c r="AU8" i="1"/>
  <c r="AT8" i="1"/>
  <c r="AX7" i="1"/>
  <c r="AW7" i="1"/>
  <c r="AV7" i="1"/>
  <c r="AU7" i="1"/>
  <c r="AX5" i="1"/>
  <c r="AX58" i="1" s="1"/>
  <c r="AW5" i="1"/>
  <c r="AV5" i="1"/>
  <c r="AU5" i="1"/>
  <c r="AT5" i="1"/>
  <c r="AX41" i="1"/>
  <c r="AW41" i="1"/>
  <c r="AV41" i="1"/>
  <c r="AU41" i="1"/>
  <c r="AT41" i="1"/>
  <c r="AS49" i="1"/>
  <c r="AS44" i="1"/>
  <c r="AX63" i="1"/>
  <c r="AW63" i="1"/>
  <c r="AV63" i="1"/>
  <c r="AU63" i="1"/>
  <c r="AX62" i="1"/>
  <c r="AW62" i="1"/>
  <c r="AV62" i="1"/>
  <c r="AU62" i="1"/>
  <c r="AX61" i="1"/>
  <c r="AW61" i="1"/>
  <c r="AV61" i="1"/>
  <c r="AU61" i="1"/>
  <c r="AX60" i="1"/>
  <c r="AW60" i="1"/>
  <c r="AV60" i="1"/>
  <c r="AU60" i="1"/>
  <c r="AX59" i="1"/>
  <c r="AW59" i="1"/>
  <c r="AV59" i="1"/>
  <c r="AU59" i="1"/>
  <c r="AW58" i="1"/>
  <c r="AV58" i="1"/>
  <c r="K6" i="2"/>
  <c r="K5" i="2"/>
  <c r="AS42" i="1"/>
  <c r="AR49" i="1"/>
  <c r="AT49" i="1" s="1"/>
  <c r="AK63" i="1"/>
  <c r="AL63" i="1"/>
  <c r="AM63" i="1"/>
  <c r="AN63" i="1"/>
  <c r="AO63" i="1"/>
  <c r="AP63" i="1"/>
  <c r="AQ63" i="1"/>
  <c r="AR63" i="1"/>
  <c r="AS63" i="1"/>
  <c r="AS62" i="1"/>
  <c r="AS61" i="1"/>
  <c r="AS60" i="1"/>
  <c r="AS59" i="1"/>
  <c r="AS58" i="1"/>
  <c r="BJ9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8" i="1"/>
  <c r="BJ7" i="1"/>
  <c r="BJ5" i="1"/>
  <c r="BJ3" i="1" s="1"/>
  <c r="AC49" i="1"/>
  <c r="AG49" i="1"/>
  <c r="AK60" i="1"/>
  <c r="AK59" i="1"/>
  <c r="AK58" i="1"/>
  <c r="AC47" i="1"/>
  <c r="AC44" i="1"/>
  <c r="AG41" i="1"/>
  <c r="AG42" i="1" s="1"/>
  <c r="AG47" i="1"/>
  <c r="AD49" i="1"/>
  <c r="AH49" i="1"/>
  <c r="AD47" i="1"/>
  <c r="AD44" i="1"/>
  <c r="AL60" i="1"/>
  <c r="AL59" i="1"/>
  <c r="AL58" i="1"/>
  <c r="AH47" i="1"/>
  <c r="AH41" i="1"/>
  <c r="AH42" i="1" s="1"/>
  <c r="AH44" i="1" s="1"/>
  <c r="AH65" i="1" s="1"/>
  <c r="AE47" i="1"/>
  <c r="AE44" i="1"/>
  <c r="AI49" i="1"/>
  <c r="AM60" i="1"/>
  <c r="AM59" i="1"/>
  <c r="AM58" i="1"/>
  <c r="AI47" i="1"/>
  <c r="AI41" i="1"/>
  <c r="AI42" i="1" s="1"/>
  <c r="AF49" i="1"/>
  <c r="AF47" i="1"/>
  <c r="AF44" i="1"/>
  <c r="AJ49" i="1"/>
  <c r="AN62" i="1"/>
  <c r="AN61" i="1"/>
  <c r="AN60" i="1"/>
  <c r="AN59" i="1"/>
  <c r="AN58" i="1"/>
  <c r="AJ47" i="1"/>
  <c r="AJ41" i="1"/>
  <c r="AJ42" i="1"/>
  <c r="AJ44" i="1" s="1"/>
  <c r="AJ65" i="1" s="1"/>
  <c r="AR78" i="1"/>
  <c r="AR83" i="1" s="1"/>
  <c r="AR74" i="1"/>
  <c r="AR69" i="1"/>
  <c r="BK54" i="1"/>
  <c r="BK49" i="1"/>
  <c r="BK46" i="1"/>
  <c r="BK45" i="1"/>
  <c r="BK43" i="1"/>
  <c r="BK40" i="1"/>
  <c r="BK39" i="1"/>
  <c r="BK38" i="1"/>
  <c r="BK30" i="1"/>
  <c r="BK37" i="1"/>
  <c r="BK29" i="1"/>
  <c r="BK35" i="1"/>
  <c r="BK34" i="1"/>
  <c r="BK33" i="1"/>
  <c r="BK32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3" i="1" s="1"/>
  <c r="BK11" i="1"/>
  <c r="BK10" i="1"/>
  <c r="BK9" i="1"/>
  <c r="BK8" i="1"/>
  <c r="BK7" i="1"/>
  <c r="BK5" i="1"/>
  <c r="BL40" i="1"/>
  <c r="BL39" i="1"/>
  <c r="BL38" i="1"/>
  <c r="BL30" i="1"/>
  <c r="BL37" i="1"/>
  <c r="BL29" i="1"/>
  <c r="BL35" i="1"/>
  <c r="BL34" i="1"/>
  <c r="BL33" i="1"/>
  <c r="BL32" i="1"/>
  <c r="AT26" i="1"/>
  <c r="BL26" i="1" s="1"/>
  <c r="BM26" i="1" s="1"/>
  <c r="BN26" i="1" s="1"/>
  <c r="BO26" i="1" s="1"/>
  <c r="BP26" i="1" s="1"/>
  <c r="BQ26" i="1" s="1"/>
  <c r="BR26" i="1" s="1"/>
  <c r="BS26" i="1" s="1"/>
  <c r="BT26" i="1" s="1"/>
  <c r="AT25" i="1"/>
  <c r="AT24" i="1"/>
  <c r="AT22" i="1"/>
  <c r="BL22" i="1"/>
  <c r="BM22" i="1" s="1"/>
  <c r="BN22" i="1" s="1"/>
  <c r="BO22" i="1" s="1"/>
  <c r="BP22" i="1" s="1"/>
  <c r="BQ22" i="1" s="1"/>
  <c r="BR22" i="1" s="1"/>
  <c r="BS22" i="1" s="1"/>
  <c r="BT22" i="1" s="1"/>
  <c r="AT21" i="1"/>
  <c r="AT20" i="1"/>
  <c r="BL20" i="1" s="1"/>
  <c r="BM20" i="1" s="1"/>
  <c r="BN20" i="1" s="1"/>
  <c r="BO20" i="1" s="1"/>
  <c r="BP20" i="1" s="1"/>
  <c r="BQ20" i="1" s="1"/>
  <c r="BR20" i="1" s="1"/>
  <c r="BS20" i="1" s="1"/>
  <c r="BT20" i="1" s="1"/>
  <c r="AT19" i="1"/>
  <c r="BL19" i="1" s="1"/>
  <c r="BM19" i="1" s="1"/>
  <c r="BN19" i="1" s="1"/>
  <c r="BO19" i="1" s="1"/>
  <c r="BP19" i="1" s="1"/>
  <c r="BQ19" i="1" s="1"/>
  <c r="BR19" i="1" s="1"/>
  <c r="BS19" i="1" s="1"/>
  <c r="BT19" i="1" s="1"/>
  <c r="AT18" i="1"/>
  <c r="BL18" i="1" s="1"/>
  <c r="BM18" i="1" s="1"/>
  <c r="BN18" i="1" s="1"/>
  <c r="BO18" i="1" s="1"/>
  <c r="BP18" i="1" s="1"/>
  <c r="BQ18" i="1" s="1"/>
  <c r="BR18" i="1" s="1"/>
  <c r="BS18" i="1" s="1"/>
  <c r="BT18" i="1" s="1"/>
  <c r="AT17" i="1"/>
  <c r="BL17" i="1"/>
  <c r="BM17" i="1" s="1"/>
  <c r="BN17" i="1" s="1"/>
  <c r="BO17" i="1" s="1"/>
  <c r="BP17" i="1" s="1"/>
  <c r="BQ17" i="1" s="1"/>
  <c r="BR17" i="1" s="1"/>
  <c r="BS17" i="1" s="1"/>
  <c r="BT17" i="1" s="1"/>
  <c r="AT16" i="1"/>
  <c r="AT15" i="1"/>
  <c r="AT14" i="1"/>
  <c r="AT13" i="1"/>
  <c r="BL13" i="1"/>
  <c r="BM13" i="1" s="1"/>
  <c r="BN13" i="1" s="1"/>
  <c r="BO13" i="1" s="1"/>
  <c r="BP13" i="1" s="1"/>
  <c r="BQ13" i="1" s="1"/>
  <c r="BR13" i="1" s="1"/>
  <c r="BS13" i="1" s="1"/>
  <c r="BT13" i="1" s="1"/>
  <c r="AT12" i="1"/>
  <c r="AT63" i="1" s="1"/>
  <c r="AT11" i="1"/>
  <c r="AT46" i="1"/>
  <c r="BL46" i="1"/>
  <c r="AT45" i="1"/>
  <c r="AT54" i="1"/>
  <c r="AQ62" i="1"/>
  <c r="AP62" i="1"/>
  <c r="AO62" i="1"/>
  <c r="AQ61" i="1"/>
  <c r="AP61" i="1"/>
  <c r="AO61" i="1"/>
  <c r="AR62" i="1"/>
  <c r="AR61" i="1"/>
  <c r="AT10" i="1"/>
  <c r="AT62" i="1" s="1"/>
  <c r="AT9" i="1"/>
  <c r="AT61" i="1" s="1"/>
  <c r="AT60" i="1"/>
  <c r="AT7" i="1"/>
  <c r="AT59" i="1" s="1"/>
  <c r="AT58" i="1"/>
  <c r="AR60" i="1"/>
  <c r="AR59" i="1"/>
  <c r="AR58" i="1"/>
  <c r="AR47" i="1"/>
  <c r="AR41" i="1"/>
  <c r="AR42" i="1" s="1"/>
  <c r="AR44" i="1" s="1"/>
  <c r="AR65" i="1" s="1"/>
  <c r="AO60" i="1"/>
  <c r="AO59" i="1"/>
  <c r="AO58" i="1"/>
  <c r="AK47" i="1"/>
  <c r="AK41" i="1"/>
  <c r="AK42" i="1" s="1"/>
  <c r="AP60" i="1"/>
  <c r="AP59" i="1"/>
  <c r="AQ59" i="1"/>
  <c r="AQ60" i="1"/>
  <c r="AP58" i="1"/>
  <c r="AL47" i="1"/>
  <c r="AL41" i="1"/>
  <c r="AL42" i="1" s="1"/>
  <c r="AL44" i="1" s="1"/>
  <c r="AM41" i="1"/>
  <c r="AQ58" i="1"/>
  <c r="AN51" i="1"/>
  <c r="AN47" i="1"/>
  <c r="AN41" i="1"/>
  <c r="AN42" i="1" s="1"/>
  <c r="AX52" i="1" l="1"/>
  <c r="AW53" i="1"/>
  <c r="AV48" i="1"/>
  <c r="AV50" i="1" s="1"/>
  <c r="AU53" i="1"/>
  <c r="AX53" i="1"/>
  <c r="AV51" i="1"/>
  <c r="AV66" i="1" s="1"/>
  <c r="AW42" i="1"/>
  <c r="AW65" i="1" s="1"/>
  <c r="AV42" i="1"/>
  <c r="AV65" i="1" s="1"/>
  <c r="AU42" i="1"/>
  <c r="AU56" i="1" s="1"/>
  <c r="AW56" i="1"/>
  <c r="AV56" i="1"/>
  <c r="AX42" i="1"/>
  <c r="AX65" i="1" s="1"/>
  <c r="AU58" i="1"/>
  <c r="AF48" i="1"/>
  <c r="AF50" i="1" s="1"/>
  <c r="AF52" i="1" s="1"/>
  <c r="AF53" i="1" s="1"/>
  <c r="AL56" i="1"/>
  <c r="AJ56" i="1"/>
  <c r="AH56" i="1"/>
  <c r="AG44" i="1"/>
  <c r="AG56" i="1"/>
  <c r="AK56" i="1"/>
  <c r="AI44" i="1"/>
  <c r="AI65" i="1" s="1"/>
  <c r="AI56" i="1"/>
  <c r="BL45" i="1"/>
  <c r="BL47" i="1" s="1"/>
  <c r="BL21" i="1"/>
  <c r="BM21" i="1" s="1"/>
  <c r="BN21" i="1" s="1"/>
  <c r="BO21" i="1" s="1"/>
  <c r="BP21" i="1" s="1"/>
  <c r="BQ21" i="1" s="1"/>
  <c r="BR21" i="1" s="1"/>
  <c r="BS21" i="1" s="1"/>
  <c r="BT21" i="1" s="1"/>
  <c r="AC48" i="1"/>
  <c r="AC50" i="1" s="1"/>
  <c r="AC52" i="1" s="1"/>
  <c r="AC53" i="1" s="1"/>
  <c r="AG48" i="1"/>
  <c r="AG50" i="1" s="1"/>
  <c r="AG52" i="1" s="1"/>
  <c r="AG53" i="1" s="1"/>
  <c r="AH48" i="1"/>
  <c r="AH50" i="1" s="1"/>
  <c r="AD48" i="1"/>
  <c r="AD50" i="1" s="1"/>
  <c r="AD52" i="1" s="1"/>
  <c r="AD53" i="1" s="1"/>
  <c r="AE48" i="1"/>
  <c r="AE50" i="1" s="1"/>
  <c r="AE52" i="1" s="1"/>
  <c r="AE53" i="1" s="1"/>
  <c r="AN44" i="1"/>
  <c r="AN65" i="1" s="1"/>
  <c r="AN56" i="1"/>
  <c r="AR68" i="1"/>
  <c r="BL11" i="1"/>
  <c r="BM11" i="1" s="1"/>
  <c r="BN11" i="1" s="1"/>
  <c r="BO11" i="1" s="1"/>
  <c r="BP11" i="1" s="1"/>
  <c r="BQ11" i="1" s="1"/>
  <c r="BR11" i="1" s="1"/>
  <c r="BS11" i="1" s="1"/>
  <c r="BT11" i="1" s="1"/>
  <c r="BL24" i="1"/>
  <c r="BM24" i="1" s="1"/>
  <c r="BN24" i="1" s="1"/>
  <c r="BO24" i="1" s="1"/>
  <c r="BP24" i="1" s="1"/>
  <c r="BQ24" i="1" s="1"/>
  <c r="BR24" i="1" s="1"/>
  <c r="BS24" i="1" s="1"/>
  <c r="BT24" i="1" s="1"/>
  <c r="AJ48" i="1"/>
  <c r="AJ50" i="1" s="1"/>
  <c r="BL12" i="1"/>
  <c r="BM12" i="1" s="1"/>
  <c r="BN12" i="1" s="1"/>
  <c r="BO12" i="1" s="1"/>
  <c r="BP12" i="1" s="1"/>
  <c r="BQ12" i="1" s="1"/>
  <c r="BR12" i="1" s="1"/>
  <c r="BS12" i="1" s="1"/>
  <c r="BT12" i="1" s="1"/>
  <c r="BL14" i="1"/>
  <c r="BM14" i="1" s="1"/>
  <c r="BN14" i="1" s="1"/>
  <c r="BO14" i="1" s="1"/>
  <c r="BP14" i="1" s="1"/>
  <c r="BQ14" i="1" s="1"/>
  <c r="BR14" i="1" s="1"/>
  <c r="BS14" i="1" s="1"/>
  <c r="BT14" i="1" s="1"/>
  <c r="BK47" i="1"/>
  <c r="AT47" i="1"/>
  <c r="BL15" i="1"/>
  <c r="BM15" i="1" s="1"/>
  <c r="BN15" i="1" s="1"/>
  <c r="BO15" i="1" s="1"/>
  <c r="BP15" i="1" s="1"/>
  <c r="BQ15" i="1" s="1"/>
  <c r="BR15" i="1" s="1"/>
  <c r="BS15" i="1" s="1"/>
  <c r="BT15" i="1" s="1"/>
  <c r="BL16" i="1"/>
  <c r="BM16" i="1" s="1"/>
  <c r="BN16" i="1" s="1"/>
  <c r="BO16" i="1" s="1"/>
  <c r="BP16" i="1" s="1"/>
  <c r="BQ16" i="1" s="1"/>
  <c r="BR16" i="1" s="1"/>
  <c r="BS16" i="1" s="1"/>
  <c r="BT16" i="1" s="1"/>
  <c r="BL54" i="1"/>
  <c r="BM54" i="1" s="1"/>
  <c r="BN54" i="1" s="1"/>
  <c r="BO54" i="1" s="1"/>
  <c r="BP54" i="1" s="1"/>
  <c r="BL7" i="1"/>
  <c r="BM7" i="1" s="1"/>
  <c r="BN7" i="1" s="1"/>
  <c r="BO7" i="1" s="1"/>
  <c r="BP7" i="1" s="1"/>
  <c r="BQ7" i="1" s="1"/>
  <c r="BR7" i="1" s="1"/>
  <c r="BS7" i="1" s="1"/>
  <c r="BT7" i="1" s="1"/>
  <c r="AS47" i="1"/>
  <c r="AL48" i="1"/>
  <c r="AL50" i="1" s="1"/>
  <c r="AL65" i="1"/>
  <c r="BL8" i="1"/>
  <c r="BM8" i="1" s="1"/>
  <c r="BN8" i="1" s="1"/>
  <c r="BO8" i="1" s="1"/>
  <c r="BP8" i="1" s="1"/>
  <c r="BQ8" i="1" s="1"/>
  <c r="BR8" i="1" s="1"/>
  <c r="BS8" i="1" s="1"/>
  <c r="BT8" i="1" s="1"/>
  <c r="BL10" i="1"/>
  <c r="BM10" i="1" s="1"/>
  <c r="BN10" i="1" s="1"/>
  <c r="BL9" i="1"/>
  <c r="BM9" i="1" s="1"/>
  <c r="BN9" i="1" s="1"/>
  <c r="BO9" i="1" s="1"/>
  <c r="BP9" i="1" s="1"/>
  <c r="BQ9" i="1" s="1"/>
  <c r="BR9" i="1" s="1"/>
  <c r="BS9" i="1" s="1"/>
  <c r="BT9" i="1" s="1"/>
  <c r="AT23" i="1"/>
  <c r="BL23" i="1" s="1"/>
  <c r="BM23" i="1" s="1"/>
  <c r="BN23" i="1" s="1"/>
  <c r="BO23" i="1" s="1"/>
  <c r="BP23" i="1" s="1"/>
  <c r="BQ23" i="1" s="1"/>
  <c r="BR23" i="1" s="1"/>
  <c r="BS23" i="1" s="1"/>
  <c r="BT23" i="1" s="1"/>
  <c r="BL25" i="1"/>
  <c r="BM25" i="1" s="1"/>
  <c r="BN25" i="1" s="1"/>
  <c r="BO25" i="1" s="1"/>
  <c r="BP25" i="1" s="1"/>
  <c r="BQ25" i="1" s="1"/>
  <c r="BR25" i="1" s="1"/>
  <c r="BS25" i="1" s="1"/>
  <c r="BT25" i="1" s="1"/>
  <c r="AR76" i="1"/>
  <c r="BL5" i="1"/>
  <c r="AR56" i="1"/>
  <c r="AR48" i="1"/>
  <c r="AR50" i="1" s="1"/>
  <c r="AK44" i="1"/>
  <c r="AN48" i="1"/>
  <c r="AN50" i="1" s="1"/>
  <c r="AO51" i="1"/>
  <c r="AO47" i="1"/>
  <c r="AO41" i="1"/>
  <c r="AP51" i="1"/>
  <c r="AP47" i="1"/>
  <c r="AM47" i="1"/>
  <c r="AP41" i="1"/>
  <c r="AP42" i="1"/>
  <c r="AQ78" i="1"/>
  <c r="AQ83" i="1" s="1"/>
  <c r="AQ74" i="1"/>
  <c r="AQ69" i="1"/>
  <c r="AM42" i="1"/>
  <c r="AQ49" i="1"/>
  <c r="BL49" i="1" s="1"/>
  <c r="BM49" i="1" s="1"/>
  <c r="BN49" i="1" s="1"/>
  <c r="BO49" i="1" s="1"/>
  <c r="BP49" i="1" s="1"/>
  <c r="BQ49" i="1" s="1"/>
  <c r="BR49" i="1" s="1"/>
  <c r="BS49" i="1" s="1"/>
  <c r="BT49" i="1" s="1"/>
  <c r="AQ47" i="1"/>
  <c r="AQ41" i="1"/>
  <c r="L45" i="1"/>
  <c r="L43" i="1"/>
  <c r="L46" i="1"/>
  <c r="L49" i="1"/>
  <c r="L40" i="1"/>
  <c r="L41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AV52" i="1" l="1"/>
  <c r="AV53" i="1" s="1"/>
  <c r="AU65" i="1"/>
  <c r="BM5" i="1"/>
  <c r="BL3" i="1"/>
  <c r="AI48" i="1"/>
  <c r="AI50" i="1" s="1"/>
  <c r="BQ54" i="1"/>
  <c r="BO10" i="1"/>
  <c r="AM44" i="1"/>
  <c r="AM65" i="1" s="1"/>
  <c r="AM56" i="1"/>
  <c r="AH52" i="1"/>
  <c r="AH53" i="1" s="1"/>
  <c r="AH66" i="1"/>
  <c r="AI52" i="1"/>
  <c r="AI53" i="1" s="1"/>
  <c r="AI66" i="1"/>
  <c r="AJ52" i="1"/>
  <c r="AJ53" i="1" s="1"/>
  <c r="AJ66" i="1"/>
  <c r="AO42" i="1"/>
  <c r="AO44" i="1" s="1"/>
  <c r="AO65" i="1" s="1"/>
  <c r="AR52" i="1"/>
  <c r="AR53" i="1" s="1"/>
  <c r="AR66" i="1"/>
  <c r="AN52" i="1"/>
  <c r="AN53" i="1" s="1"/>
  <c r="AN66" i="1"/>
  <c r="BK51" i="1"/>
  <c r="BK41" i="1"/>
  <c r="BK42" i="1" s="1"/>
  <c r="BK44" i="1" s="1"/>
  <c r="AL52" i="1"/>
  <c r="AL53" i="1" s="1"/>
  <c r="AL66" i="1"/>
  <c r="AQ42" i="1"/>
  <c r="AQ44" i="1" s="1"/>
  <c r="BL41" i="1"/>
  <c r="AT42" i="1"/>
  <c r="AK48" i="1"/>
  <c r="AK50" i="1" s="1"/>
  <c r="AK65" i="1"/>
  <c r="AQ76" i="1"/>
  <c r="AP44" i="1"/>
  <c r="AP65" i="1" s="1"/>
  <c r="AP56" i="1"/>
  <c r="AQ68" i="1"/>
  <c r="AM48" i="1"/>
  <c r="AM50" i="1" s="1"/>
  <c r="L47" i="1"/>
  <c r="L42" i="1"/>
  <c r="L44" i="1" s="1"/>
  <c r="AT44" i="1" l="1"/>
  <c r="AT43" i="1" s="1"/>
  <c r="AX56" i="1"/>
  <c r="BN5" i="1"/>
  <c r="BM3" i="1"/>
  <c r="AS56" i="1"/>
  <c r="BK48" i="1"/>
  <c r="BK50" i="1" s="1"/>
  <c r="BK52" i="1" s="1"/>
  <c r="BK53" i="1" s="1"/>
  <c r="BK65" i="1"/>
  <c r="BL42" i="1"/>
  <c r="BL56" i="1" s="1"/>
  <c r="BM41" i="1"/>
  <c r="BR54" i="1"/>
  <c r="BP10" i="1"/>
  <c r="AO56" i="1"/>
  <c r="AO48" i="1"/>
  <c r="AO50" i="1" s="1"/>
  <c r="AO52" i="1" s="1"/>
  <c r="AO53" i="1" s="1"/>
  <c r="AO66" i="1"/>
  <c r="AQ65" i="1"/>
  <c r="AQ48" i="1"/>
  <c r="AQ50" i="1" s="1"/>
  <c r="AP48" i="1"/>
  <c r="AP50" i="1" s="1"/>
  <c r="AT56" i="1"/>
  <c r="AM52" i="1"/>
  <c r="AM53" i="1" s="1"/>
  <c r="AM66" i="1"/>
  <c r="AK52" i="1"/>
  <c r="AK53" i="1" s="1"/>
  <c r="AK66" i="1"/>
  <c r="AQ56" i="1"/>
  <c r="AS65" i="1"/>
  <c r="AS48" i="1"/>
  <c r="AS50" i="1" s="1"/>
  <c r="BL43" i="1"/>
  <c r="AT65" i="1"/>
  <c r="AT48" i="1"/>
  <c r="AT50" i="1" s="1"/>
  <c r="L48" i="1"/>
  <c r="L50" i="1" s="1"/>
  <c r="L52" i="1" s="1"/>
  <c r="L53" i="1" s="1"/>
  <c r="I49" i="1"/>
  <c r="I47" i="1"/>
  <c r="E40" i="1"/>
  <c r="E42" i="1" s="1"/>
  <c r="I40" i="1"/>
  <c r="I42" i="1" s="1"/>
  <c r="I44" i="1" s="1"/>
  <c r="BO5" i="1" l="1"/>
  <c r="BN3" i="1"/>
  <c r="BL44" i="1"/>
  <c r="BL48" i="1" s="1"/>
  <c r="BL50" i="1" s="1"/>
  <c r="BN41" i="1"/>
  <c r="BM42" i="1"/>
  <c r="BS54" i="1"/>
  <c r="BQ10" i="1"/>
  <c r="AQ52" i="1"/>
  <c r="AQ53" i="1" s="1"/>
  <c r="AQ66" i="1"/>
  <c r="AP52" i="1"/>
  <c r="AP53" i="1" s="1"/>
  <c r="AP66" i="1"/>
  <c r="AT51" i="1"/>
  <c r="AT66" i="1" s="1"/>
  <c r="I48" i="1"/>
  <c r="I50" i="1" s="1"/>
  <c r="I52" i="1" s="1"/>
  <c r="I53" i="1" s="1"/>
  <c r="K4" i="2"/>
  <c r="K7" i="2" s="1"/>
  <c r="BP5" i="1" l="1"/>
  <c r="BO3" i="1"/>
  <c r="BL65" i="1"/>
  <c r="BO41" i="1"/>
  <c r="BN42" i="1"/>
  <c r="BM45" i="1"/>
  <c r="BM47" i="1" s="1"/>
  <c r="BM44" i="1"/>
  <c r="BM56" i="1"/>
  <c r="BT54" i="1"/>
  <c r="BR10" i="1"/>
  <c r="AS66" i="1"/>
  <c r="BL51" i="1"/>
  <c r="BL52" i="1" s="1"/>
  <c r="BL53" i="1" s="1"/>
  <c r="AT52" i="1"/>
  <c r="AT53" i="1" s="1"/>
  <c r="AS52" i="1"/>
  <c r="AS53" i="1" s="1"/>
  <c r="G49" i="1"/>
  <c r="G47" i="1"/>
  <c r="G44" i="1"/>
  <c r="G40" i="1"/>
  <c r="G41" i="1" s="1"/>
  <c r="BQ5" i="1" l="1"/>
  <c r="BP3" i="1"/>
  <c r="BP41" i="1"/>
  <c r="BO42" i="1"/>
  <c r="BM43" i="1"/>
  <c r="BM48" i="1"/>
  <c r="BM50" i="1" s="1"/>
  <c r="BM51" i="1" s="1"/>
  <c r="BM52" i="1" s="1"/>
  <c r="BM53" i="1" s="1"/>
  <c r="BN45" i="1"/>
  <c r="BN47" i="1" s="1"/>
  <c r="BN56" i="1"/>
  <c r="BN44" i="1"/>
  <c r="BS10" i="1"/>
  <c r="G48" i="1"/>
  <c r="G50" i="1" s="1"/>
  <c r="G52" i="1" s="1"/>
  <c r="G53" i="1" s="1"/>
  <c r="BR5" i="1" l="1"/>
  <c r="BQ3" i="1"/>
  <c r="BN43" i="1"/>
  <c r="BN48" i="1"/>
  <c r="BN50" i="1" s="1"/>
  <c r="BN51" i="1" s="1"/>
  <c r="BN52" i="1" s="1"/>
  <c r="BN53" i="1" s="1"/>
  <c r="BO56" i="1"/>
  <c r="BO45" i="1"/>
  <c r="BO47" i="1" s="1"/>
  <c r="BO44" i="1"/>
  <c r="BQ41" i="1"/>
  <c r="BP42" i="1"/>
  <c r="BT10" i="1"/>
  <c r="BS5" i="1" l="1"/>
  <c r="BR3" i="1"/>
  <c r="BP56" i="1"/>
  <c r="BP44" i="1"/>
  <c r="BP45" i="1"/>
  <c r="BP47" i="1" s="1"/>
  <c r="BR41" i="1"/>
  <c r="BQ42" i="1"/>
  <c r="BO43" i="1"/>
  <c r="BO48" i="1"/>
  <c r="BO50" i="1" s="1"/>
  <c r="BO51" i="1" s="1"/>
  <c r="BO52" i="1" s="1"/>
  <c r="BO53" i="1" s="1"/>
  <c r="BT5" i="1" l="1"/>
  <c r="BT3" i="1" s="1"/>
  <c r="BS3" i="1"/>
  <c r="BQ45" i="1"/>
  <c r="BQ47" i="1" s="1"/>
  <c r="BQ44" i="1"/>
  <c r="BQ56" i="1"/>
  <c r="BS41" i="1"/>
  <c r="BR42" i="1"/>
  <c r="BP43" i="1"/>
  <c r="BP48" i="1"/>
  <c r="BP50" i="1" s="1"/>
  <c r="BP51" i="1" s="1"/>
  <c r="BP52" i="1" s="1"/>
  <c r="BP53" i="1" s="1"/>
  <c r="BT41" i="1" l="1"/>
  <c r="BT42" i="1" s="1"/>
  <c r="BS42" i="1"/>
  <c r="BR56" i="1"/>
  <c r="BR45" i="1"/>
  <c r="BR47" i="1" s="1"/>
  <c r="BR44" i="1"/>
  <c r="BQ43" i="1"/>
  <c r="BQ48" i="1"/>
  <c r="BQ50" i="1" s="1"/>
  <c r="BQ51" i="1" s="1"/>
  <c r="BQ52" i="1" s="1"/>
  <c r="BQ53" i="1" s="1"/>
  <c r="BR43" i="1" l="1"/>
  <c r="BR48" i="1"/>
  <c r="BR50" i="1" s="1"/>
  <c r="BR51" i="1" s="1"/>
  <c r="BR52" i="1" s="1"/>
  <c r="BR53" i="1" s="1"/>
  <c r="BS45" i="1"/>
  <c r="BS47" i="1" s="1"/>
  <c r="BS44" i="1"/>
  <c r="BS56" i="1"/>
  <c r="BT45" i="1"/>
  <c r="BT47" i="1" s="1"/>
  <c r="BT44" i="1"/>
  <c r="BT56" i="1"/>
  <c r="BT43" i="1" l="1"/>
  <c r="BT48" i="1"/>
  <c r="BT50" i="1" s="1"/>
  <c r="BT51" i="1" s="1"/>
  <c r="BT52" i="1" s="1"/>
  <c r="BS43" i="1"/>
  <c r="BS48" i="1"/>
  <c r="BS50" i="1" s="1"/>
  <c r="BS51" i="1" s="1"/>
  <c r="BS52" i="1" s="1"/>
  <c r="BS53" i="1" l="1"/>
  <c r="BT53" i="1"/>
  <c r="BU52" i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BW58" i="1" l="1"/>
  <c r="BW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tc={4684B382-7B1E-4F51-8AE6-3C2F21BB4B83}</author>
    <author>tc={664741F6-5634-463A-B649-C44AD48AAA09}</author>
  </authors>
  <commentList>
    <comment ref="AS53" authorId="0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L53" authorId="1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</commentList>
</comments>
</file>

<file path=xl/sharedStrings.xml><?xml version="1.0" encoding="utf-8"?>
<sst xmlns="http://schemas.openxmlformats.org/spreadsheetml/2006/main" count="397" uniqueCount="306">
  <si>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</si>
  <si>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</si>
  <si>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</si>
  <si>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</si>
  <si>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</si>
  <si>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</si>
  <si>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</si>
  <si>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</si>
  <si>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</si>
  <si>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</si>
  <si>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</si>
  <si>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</si>
  <si>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</si>
  <si>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</si>
  <si>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</si>
  <si>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</si>
  <si>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</si>
  <si>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</si>
  <si>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</si>
  <si>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</si>
  <si>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</si>
  <si>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</si>
  <si>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</si>
  <si>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</si>
  <si>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</si>
  <si>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</si>
  <si>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</si>
  <si>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</si>
  <si>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</si>
  <si>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</si>
  <si>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</si>
  <si>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</si>
  <si>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</si>
  <si>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</si>
  <si>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</si>
  <si>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</si>
  <si>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</si>
  <si>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</si>
  <si>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</si>
  <si>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</si>
  <si>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</si>
  <si>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</si>
  <si>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</si>
  <si>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</si>
  <si>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</si>
  <si>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</si>
  <si>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</si>
  <si>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</si>
  <si>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</si>
  <si>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</si>
  <si>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</si>
  <si>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</si>
  <si>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</si>
  <si>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</si>
  <si>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</si>
  <si>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</si>
  <si>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</si>
  <si>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</si>
  <si>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</si>
  <si>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</si>
  <si>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</si>
  <si>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</si>
  <si>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</si>
  <si>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</si>
  <si>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</si>
  <si>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</si>
  <si>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</si>
  <si>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</si>
  <si>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</si>
  <si>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</si>
  <si>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</si>
  <si>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</si>
  <si>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</si>
  <si>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</si>
  <si>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</si>
  <si>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</si>
  <si>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</si>
  <si>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</si>
  <si>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</si>
  <si>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</si>
  <si>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</si>
  <si>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</si>
  <si>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</si>
  <si>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</si>
  <si>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</si>
  <si>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</si>
  <si>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</si>
  <si>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</si>
  <si>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</si>
  <si>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</si>
  <si>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</si>
  <si>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</si>
  <si>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</si>
  <si>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</si>
  <si>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</si>
  <si>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</si>
  <si>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</si>
  <si>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</si>
  <si>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</si>
  <si>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</si>
  <si>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</si>
  <si>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</si>
  <si>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</si>
  <si>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</si>
  <si>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</si>
  <si>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</si>
  <si>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</si>
  <si>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</si>
  <si>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</si>
  <si>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</si>
  <si>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</si>
  <si>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</si>
  <si>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</si>
  <si>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</si>
  <si>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</si>
  <si>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</si>
  <si>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</si>
  <si>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</si>
  <si>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</si>
  <si>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</si>
  <si>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</si>
  <si>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</si>
  <si>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</si>
  <si>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</si>
  <si>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</si>
  <si>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</si>
  <si>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</si>
  <si>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</si>
  <si>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</si>
  <si>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</si>
  <si>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</si>
  <si>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</si>
  <si>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</si>
  <si>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</si>
  <si>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</si>
  <si>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</si>
  <si>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</si>
  <si>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</si>
  <si>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</si>
  <si>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</si>
  <si>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</si>
  <si>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</si>
  <si>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</si>
  <si>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</si>
  <si>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</si>
  <si>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</si>
  <si>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</si>
  <si>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</si>
  <si>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</si>
  <si>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</si>
  <si>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</si>
  <si>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</si>
  <si>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</si>
  <si>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</si>
  <si>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</si>
  <si>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</si>
  <si>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</si>
  <si>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</si>
  <si>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</si>
  <si>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</si>
  <si>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</si>
  <si>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</si>
  <si>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</si>
  <si>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</si>
  <si>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</si>
  <si>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</si>
  <si>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</si>
  <si>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</si>
  <si>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</si>
  <si>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</si>
  <si>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</si>
  <si>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</si>
  <si>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</si>
  <si>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</si>
  <si>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</si>
  <si>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</si>
  <si>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</si>
  <si>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</si>
  <si>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</si>
  <si>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</si>
  <si>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</si>
  <si>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</si>
  <si>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ABBV-599 (-105+Rinvoq)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</si>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</sst>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right"/>
    </xf>
    <xf numFmtId="4" fontId="11" fillId="0" borderId="0" xfId="0" applyNumberFormat="1" applyFont="1" applyAlignment="1">
      <alignment horizontal="right"/>
    </xf>
    <xf numFmtId="0" fontId="11" fillId="0" borderId="1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4" fontId="11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center"/>
    </xf>
    <xf numFmtId="0" fontId="14" fillId="0" borderId="0" xfId="1" applyFont="1"/>
    <xf numFmtId="0" fontId="14" fillId="0" borderId="1" xfId="1" applyFont="1" applyBorder="1"/>
    <xf numFmtId="0" fontId="10" fillId="0" borderId="0" xfId="0" applyFont="1" applyAlignment="1">
      <alignment horizontal="right"/>
    </xf>
    <xf numFmtId="3" fontId="10" fillId="0" borderId="0" xfId="0" applyNumberFormat="1" applyFont="1"/>
    <xf numFmtId="3" fontId="10" fillId="0" borderId="0" xfId="0" quotePrefix="1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0" fontId="8" fillId="0" borderId="0" xfId="0" applyFont="1"/>
    <xf numFmtId="3" fontId="8" fillId="0" borderId="0" xfId="0" quotePrefix="1" applyNumberFormat="1" applyFont="1" applyAlignment="1">
      <alignment horizontal="right"/>
    </xf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9" fontId="8" fillId="0" borderId="0" xfId="0" applyNumberFormat="1" applyFont="1"/>
    <xf numFmtId="9" fontId="12" fillId="0" borderId="0" xfId="0" applyNumberFormat="1" applyFont="1"/>
    <xf numFmtId="9" fontId="1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/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/>
    <xf numFmtId="3" fontId="11" fillId="2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3" fontId="3" fillId="0" borderId="0" xfId="0" quotePrefix="1" applyNumberFormat="1" applyFont="1" applyAlignment="1">
      <alignment horizontal="right"/>
    </xf>
    <xf numFmtId="9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13" fillId="0" borderId="0" xfId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8335</xdr:colOff>
      <xdr:row>0</xdr:row>
      <xdr:rowOff>57150</xdr:rowOff>
    </xdr:from>
    <xdr:to>
      <xdr:col>45</xdr:col>
      <xdr:colOff>8335</xdr:colOff>
      <xdr:row>113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7934444" y="57150"/>
          <a:ext cx="0" cy="17699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</xdr:colOff>
      <xdr:row>0</xdr:row>
      <xdr:rowOff>0</xdr:rowOff>
    </xdr:from>
    <xdr:to>
      <xdr:col>63</xdr:col>
      <xdr:colOff>9525</xdr:colOff>
      <xdr:row>113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7795200" y="0"/>
          <a:ext cx="0" cy="17021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53" dT="2023-01-03T05:48:05.07" personId="{FC08182D-8126-43D2-AFE1-095FC8F8A0A3}" id="{4684B382-7B1E-4F51-8AE6-3C2F21BB4B83}">
    <text>ADJ EPS 3.66</text>
  </threadedComment>
  <threadedComment ref="BL53" dT="2022-07-29T13:57:20.53" personId="{FC08182D-8126-43D2-AFE1-095FC8F8A0A3}" id="{664741F6-5634-463A-B649-C44AD48AAA09}">
    <text>Q222 guidance: 13.78-13.98 reaffirmed
Q322 guidance: 13.84-13.88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78</v>
      </c>
    </row>
    <row r="2" spans="1:6" x14ac:dyDescent="0.2">
      <c r="A2" s="20"/>
      <c r="B2" s="27" t="s">
        <v>151</v>
      </c>
      <c r="C2" s="41" t="s">
        <v>197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152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209</v>
      </c>
      <c r="C6" s="41" t="s">
        <v>210</v>
      </c>
      <c r="D6" s="31">
        <v>1</v>
      </c>
      <c r="E6" s="41" t="s">
        <v>71</v>
      </c>
      <c r="F6" s="41" t="s">
        <v>185</v>
      </c>
    </row>
    <row r="7" spans="1:6" x14ac:dyDescent="0.2">
      <c r="A7" s="20"/>
      <c r="B7" s="27" t="s">
        <v>57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153</v>
      </c>
    </row>
    <row r="10" spans="1:6" x14ac:dyDescent="0.2">
      <c r="B10" s="37" t="s">
        <v>171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196</v>
      </c>
    </row>
    <row r="13" spans="1:6" x14ac:dyDescent="0.2">
      <c r="B13" s="41" t="s">
        <v>198</v>
      </c>
      <c r="C13" s="41" t="s">
        <v>199</v>
      </c>
    </row>
    <row r="18" spans="2:6" x14ac:dyDescent="0.2">
      <c r="C18" s="27" t="s">
        <v>28</v>
      </c>
      <c r="D18" s="27" t="s">
        <v>154</v>
      </c>
      <c r="E18" s="37" t="s">
        <v>178</v>
      </c>
    </row>
    <row r="19" spans="2:6" x14ac:dyDescent="0.2">
      <c r="B19" s="37" t="s">
        <v>177</v>
      </c>
      <c r="C19" s="37" t="s">
        <v>179</v>
      </c>
      <c r="E19" s="37" t="s">
        <v>30</v>
      </c>
      <c r="F19" s="37" t="s">
        <v>180</v>
      </c>
    </row>
    <row r="20" spans="2:6" x14ac:dyDescent="0.2">
      <c r="B20" s="37" t="s">
        <v>29</v>
      </c>
      <c r="E20" s="37" t="s">
        <v>49</v>
      </c>
      <c r="F20" s="37" t="s">
        <v>69</v>
      </c>
    </row>
    <row r="21" spans="2:6" x14ac:dyDescent="0.2">
      <c r="B21" s="41" t="s">
        <v>72</v>
      </c>
      <c r="E21" s="41" t="s">
        <v>204</v>
      </c>
      <c r="F21" s="41" t="s">
        <v>205</v>
      </c>
    </row>
    <row r="22" spans="2:6" x14ac:dyDescent="0.2">
      <c r="B22" s="41" t="s">
        <v>70</v>
      </c>
      <c r="E22" s="41" t="s">
        <v>235</v>
      </c>
      <c r="F22" s="41" t="s">
        <v>234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zoomScale="160" zoomScaleNormal="160" workbookViewId="0">
      <selection activeCell="E19" sqref="E19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58</v>
      </c>
      <c r="E2" s="7" t="s">
        <v>33</v>
      </c>
      <c r="F2" s="7" t="s">
        <v>36</v>
      </c>
      <c r="G2" s="40" t="s">
        <v>193</v>
      </c>
      <c r="H2" s="8" t="s">
        <v>56</v>
      </c>
      <c r="J2" s="1" t="s">
        <v>51</v>
      </c>
      <c r="K2" s="14">
        <v>147.61000000000001</v>
      </c>
    </row>
    <row r="3" spans="2:12" x14ac:dyDescent="0.2">
      <c r="B3" s="21" t="s">
        <v>77</v>
      </c>
      <c r="C3" s="47" t="s">
        <v>244</v>
      </c>
      <c r="D3" s="19">
        <v>37621</v>
      </c>
      <c r="E3" s="9" t="s">
        <v>32</v>
      </c>
      <c r="F3" s="10">
        <v>1</v>
      </c>
      <c r="G3" s="38" t="s">
        <v>194</v>
      </c>
      <c r="H3" s="11">
        <v>2024</v>
      </c>
      <c r="J3" s="1" t="s">
        <v>14</v>
      </c>
      <c r="K3" s="15">
        <v>1768.4805080000001</v>
      </c>
      <c r="L3" s="57" t="s">
        <v>116</v>
      </c>
    </row>
    <row r="4" spans="2:12" x14ac:dyDescent="0.2">
      <c r="B4" s="39" t="s">
        <v>222</v>
      </c>
      <c r="C4" s="60" t="s">
        <v>284</v>
      </c>
      <c r="D4" s="19">
        <v>33581</v>
      </c>
      <c r="E4" s="60" t="s">
        <v>285</v>
      </c>
      <c r="F4" s="10">
        <v>1</v>
      </c>
      <c r="G4" s="60" t="s">
        <v>194</v>
      </c>
      <c r="H4" s="61" t="s">
        <v>286</v>
      </c>
      <c r="J4" s="1" t="s">
        <v>52</v>
      </c>
      <c r="K4" s="15">
        <f>+K3*K2</f>
        <v>261045.40778588003</v>
      </c>
      <c r="L4" s="2"/>
    </row>
    <row r="5" spans="2:12" x14ac:dyDescent="0.2">
      <c r="B5" s="39" t="s">
        <v>164</v>
      </c>
      <c r="C5" s="60" t="s">
        <v>281</v>
      </c>
      <c r="D5" s="19">
        <v>41591</v>
      </c>
      <c r="E5" s="60" t="s">
        <v>282</v>
      </c>
      <c r="F5" s="34" t="s">
        <v>166</v>
      </c>
      <c r="G5" s="38" t="s">
        <v>195</v>
      </c>
      <c r="H5" s="63">
        <v>46566</v>
      </c>
      <c r="J5" s="1" t="s">
        <v>53</v>
      </c>
      <c r="K5" s="15">
        <f>11832+47+235</f>
        <v>12114</v>
      </c>
      <c r="L5" s="57" t="s">
        <v>116</v>
      </c>
    </row>
    <row r="6" spans="2:12" x14ac:dyDescent="0.2">
      <c r="B6" s="21" t="s">
        <v>167</v>
      </c>
      <c r="C6" s="60" t="s">
        <v>274</v>
      </c>
      <c r="D6" s="19">
        <v>43578</v>
      </c>
      <c r="E6" s="38" t="s">
        <v>237</v>
      </c>
      <c r="F6" s="62" t="s">
        <v>275</v>
      </c>
      <c r="G6" s="60" t="s">
        <v>194</v>
      </c>
      <c r="H6" s="61" t="s">
        <v>76</v>
      </c>
      <c r="J6" s="1" t="s">
        <v>54</v>
      </c>
      <c r="K6" s="15">
        <f>10+9197+60399</f>
        <v>69606</v>
      </c>
      <c r="L6" s="57" t="s">
        <v>116</v>
      </c>
    </row>
    <row r="7" spans="2:12" x14ac:dyDescent="0.2">
      <c r="B7" s="39" t="s">
        <v>168</v>
      </c>
      <c r="C7" s="36" t="s">
        <v>169</v>
      </c>
      <c r="D7" s="19">
        <v>42471</v>
      </c>
      <c r="E7" s="36" t="s">
        <v>31</v>
      </c>
      <c r="F7" s="36" t="s">
        <v>170</v>
      </c>
      <c r="G7" s="38" t="s">
        <v>195</v>
      </c>
      <c r="H7" s="61" t="s">
        <v>287</v>
      </c>
      <c r="J7" s="1" t="s">
        <v>55</v>
      </c>
      <c r="K7" s="15">
        <f>+K4-K5+K6</f>
        <v>318537.40778588003</v>
      </c>
    </row>
    <row r="8" spans="2:12" x14ac:dyDescent="0.2">
      <c r="B8" s="64" t="s">
        <v>288</v>
      </c>
      <c r="C8" s="60" t="s">
        <v>289</v>
      </c>
      <c r="D8" s="19">
        <v>32534</v>
      </c>
      <c r="E8" s="9"/>
      <c r="F8" s="60" t="s">
        <v>290</v>
      </c>
      <c r="G8" s="60" t="s">
        <v>291</v>
      </c>
      <c r="H8" s="11"/>
    </row>
    <row r="9" spans="2:12" x14ac:dyDescent="0.2">
      <c r="B9" s="21" t="s">
        <v>186</v>
      </c>
      <c r="C9" s="60" t="s">
        <v>268</v>
      </c>
      <c r="D9" s="19">
        <v>44636</v>
      </c>
      <c r="E9" s="38" t="s">
        <v>185</v>
      </c>
      <c r="F9" s="10">
        <v>1</v>
      </c>
      <c r="G9" s="38" t="s">
        <v>195</v>
      </c>
      <c r="H9" s="61" t="s">
        <v>269</v>
      </c>
    </row>
    <row r="10" spans="2:12" x14ac:dyDescent="0.2">
      <c r="B10" s="64" t="s">
        <v>292</v>
      </c>
      <c r="C10" s="60" t="s">
        <v>294</v>
      </c>
      <c r="D10" s="19">
        <v>37461</v>
      </c>
      <c r="E10" s="9"/>
      <c r="F10" s="9"/>
      <c r="G10" s="38" t="s">
        <v>195</v>
      </c>
      <c r="H10" s="11"/>
    </row>
    <row r="11" spans="2:12" x14ac:dyDescent="0.2">
      <c r="B11" s="4" t="s">
        <v>6</v>
      </c>
      <c r="C11" s="60" t="s">
        <v>293</v>
      </c>
      <c r="D11" s="9"/>
      <c r="E11" s="9"/>
      <c r="F11" s="9"/>
      <c r="G11" s="38" t="s">
        <v>195</v>
      </c>
      <c r="H11" s="11"/>
    </row>
    <row r="12" spans="2:12" x14ac:dyDescent="0.2">
      <c r="B12" s="64" t="s">
        <v>296</v>
      </c>
      <c r="C12" s="60" t="s">
        <v>297</v>
      </c>
      <c r="D12" s="9"/>
      <c r="E12" s="9"/>
      <c r="F12" s="9"/>
      <c r="G12" s="60" t="s">
        <v>299</v>
      </c>
      <c r="H12" s="11"/>
    </row>
    <row r="13" spans="2:12" x14ac:dyDescent="0.2">
      <c r="B13" s="64" t="s">
        <v>295</v>
      </c>
      <c r="C13" s="60" t="s">
        <v>217</v>
      </c>
      <c r="D13" s="9"/>
      <c r="E13" s="9"/>
      <c r="F13" s="9"/>
      <c r="G13" s="9"/>
      <c r="H13" s="11"/>
      <c r="J13" s="41" t="s">
        <v>216</v>
      </c>
    </row>
    <row r="14" spans="2:12" x14ac:dyDescent="0.2">
      <c r="B14" s="64" t="s">
        <v>283</v>
      </c>
      <c r="C14" s="9" t="s">
        <v>34</v>
      </c>
      <c r="D14" s="9"/>
      <c r="E14" s="9"/>
      <c r="F14" s="9" t="s">
        <v>35</v>
      </c>
      <c r="G14" s="38" t="s">
        <v>195</v>
      </c>
      <c r="H14" s="11"/>
    </row>
    <row r="15" spans="2:12" x14ac:dyDescent="0.2">
      <c r="B15" s="39" t="s">
        <v>220</v>
      </c>
      <c r="C15" s="38" t="s">
        <v>221</v>
      </c>
      <c r="D15" s="9"/>
      <c r="E15" s="60" t="s">
        <v>298</v>
      </c>
      <c r="F15" s="10">
        <v>1</v>
      </c>
      <c r="G15" s="60" t="s">
        <v>195</v>
      </c>
      <c r="H15" s="11"/>
    </row>
    <row r="16" spans="2:12" x14ac:dyDescent="0.2">
      <c r="B16" s="39" t="s">
        <v>192</v>
      </c>
      <c r="C16" s="36" t="s">
        <v>40</v>
      </c>
      <c r="D16" s="9"/>
      <c r="E16" s="9"/>
      <c r="F16" s="10">
        <v>1</v>
      </c>
      <c r="G16" s="38" t="s">
        <v>195</v>
      </c>
      <c r="H16" s="11"/>
    </row>
    <row r="17" spans="2:8" x14ac:dyDescent="0.2">
      <c r="B17" s="39" t="s">
        <v>224</v>
      </c>
      <c r="C17" s="38" t="s">
        <v>225</v>
      </c>
      <c r="D17" s="9"/>
      <c r="E17" s="9"/>
      <c r="F17" s="10"/>
      <c r="G17" s="60" t="s">
        <v>299</v>
      </c>
      <c r="H17" s="11"/>
    </row>
    <row r="18" spans="2:8" x14ac:dyDescent="0.2">
      <c r="B18" s="64" t="s">
        <v>303</v>
      </c>
      <c r="C18" s="60" t="s">
        <v>304</v>
      </c>
      <c r="D18" s="9"/>
      <c r="E18" s="60" t="s">
        <v>305</v>
      </c>
      <c r="F18" s="10"/>
      <c r="G18" s="60"/>
      <c r="H18" s="11"/>
    </row>
    <row r="19" spans="2:8" x14ac:dyDescent="0.2">
      <c r="B19" s="39" t="s">
        <v>226</v>
      </c>
      <c r="C19" s="38" t="s">
        <v>227</v>
      </c>
      <c r="D19" s="9"/>
      <c r="E19" s="9"/>
      <c r="F19" s="10"/>
      <c r="G19" s="60" t="s">
        <v>299</v>
      </c>
      <c r="H19" s="11"/>
    </row>
    <row r="20" spans="2:8" x14ac:dyDescent="0.2">
      <c r="B20" s="39" t="s">
        <v>223</v>
      </c>
      <c r="C20" s="38" t="s">
        <v>187</v>
      </c>
      <c r="D20" s="9"/>
      <c r="E20" s="9"/>
      <c r="F20" s="9"/>
      <c r="G20" s="38" t="s">
        <v>195</v>
      </c>
      <c r="H20" s="11"/>
    </row>
    <row r="21" spans="2:8" x14ac:dyDescent="0.2">
      <c r="B21" s="6"/>
      <c r="C21" s="7"/>
      <c r="D21" s="7" t="s">
        <v>59</v>
      </c>
      <c r="E21" s="7"/>
      <c r="F21" s="7"/>
      <c r="G21" s="7"/>
      <c r="H21" s="8"/>
    </row>
    <row r="22" spans="2:8" x14ac:dyDescent="0.2">
      <c r="B22" s="39" t="s">
        <v>219</v>
      </c>
      <c r="C22" s="38" t="s">
        <v>217</v>
      </c>
      <c r="D22" s="38" t="s">
        <v>218</v>
      </c>
      <c r="E22" s="9"/>
      <c r="F22" s="10">
        <v>1</v>
      </c>
      <c r="G22" s="9"/>
      <c r="H22" s="11"/>
    </row>
    <row r="23" spans="2:8" x14ac:dyDescent="0.2">
      <c r="B23" s="35" t="s">
        <v>172</v>
      </c>
      <c r="C23" s="36" t="s">
        <v>173</v>
      </c>
      <c r="D23" s="36" t="s">
        <v>67</v>
      </c>
      <c r="E23" s="38" t="s">
        <v>202</v>
      </c>
      <c r="F23" s="10">
        <v>1</v>
      </c>
      <c r="G23" s="9"/>
      <c r="H23" s="11"/>
    </row>
    <row r="24" spans="2:8" x14ac:dyDescent="0.2">
      <c r="B24" s="35" t="s">
        <v>174</v>
      </c>
      <c r="C24" s="36" t="s">
        <v>176</v>
      </c>
      <c r="D24" s="36" t="s">
        <v>67</v>
      </c>
      <c r="E24" s="36" t="s">
        <v>175</v>
      </c>
      <c r="F24" s="10">
        <v>1</v>
      </c>
      <c r="G24" s="9"/>
      <c r="H24" s="11"/>
    </row>
    <row r="25" spans="2:8" x14ac:dyDescent="0.2">
      <c r="B25" s="35" t="s">
        <v>181</v>
      </c>
      <c r="C25" s="36" t="s">
        <v>183</v>
      </c>
      <c r="D25" s="36" t="s">
        <v>67</v>
      </c>
      <c r="E25" s="36" t="s">
        <v>165</v>
      </c>
      <c r="F25" s="10">
        <v>1</v>
      </c>
      <c r="G25" s="9"/>
      <c r="H25" s="11"/>
    </row>
    <row r="26" spans="2:8" x14ac:dyDescent="0.2">
      <c r="B26" s="35" t="s">
        <v>182</v>
      </c>
      <c r="C26" s="38" t="s">
        <v>183</v>
      </c>
      <c r="D26" s="38" t="s">
        <v>67</v>
      </c>
      <c r="E26" s="38" t="s">
        <v>184</v>
      </c>
      <c r="F26" s="10">
        <v>1</v>
      </c>
      <c r="G26" s="9"/>
      <c r="H26" s="11"/>
    </row>
    <row r="27" spans="2:8" x14ac:dyDescent="0.2">
      <c r="B27" s="39" t="s">
        <v>188</v>
      </c>
      <c r="C27" s="38" t="s">
        <v>191</v>
      </c>
      <c r="D27" s="38" t="s">
        <v>190</v>
      </c>
      <c r="E27" s="38" t="s">
        <v>189</v>
      </c>
      <c r="F27" s="10">
        <v>1</v>
      </c>
      <c r="G27" s="9"/>
      <c r="H27" s="11"/>
    </row>
    <row r="28" spans="2:8" x14ac:dyDescent="0.2">
      <c r="B28" s="39" t="s">
        <v>200</v>
      </c>
      <c r="C28" s="38" t="s">
        <v>183</v>
      </c>
      <c r="D28" s="38" t="s">
        <v>67</v>
      </c>
      <c r="E28" s="38" t="s">
        <v>203</v>
      </c>
      <c r="F28" s="38" t="s">
        <v>201</v>
      </c>
      <c r="G28" s="9"/>
      <c r="H28" s="11"/>
    </row>
    <row r="29" spans="2:8" x14ac:dyDescent="0.2">
      <c r="B29" s="39" t="s">
        <v>206</v>
      </c>
      <c r="C29" s="38" t="s">
        <v>207</v>
      </c>
      <c r="D29" s="38" t="s">
        <v>67</v>
      </c>
      <c r="E29" s="38" t="s">
        <v>208</v>
      </c>
      <c r="F29" s="10">
        <v>1</v>
      </c>
      <c r="G29" s="9"/>
      <c r="H29" s="11"/>
    </row>
    <row r="30" spans="2:8" x14ac:dyDescent="0.2">
      <c r="B30" s="39" t="s">
        <v>239</v>
      </c>
      <c r="C30" s="38" t="s">
        <v>217</v>
      </c>
      <c r="D30" s="38" t="s">
        <v>190</v>
      </c>
      <c r="E30" s="38" t="s">
        <v>240</v>
      </c>
      <c r="F30" s="10">
        <v>1</v>
      </c>
      <c r="G30" s="9"/>
      <c r="H30" s="11"/>
    </row>
    <row r="31" spans="2:8" x14ac:dyDescent="0.2">
      <c r="B31" s="4" t="s">
        <v>39</v>
      </c>
      <c r="C31" s="9" t="s">
        <v>40</v>
      </c>
      <c r="D31" s="9"/>
      <c r="E31" s="9"/>
      <c r="F31" s="9"/>
      <c r="G31" s="9"/>
      <c r="H31" s="11"/>
    </row>
    <row r="32" spans="2:8" x14ac:dyDescent="0.2">
      <c r="B32" s="4" t="s">
        <v>41</v>
      </c>
      <c r="C32" s="9" t="s">
        <v>42</v>
      </c>
      <c r="D32" s="9"/>
      <c r="E32" s="9"/>
      <c r="F32" s="9"/>
      <c r="G32" s="9"/>
      <c r="H32" s="11"/>
    </row>
    <row r="33" spans="2:8" x14ac:dyDescent="0.2">
      <c r="B33" s="64" t="s">
        <v>300</v>
      </c>
      <c r="C33" s="60" t="s">
        <v>301</v>
      </c>
      <c r="D33" s="60" t="s">
        <v>190</v>
      </c>
      <c r="E33" s="60" t="s">
        <v>302</v>
      </c>
      <c r="F33" s="10">
        <v>1</v>
      </c>
      <c r="G33" s="9"/>
      <c r="H33" s="11"/>
    </row>
    <row r="34" spans="2:8" x14ac:dyDescent="0.2">
      <c r="B34" s="4" t="s">
        <v>43</v>
      </c>
      <c r="C34" s="9" t="s">
        <v>68</v>
      </c>
      <c r="D34" s="9" t="s">
        <v>67</v>
      </c>
      <c r="E34" s="9" t="s">
        <v>44</v>
      </c>
      <c r="F34" s="10">
        <v>1</v>
      </c>
      <c r="G34" s="9"/>
      <c r="H34" s="11"/>
    </row>
    <row r="35" spans="2:8" x14ac:dyDescent="0.2">
      <c r="B35" s="4" t="s">
        <v>45</v>
      </c>
      <c r="C35" s="9" t="s">
        <v>46</v>
      </c>
      <c r="D35" s="9"/>
      <c r="E35" s="9"/>
      <c r="F35" s="9"/>
      <c r="G35" s="9"/>
      <c r="H35" s="11"/>
    </row>
    <row r="36" spans="2:8" x14ac:dyDescent="0.2">
      <c r="B36" s="4" t="s">
        <v>47</v>
      </c>
      <c r="C36" s="9" t="s">
        <v>48</v>
      </c>
      <c r="D36" s="9"/>
      <c r="E36" s="9"/>
      <c r="F36" s="9"/>
      <c r="G36" s="9"/>
      <c r="H36" s="11"/>
    </row>
    <row r="37" spans="2:8" x14ac:dyDescent="0.2">
      <c r="B37" s="5" t="s">
        <v>50</v>
      </c>
      <c r="C37" s="12"/>
      <c r="D37" s="12"/>
      <c r="E37" s="12"/>
      <c r="F37" s="12"/>
      <c r="G37" s="12"/>
      <c r="H37" s="13"/>
    </row>
    <row r="39" spans="2:8" x14ac:dyDescent="0.2">
      <c r="E39" s="58" t="s">
        <v>267</v>
      </c>
      <c r="G39" s="1" t="s">
        <v>73</v>
      </c>
    </row>
    <row r="40" spans="2:8" x14ac:dyDescent="0.2">
      <c r="G40" s="1" t="s">
        <v>74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83"/>
  <sheetViews>
    <sheetView tabSelected="1" zoomScale="160" zoomScaleNormal="160" workbookViewId="0">
      <pane xSplit="2" ySplit="2" topLeftCell="AL34" activePane="bottomRight" state="frozen"/>
      <selection pane="topRight" activeCell="C1" sqref="C1"/>
      <selection pane="bottomLeft" activeCell="A3" sqref="A3"/>
      <selection pane="bottomRight" activeCell="AX45" sqref="AX45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1" width="9.140625" style="2"/>
    <col min="72" max="74" width="9.140625" style="1"/>
    <col min="75" max="75" width="12.28515625" style="1" bestFit="1" customWidth="1"/>
    <col min="76" max="16384" width="9.140625" style="1"/>
  </cols>
  <sheetData>
    <row r="1" spans="1:72" ht="15" x14ac:dyDescent="0.25">
      <c r="A1" s="59" t="s">
        <v>78</v>
      </c>
    </row>
    <row r="2" spans="1:72" x14ac:dyDescent="0.2">
      <c r="C2" s="2" t="s">
        <v>62</v>
      </c>
      <c r="D2" s="2" t="s">
        <v>63</v>
      </c>
      <c r="E2" s="2" t="s">
        <v>64</v>
      </c>
      <c r="F2" s="2" t="s">
        <v>65</v>
      </c>
      <c r="G2" s="2" t="s">
        <v>1</v>
      </c>
      <c r="H2" s="2" t="s">
        <v>61</v>
      </c>
      <c r="I2" s="2" t="s">
        <v>60</v>
      </c>
      <c r="J2" s="2" t="s">
        <v>82</v>
      </c>
      <c r="K2" s="2" t="s">
        <v>83</v>
      </c>
      <c r="L2" s="2" t="s">
        <v>75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2" t="s">
        <v>90</v>
      </c>
      <c r="T2" s="22" t="s">
        <v>91</v>
      </c>
      <c r="U2" s="22" t="s">
        <v>92</v>
      </c>
      <c r="V2" s="22" t="s">
        <v>93</v>
      </c>
      <c r="W2" s="22" t="s">
        <v>94</v>
      </c>
      <c r="X2" s="22" t="s">
        <v>95</v>
      </c>
      <c r="Y2" s="22" t="s">
        <v>96</v>
      </c>
      <c r="Z2" s="22" t="s">
        <v>97</v>
      </c>
      <c r="AA2" s="22" t="s">
        <v>98</v>
      </c>
      <c r="AB2" s="22" t="s">
        <v>99</v>
      </c>
      <c r="AC2" s="22" t="s">
        <v>100</v>
      </c>
      <c r="AD2" s="22" t="s">
        <v>101</v>
      </c>
      <c r="AE2" s="22" t="s">
        <v>102</v>
      </c>
      <c r="AF2" s="22" t="s">
        <v>103</v>
      </c>
      <c r="AG2" s="22" t="s">
        <v>104</v>
      </c>
      <c r="AH2" s="22" t="s">
        <v>105</v>
      </c>
      <c r="AI2" s="22" t="s">
        <v>106</v>
      </c>
      <c r="AJ2" s="22" t="s">
        <v>107</v>
      </c>
      <c r="AK2" s="22" t="s">
        <v>108</v>
      </c>
      <c r="AL2" s="22" t="s">
        <v>109</v>
      </c>
      <c r="AM2" s="22" t="s">
        <v>110</v>
      </c>
      <c r="AN2" s="22" t="s">
        <v>111</v>
      </c>
      <c r="AO2" s="22" t="s">
        <v>112</v>
      </c>
      <c r="AP2" s="22" t="s">
        <v>113</v>
      </c>
      <c r="AQ2" s="22" t="s">
        <v>114</v>
      </c>
      <c r="AR2" s="22" t="s">
        <v>115</v>
      </c>
      <c r="AS2" s="22" t="s">
        <v>116</v>
      </c>
      <c r="AT2" s="22" t="s">
        <v>117</v>
      </c>
      <c r="AU2" s="45" t="s">
        <v>250</v>
      </c>
      <c r="AV2" s="45" t="s">
        <v>251</v>
      </c>
      <c r="AW2" s="45" t="s">
        <v>252</v>
      </c>
      <c r="AX2" s="45" t="s">
        <v>253</v>
      </c>
      <c r="AY2" s="45"/>
      <c r="AZ2" s="45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1:72" x14ac:dyDescent="0.2">
      <c r="B3" s="56" t="s">
        <v>265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45"/>
      <c r="AV3" s="45"/>
      <c r="AW3" s="45"/>
      <c r="AX3" s="45"/>
      <c r="AY3" s="45"/>
      <c r="AZ3" s="45"/>
      <c r="BJ3" s="16">
        <f>+BJ5+BJ8+BJ12</f>
        <v>22153</v>
      </c>
      <c r="BK3" s="16">
        <f t="shared" ref="BK3:BT3" si="1">+BK5+BK8+BK12</f>
        <v>25284</v>
      </c>
      <c r="BL3" s="16">
        <f t="shared" si="1"/>
        <v>28323.47</v>
      </c>
      <c r="BM3" s="16">
        <f t="shared" si="1"/>
        <v>19471.707000000002</v>
      </c>
      <c r="BN3" s="16">
        <f t="shared" si="1"/>
        <v>20476.390660000001</v>
      </c>
      <c r="BO3" s="16">
        <f t="shared" si="1"/>
        <v>22180.3928848</v>
      </c>
      <c r="BP3" s="16">
        <f t="shared" si="1"/>
        <v>20900.337113344001</v>
      </c>
      <c r="BQ3" s="16">
        <f t="shared" si="1"/>
        <v>19970.973180344325</v>
      </c>
      <c r="BR3" s="16">
        <f t="shared" si="1"/>
        <v>17700.960655434654</v>
      </c>
      <c r="BS3" s="16">
        <f t="shared" si="1"/>
        <v>16797.418614937695</v>
      </c>
      <c r="BT3" s="16">
        <f t="shared" si="1"/>
        <v>13870.545678055239</v>
      </c>
    </row>
    <row r="4" spans="1:72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5"/>
      <c r="AV4" s="45"/>
      <c r="AW4" s="45"/>
      <c r="AX4" s="45"/>
      <c r="AY4" s="45"/>
      <c r="AZ4" s="45"/>
    </row>
    <row r="5" spans="1:72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f>+AP5*0.98</f>
        <v>5227.32</v>
      </c>
      <c r="AU5" s="16">
        <f>+AQ5*0.95</f>
        <v>4499.2</v>
      </c>
      <c r="AV5" s="16">
        <f>+AR5*0.9</f>
        <v>4826.7</v>
      </c>
      <c r="AW5" s="16">
        <f>+AS5*0.85</f>
        <v>4725.1499999999996</v>
      </c>
      <c r="AX5" s="16">
        <f>+AT5*0.8</f>
        <v>4181.8559999999998</v>
      </c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>
        <f>SUM(AI5:AL5)</f>
        <v>19832</v>
      </c>
      <c r="BK5" s="16">
        <f>SUM(AM5:AP5)</f>
        <v>20694</v>
      </c>
      <c r="BL5" s="16">
        <f>SUM(AQ5:AT5)</f>
        <v>20885.32</v>
      </c>
      <c r="BM5" s="16">
        <f>+BL5*0.5</f>
        <v>10442.66</v>
      </c>
      <c r="BN5" s="16">
        <f>+BM5*0.9</f>
        <v>9398.3940000000002</v>
      </c>
      <c r="BO5" s="16">
        <f>+BN5*0.9</f>
        <v>8458.5546000000013</v>
      </c>
      <c r="BP5" s="16">
        <f>+BO5*0.8</f>
        <v>6766.8436800000018</v>
      </c>
      <c r="BQ5" s="16">
        <f>+BP5*0.8</f>
        <v>5413.4749440000014</v>
      </c>
      <c r="BR5" s="16">
        <f t="shared" ref="BR5:BT5" si="2">+BQ5*0.5</f>
        <v>2706.7374720000007</v>
      </c>
      <c r="BS5" s="16">
        <f t="shared" si="2"/>
        <v>1353.3687360000004</v>
      </c>
      <c r="BT5" s="16">
        <f t="shared" si="2"/>
        <v>676.68436800000018</v>
      </c>
    </row>
    <row r="6" spans="1:72" s="15" customFormat="1" x14ac:dyDescent="0.2">
      <c r="B6" s="23" t="s">
        <v>127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v>0</v>
      </c>
      <c r="AH6" s="16">
        <v>0</v>
      </c>
      <c r="AI6" s="16">
        <v>0</v>
      </c>
      <c r="AJ6" s="48" t="s">
        <v>245</v>
      </c>
      <c r="AK6" s="42" t="s">
        <v>211</v>
      </c>
      <c r="AL6" s="28" t="s">
        <v>163</v>
      </c>
      <c r="AM6" s="28" t="s">
        <v>158</v>
      </c>
      <c r="AN6" s="28" t="s">
        <v>157</v>
      </c>
      <c r="AO6" s="28" t="s">
        <v>156</v>
      </c>
      <c r="AP6" s="28" t="s">
        <v>155</v>
      </c>
      <c r="AQ6" s="24" t="s">
        <v>126</v>
      </c>
      <c r="AR6" s="42" t="s">
        <v>212</v>
      </c>
      <c r="AS6" s="53" t="s">
        <v>263</v>
      </c>
      <c r="AT6" s="43" t="s">
        <v>213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48" t="s">
        <v>254</v>
      </c>
      <c r="BK6" s="48" t="s">
        <v>255</v>
      </c>
      <c r="BL6" s="48" t="s">
        <v>256</v>
      </c>
      <c r="BM6" s="16"/>
      <c r="BN6" s="16"/>
      <c r="BO6" s="16"/>
      <c r="BP6" s="16"/>
      <c r="BQ6" s="16"/>
      <c r="BR6" s="16"/>
      <c r="BS6" s="16"/>
    </row>
    <row r="7" spans="1:72" s="15" customFormat="1" x14ac:dyDescent="0.2">
      <c r="B7" s="23" t="s">
        <v>120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f>+AP7*0.9</f>
        <v>1246.5</v>
      </c>
      <c r="AU7" s="16">
        <f t="shared" ref="AU7:AX7" si="3">+AQ7*0.9</f>
        <v>1055.7</v>
      </c>
      <c r="AV7" s="16">
        <f t="shared" si="3"/>
        <v>1030.5</v>
      </c>
      <c r="AW7" s="16">
        <f t="shared" si="3"/>
        <v>1021.5</v>
      </c>
      <c r="AX7" s="16">
        <f t="shared" si="3"/>
        <v>1121.8500000000001</v>
      </c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>
        <f t="shared" ref="BJ7:BJ40" si="4">SUM(AI7:AL7)</f>
        <v>5314</v>
      </c>
      <c r="BK7" s="16">
        <f t="shared" ref="BK7:BK41" si="5">SUM(AM7:AP7)</f>
        <v>5408</v>
      </c>
      <c r="BL7" s="16">
        <f t="shared" ref="BL7:BL41" si="6">SUM(AQ7:AT7)</f>
        <v>4699.5</v>
      </c>
      <c r="BM7" s="16">
        <f>+BL7*0.9</f>
        <v>4229.55</v>
      </c>
      <c r="BN7" s="16">
        <f t="shared" ref="BN7:BT7" si="7">+BM7*0.9</f>
        <v>3806.5950000000003</v>
      </c>
      <c r="BO7" s="16">
        <f t="shared" si="7"/>
        <v>3425.9355000000005</v>
      </c>
      <c r="BP7" s="16">
        <f t="shared" si="7"/>
        <v>3083.3419500000005</v>
      </c>
      <c r="BQ7" s="16">
        <f t="shared" si="7"/>
        <v>2775.0077550000005</v>
      </c>
      <c r="BR7" s="16">
        <f t="shared" si="7"/>
        <v>2497.5069795000004</v>
      </c>
      <c r="BS7" s="16">
        <f t="shared" si="7"/>
        <v>2247.7562815500005</v>
      </c>
      <c r="BT7" s="16">
        <f t="shared" si="7"/>
        <v>2022.9806533950004</v>
      </c>
    </row>
    <row r="8" spans="1:72" s="15" customFormat="1" x14ac:dyDescent="0.2">
      <c r="B8" s="23" t="s">
        <v>118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f>+AP8*1.65</f>
        <v>1476.75</v>
      </c>
      <c r="AU8" s="16">
        <f>+AQ8*1.65</f>
        <v>1551</v>
      </c>
      <c r="AV8" s="16">
        <f>+AR8*1.5</f>
        <v>1878</v>
      </c>
      <c r="AW8" s="16">
        <f>+AS8*1.4</f>
        <v>1955.8</v>
      </c>
      <c r="AX8" s="16">
        <f>+AT8*1.3</f>
        <v>1919.7750000000001</v>
      </c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>
        <f t="shared" si="4"/>
        <v>1590</v>
      </c>
      <c r="BK8" s="16">
        <f t="shared" si="5"/>
        <v>2939</v>
      </c>
      <c r="BL8" s="16">
        <f t="shared" si="6"/>
        <v>5065.75</v>
      </c>
      <c r="BM8" s="16">
        <f>+BL8*1.3</f>
        <v>6585.4750000000004</v>
      </c>
      <c r="BN8" s="16">
        <f>+BM8*1.3</f>
        <v>8561.1175000000003</v>
      </c>
      <c r="BO8" s="16">
        <f>+BN8*1.3</f>
        <v>11129.45275</v>
      </c>
      <c r="BP8" s="16">
        <f>+BO8*1.03</f>
        <v>11463.336332500001</v>
      </c>
      <c r="BQ8" s="16">
        <f t="shared" ref="BQ8:BT8" si="8">+BP8*1.03</f>
        <v>11807.236422475002</v>
      </c>
      <c r="BR8" s="16">
        <f t="shared" si="8"/>
        <v>12161.453515149253</v>
      </c>
      <c r="BS8" s="16">
        <f t="shared" si="8"/>
        <v>12526.297120603731</v>
      </c>
      <c r="BT8" s="16">
        <f t="shared" si="8"/>
        <v>12902.086034221844</v>
      </c>
    </row>
    <row r="9" spans="1:72" s="15" customFormat="1" x14ac:dyDescent="0.2">
      <c r="B9" s="23" t="s">
        <v>122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f>+AP9*1.15</f>
        <v>719.9</v>
      </c>
      <c r="AU9" s="16">
        <f>+AQ9*1.03</f>
        <v>660.23</v>
      </c>
      <c r="AV9" s="16">
        <f t="shared" ref="AV9:AV10" si="9">+AR9*1.03</f>
        <v>715.85</v>
      </c>
      <c r="AW9" s="16">
        <f t="shared" ref="AW9:AW10" si="10">+AS9*1.03</f>
        <v>656.11</v>
      </c>
      <c r="AX9" s="16">
        <f t="shared" ref="AX9:AX10" si="11">+AT9*1.03</f>
        <v>741.49699999999996</v>
      </c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f t="shared" si="4"/>
        <v>1112</v>
      </c>
      <c r="BK9" s="16">
        <f t="shared" si="5"/>
        <v>2232</v>
      </c>
      <c r="BL9" s="16">
        <f t="shared" si="6"/>
        <v>2692.9</v>
      </c>
      <c r="BM9" s="16">
        <f>+BL9*1.05</f>
        <v>2827.5450000000001</v>
      </c>
      <c r="BN9" s="16">
        <f t="shared" ref="BN9:BT9" si="12">+BM9*1.05</f>
        <v>2968.9222500000001</v>
      </c>
      <c r="BO9" s="16">
        <f t="shared" si="12"/>
        <v>3117.3683625000003</v>
      </c>
      <c r="BP9" s="16">
        <f t="shared" si="12"/>
        <v>3273.2367806250004</v>
      </c>
      <c r="BQ9" s="16">
        <f t="shared" si="12"/>
        <v>3436.8986196562505</v>
      </c>
      <c r="BR9" s="16">
        <f t="shared" si="12"/>
        <v>3608.743550639063</v>
      </c>
      <c r="BS9" s="16">
        <f t="shared" si="12"/>
        <v>3789.1807281710162</v>
      </c>
      <c r="BT9" s="16">
        <f t="shared" si="12"/>
        <v>3978.6397645795673</v>
      </c>
    </row>
    <row r="10" spans="1:72" s="15" customFormat="1" x14ac:dyDescent="0.2">
      <c r="B10" s="23" t="s">
        <v>125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f>+AP10*1.15</f>
        <v>771.65</v>
      </c>
      <c r="AU10" s="16">
        <f t="shared" ref="AU10" si="13">+AQ10*1.03</f>
        <v>632.42000000000007</v>
      </c>
      <c r="AV10" s="16">
        <f t="shared" si="9"/>
        <v>698.34</v>
      </c>
      <c r="AW10" s="16">
        <f t="shared" si="10"/>
        <v>719.97</v>
      </c>
      <c r="AX10" s="16">
        <f t="shared" si="11"/>
        <v>794.79949999999997</v>
      </c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>
        <f t="shared" si="4"/>
        <v>1387</v>
      </c>
      <c r="BK10" s="16">
        <f t="shared" si="5"/>
        <v>2451</v>
      </c>
      <c r="BL10" s="16">
        <f t="shared" si="6"/>
        <v>2762.65</v>
      </c>
      <c r="BM10" s="16">
        <f t="shared" ref="BM10:BT10" si="14">+BL10*1.05</f>
        <v>2900.7825000000003</v>
      </c>
      <c r="BN10" s="16">
        <f t="shared" si="14"/>
        <v>3045.8216250000005</v>
      </c>
      <c r="BO10" s="16">
        <f t="shared" si="14"/>
        <v>3198.1127062500004</v>
      </c>
      <c r="BP10" s="16">
        <f t="shared" si="14"/>
        <v>3358.0183415625006</v>
      </c>
      <c r="BQ10" s="16">
        <f t="shared" si="14"/>
        <v>3525.9192586406257</v>
      </c>
      <c r="BR10" s="16">
        <f t="shared" si="14"/>
        <v>3702.2152215726569</v>
      </c>
      <c r="BS10" s="16">
        <f t="shared" si="14"/>
        <v>3887.3259826512899</v>
      </c>
      <c r="BT10" s="16">
        <f t="shared" si="14"/>
        <v>4081.6922817838545</v>
      </c>
    </row>
    <row r="11" spans="1:72" s="15" customFormat="1" x14ac:dyDescent="0.2">
      <c r="B11" s="23" t="s">
        <v>121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f>+AP11*1.05</f>
        <v>512.4</v>
      </c>
      <c r="AU11" s="16">
        <f t="shared" ref="AU11:AX11" si="15">+AQ11*1.05</f>
        <v>496.65000000000003</v>
      </c>
      <c r="AV11" s="16">
        <f t="shared" si="15"/>
        <v>530.25</v>
      </c>
      <c r="AW11" s="16">
        <f t="shared" si="15"/>
        <v>540.75</v>
      </c>
      <c r="AX11" s="16">
        <f t="shared" si="15"/>
        <v>538.02</v>
      </c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>
        <f t="shared" si="4"/>
        <v>1337</v>
      </c>
      <c r="BK11" s="16">
        <f t="shared" si="5"/>
        <v>1820</v>
      </c>
      <c r="BL11" s="16">
        <f t="shared" si="6"/>
        <v>2005.4</v>
      </c>
      <c r="BM11" s="16">
        <f>+BL11*1.03</f>
        <v>2065.5620000000004</v>
      </c>
      <c r="BN11" s="16">
        <f t="shared" ref="BN11:BS11" si="16">+BM11*1.03</f>
        <v>2127.5288600000003</v>
      </c>
      <c r="BO11" s="16">
        <f t="shared" si="16"/>
        <v>2191.3547258000003</v>
      </c>
      <c r="BP11" s="16">
        <f t="shared" si="16"/>
        <v>2257.0953675740002</v>
      </c>
      <c r="BQ11" s="16">
        <f t="shared" si="16"/>
        <v>2324.8082286012204</v>
      </c>
      <c r="BR11" s="16">
        <f t="shared" si="16"/>
        <v>2394.552475459257</v>
      </c>
      <c r="BS11" s="16">
        <f t="shared" si="16"/>
        <v>2466.389049723035</v>
      </c>
      <c r="BT11" s="15">
        <f>+BS11*0.1</f>
        <v>246.63890497230352</v>
      </c>
    </row>
    <row r="12" spans="1:72" s="15" customFormat="1" x14ac:dyDescent="0.2">
      <c r="B12" s="23" t="s">
        <v>119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f>+AP12*1.2</f>
        <v>620.4</v>
      </c>
      <c r="AU12" s="16">
        <f t="shared" ref="AU12:AX12" si="17">+AQ12*1.2</f>
        <v>558</v>
      </c>
      <c r="AV12" s="16">
        <f t="shared" si="17"/>
        <v>710.4</v>
      </c>
      <c r="AW12" s="16">
        <f t="shared" si="17"/>
        <v>834</v>
      </c>
      <c r="AX12" s="16">
        <f t="shared" si="17"/>
        <v>744.4799999999999</v>
      </c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>
        <f t="shared" si="4"/>
        <v>731</v>
      </c>
      <c r="BK12" s="16">
        <f t="shared" si="5"/>
        <v>1651</v>
      </c>
      <c r="BL12" s="16">
        <f t="shared" si="6"/>
        <v>2372.4</v>
      </c>
      <c r="BM12" s="16">
        <f t="shared" ref="BM12:BS12" si="18">+BL12*1.03</f>
        <v>2443.5720000000001</v>
      </c>
      <c r="BN12" s="16">
        <f t="shared" si="18"/>
        <v>2516.8791600000004</v>
      </c>
      <c r="BO12" s="16">
        <f t="shared" si="18"/>
        <v>2592.3855348000006</v>
      </c>
      <c r="BP12" s="16">
        <f t="shared" si="18"/>
        <v>2670.1571008440005</v>
      </c>
      <c r="BQ12" s="16">
        <f t="shared" si="18"/>
        <v>2750.2618138693206</v>
      </c>
      <c r="BR12" s="16">
        <f t="shared" si="18"/>
        <v>2832.7696682854003</v>
      </c>
      <c r="BS12" s="16">
        <f t="shared" si="18"/>
        <v>2917.7527583339624</v>
      </c>
      <c r="BT12" s="15">
        <f t="shared" ref="BT12:BT13" si="19">+BS12*0.1</f>
        <v>291.77527583339628</v>
      </c>
    </row>
    <row r="13" spans="1:72" s="15" customFormat="1" x14ac:dyDescent="0.2">
      <c r="B13" s="23" t="s">
        <v>128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f>+AP13*1.01</f>
        <v>493.89</v>
      </c>
      <c r="AU13" s="16">
        <f t="shared" ref="AU13:AX14" si="20">+AQ13*1.01</f>
        <v>431.27</v>
      </c>
      <c r="AV13" s="16">
        <f t="shared" si="20"/>
        <v>496.92</v>
      </c>
      <c r="AW13" s="16">
        <f t="shared" si="20"/>
        <v>559.54</v>
      </c>
      <c r="AX13" s="16">
        <f t="shared" si="20"/>
        <v>498.82889999999998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>
        <f t="shared" si="4"/>
        <v>951</v>
      </c>
      <c r="BK13" s="16">
        <f t="shared" si="5"/>
        <v>1728</v>
      </c>
      <c r="BL13" s="16">
        <f t="shared" si="6"/>
        <v>1966.8899999999999</v>
      </c>
      <c r="BM13" s="16">
        <f t="shared" ref="BM13:BS13" si="21">+BL13*1.03</f>
        <v>2025.8967</v>
      </c>
      <c r="BN13" s="16">
        <f t="shared" si="21"/>
        <v>2086.673601</v>
      </c>
      <c r="BO13" s="16">
        <f t="shared" si="21"/>
        <v>2149.2738090299999</v>
      </c>
      <c r="BP13" s="16">
        <f t="shared" si="21"/>
        <v>2213.7520233009</v>
      </c>
      <c r="BQ13" s="16">
        <f t="shared" si="21"/>
        <v>2280.1645839999269</v>
      </c>
      <c r="BR13" s="16">
        <f t="shared" si="21"/>
        <v>2348.5695215199248</v>
      </c>
      <c r="BS13" s="16">
        <f t="shared" si="21"/>
        <v>2419.0266071655228</v>
      </c>
      <c r="BT13" s="15">
        <f t="shared" si="19"/>
        <v>241.9026607165523</v>
      </c>
    </row>
    <row r="14" spans="1:72" s="15" customFormat="1" x14ac:dyDescent="0.2">
      <c r="B14" s="23" t="s">
        <v>123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f>+AP14*1.01</f>
        <v>254.52</v>
      </c>
      <c r="AU14" s="16">
        <f t="shared" si="20"/>
        <v>414.1</v>
      </c>
      <c r="AV14" s="16">
        <f t="shared" si="20"/>
        <v>347.44</v>
      </c>
      <c r="AW14" s="16">
        <f t="shared" si="20"/>
        <v>355.52</v>
      </c>
      <c r="AX14" s="16">
        <f t="shared" si="20"/>
        <v>257.0652</v>
      </c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>
        <f t="shared" si="4"/>
        <v>718</v>
      </c>
      <c r="BK14" s="16">
        <f t="shared" si="5"/>
        <v>1355</v>
      </c>
      <c r="BL14" s="16">
        <f t="shared" si="6"/>
        <v>1360.52</v>
      </c>
      <c r="BM14" s="16">
        <f>+BL14*1.05</f>
        <v>1428.546</v>
      </c>
      <c r="BN14" s="16">
        <f t="shared" ref="BN14:BT14" si="22">+BM14*1.05</f>
        <v>1499.9733000000001</v>
      </c>
      <c r="BO14" s="16">
        <f t="shared" si="22"/>
        <v>1574.9719650000002</v>
      </c>
      <c r="BP14" s="16">
        <f t="shared" si="22"/>
        <v>1653.7205632500002</v>
      </c>
      <c r="BQ14" s="16">
        <f t="shared" si="22"/>
        <v>1736.4065914125003</v>
      </c>
      <c r="BR14" s="16">
        <f t="shared" si="22"/>
        <v>1823.2269209831254</v>
      </c>
      <c r="BS14" s="16">
        <f t="shared" si="22"/>
        <v>1914.3882670322819</v>
      </c>
      <c r="BT14" s="16">
        <f t="shared" si="22"/>
        <v>2010.107680383896</v>
      </c>
    </row>
    <row r="15" spans="1:72" s="15" customFormat="1" x14ac:dyDescent="0.2">
      <c r="B15" s="23" t="s">
        <v>136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f>+AP15*0.9</f>
        <v>384.3</v>
      </c>
      <c r="AU15" s="16">
        <f t="shared" ref="AU15:AX15" si="23">+AQ15*0.9</f>
        <v>342</v>
      </c>
      <c r="AV15" s="16">
        <f t="shared" si="23"/>
        <v>358.2</v>
      </c>
      <c r="AW15" s="16">
        <f t="shared" si="23"/>
        <v>344.7</v>
      </c>
      <c r="AX15" s="16">
        <f t="shared" si="23"/>
        <v>345.87</v>
      </c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>
        <f t="shared" si="4"/>
        <v>1830</v>
      </c>
      <c r="BK15" s="16">
        <f t="shared" si="5"/>
        <v>1710</v>
      </c>
      <c r="BL15" s="16">
        <f t="shared" si="6"/>
        <v>1545.3</v>
      </c>
      <c r="BM15" s="16">
        <f>+BL15*0.7</f>
        <v>1081.7099999999998</v>
      </c>
      <c r="BN15" s="16">
        <f t="shared" ref="BN15:BT15" si="24">+BM15*0.7</f>
        <v>757.19699999999978</v>
      </c>
      <c r="BO15" s="16">
        <f t="shared" si="24"/>
        <v>530.03789999999981</v>
      </c>
      <c r="BP15" s="16">
        <f t="shared" si="24"/>
        <v>371.02652999999987</v>
      </c>
      <c r="BQ15" s="16">
        <f t="shared" si="24"/>
        <v>259.71857099999988</v>
      </c>
      <c r="BR15" s="16">
        <f t="shared" si="24"/>
        <v>181.8029996999999</v>
      </c>
      <c r="BS15" s="16">
        <f t="shared" si="24"/>
        <v>127.26209978999992</v>
      </c>
      <c r="BT15" s="16">
        <f t="shared" si="24"/>
        <v>89.08346985299994</v>
      </c>
    </row>
    <row r="16" spans="1:72" s="15" customFormat="1" x14ac:dyDescent="0.2">
      <c r="B16" s="23" t="s">
        <v>124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f>+AP16*0.95</f>
        <v>331.55</v>
      </c>
      <c r="AU16" s="16">
        <f t="shared" ref="AU16:AX16" si="25">+AQ16*0.95</f>
        <v>306.84999999999997</v>
      </c>
      <c r="AV16" s="16">
        <f t="shared" si="25"/>
        <v>315.39999999999998</v>
      </c>
      <c r="AW16" s="16">
        <f t="shared" si="25"/>
        <v>296.39999999999998</v>
      </c>
      <c r="AX16" s="16">
        <f t="shared" si="25"/>
        <v>314.97249999999997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>
        <f t="shared" si="4"/>
        <v>760</v>
      </c>
      <c r="BK16" s="16">
        <f t="shared" si="5"/>
        <v>1466</v>
      </c>
      <c r="BL16" s="16">
        <f t="shared" si="6"/>
        <v>1298.55</v>
      </c>
      <c r="BM16" s="16">
        <f>+BL16*0.9</f>
        <v>1168.6949999999999</v>
      </c>
      <c r="BN16" s="16">
        <f t="shared" ref="BN16:BT16" si="26">+BM16*0.9</f>
        <v>1051.8254999999999</v>
      </c>
      <c r="BO16" s="16">
        <f t="shared" si="26"/>
        <v>946.64294999999993</v>
      </c>
      <c r="BP16" s="16">
        <f t="shared" si="26"/>
        <v>851.978655</v>
      </c>
      <c r="BQ16" s="16">
        <f t="shared" si="26"/>
        <v>766.78078949999997</v>
      </c>
      <c r="BR16" s="16">
        <f t="shared" si="26"/>
        <v>690.10271054999998</v>
      </c>
      <c r="BS16" s="16">
        <f t="shared" si="26"/>
        <v>621.09243949500001</v>
      </c>
      <c r="BT16" s="16">
        <f t="shared" si="26"/>
        <v>558.98319554550005</v>
      </c>
    </row>
    <row r="17" spans="2:72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f>+AP17</f>
        <v>327</v>
      </c>
      <c r="AU17" s="16">
        <f t="shared" ref="AU17:AX17" si="27">+AQ17</f>
        <v>287</v>
      </c>
      <c r="AV17" s="16">
        <f t="shared" si="27"/>
        <v>318</v>
      </c>
      <c r="AW17" s="16">
        <f t="shared" si="27"/>
        <v>336</v>
      </c>
      <c r="AX17" s="16">
        <f t="shared" si="27"/>
        <v>327</v>
      </c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>
        <f t="shared" si="4"/>
        <v>1114</v>
      </c>
      <c r="BK17" s="16">
        <f t="shared" si="5"/>
        <v>1191</v>
      </c>
      <c r="BL17" s="16">
        <f t="shared" si="6"/>
        <v>1268</v>
      </c>
      <c r="BM17" s="16">
        <f>+BL17*1.03</f>
        <v>1306.04</v>
      </c>
      <c r="BN17" s="16">
        <f t="shared" ref="BN17:BT17" si="28">+BM17*1.03</f>
        <v>1345.2212</v>
      </c>
      <c r="BO17" s="16">
        <f t="shared" si="28"/>
        <v>1385.5778359999999</v>
      </c>
      <c r="BP17" s="16">
        <f t="shared" si="28"/>
        <v>1427.14517108</v>
      </c>
      <c r="BQ17" s="16">
        <f t="shared" si="28"/>
        <v>1469.9595262124001</v>
      </c>
      <c r="BR17" s="16">
        <f t="shared" si="28"/>
        <v>1514.0583119987721</v>
      </c>
      <c r="BS17" s="16">
        <f t="shared" si="28"/>
        <v>1559.4800613587354</v>
      </c>
      <c r="BT17" s="16">
        <f t="shared" si="28"/>
        <v>1606.2644631994974</v>
      </c>
    </row>
    <row r="18" spans="2:72" s="15" customFormat="1" x14ac:dyDescent="0.2">
      <c r="B18" s="23" t="s">
        <v>135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327</v>
      </c>
      <c r="AS18" s="16">
        <v>287</v>
      </c>
      <c r="AT18" s="16">
        <f>+AP18*0.95</f>
        <v>290.7</v>
      </c>
      <c r="AU18" s="16">
        <f t="shared" ref="AU18:AX18" si="29">+AQ18*0.95</f>
        <v>264.09999999999997</v>
      </c>
      <c r="AV18" s="16">
        <f t="shared" si="29"/>
        <v>310.64999999999998</v>
      </c>
      <c r="AW18" s="16">
        <f t="shared" si="29"/>
        <v>272.64999999999998</v>
      </c>
      <c r="AX18" s="16">
        <f t="shared" si="29"/>
        <v>276.16499999999996</v>
      </c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>
        <f t="shared" si="4"/>
        <v>693</v>
      </c>
      <c r="BK18" s="16">
        <f t="shared" si="5"/>
        <v>1169</v>
      </c>
      <c r="BL18" s="16">
        <f t="shared" si="6"/>
        <v>1182.7</v>
      </c>
      <c r="BM18" s="16">
        <f>+BL18*0.9</f>
        <v>1064.43</v>
      </c>
      <c r="BN18" s="16">
        <f t="shared" ref="BN18:BT18" si="30">+BM18*0.9</f>
        <v>957.98700000000008</v>
      </c>
      <c r="BO18" s="16">
        <f t="shared" si="30"/>
        <v>862.18830000000014</v>
      </c>
      <c r="BP18" s="16">
        <f t="shared" si="30"/>
        <v>775.96947000000011</v>
      </c>
      <c r="BQ18" s="16">
        <f t="shared" si="30"/>
        <v>698.37252300000011</v>
      </c>
      <c r="BR18" s="16">
        <f t="shared" si="30"/>
        <v>628.53527070000007</v>
      </c>
      <c r="BS18" s="16">
        <f t="shared" si="30"/>
        <v>565.68174363000003</v>
      </c>
      <c r="BT18" s="16">
        <f t="shared" si="30"/>
        <v>509.11356926700006</v>
      </c>
    </row>
    <row r="19" spans="2:72" s="15" customFormat="1" x14ac:dyDescent="0.2">
      <c r="B19" s="23" t="s">
        <v>134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f>+AS19-10</f>
        <v>132</v>
      </c>
      <c r="AU19" s="16">
        <f t="shared" ref="AU19:AX19" si="31">+AT19-10</f>
        <v>122</v>
      </c>
      <c r="AV19" s="16">
        <f t="shared" si="31"/>
        <v>112</v>
      </c>
      <c r="AW19" s="16">
        <f t="shared" si="31"/>
        <v>102</v>
      </c>
      <c r="AX19" s="16">
        <f t="shared" si="31"/>
        <v>92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>
        <f t="shared" si="4"/>
        <v>787</v>
      </c>
      <c r="BK19" s="16">
        <f t="shared" si="5"/>
        <v>1290</v>
      </c>
      <c r="BL19" s="16">
        <f t="shared" si="6"/>
        <v>688</v>
      </c>
      <c r="BM19" s="16">
        <f t="shared" ref="BM19:BT19" si="32">+BL19*0.9</f>
        <v>619.20000000000005</v>
      </c>
      <c r="BN19" s="16">
        <f t="shared" si="32"/>
        <v>557.28000000000009</v>
      </c>
      <c r="BO19" s="16">
        <f t="shared" si="32"/>
        <v>501.55200000000008</v>
      </c>
      <c r="BP19" s="16">
        <f t="shared" si="32"/>
        <v>451.3968000000001</v>
      </c>
      <c r="BQ19" s="16">
        <f t="shared" si="32"/>
        <v>406.2571200000001</v>
      </c>
      <c r="BR19" s="16">
        <f t="shared" si="32"/>
        <v>365.63140800000008</v>
      </c>
      <c r="BS19" s="16">
        <f t="shared" si="32"/>
        <v>329.06826720000009</v>
      </c>
      <c r="BT19" s="16">
        <f t="shared" si="32"/>
        <v>296.16144048000007</v>
      </c>
    </row>
    <row r="20" spans="2:72" s="15" customFormat="1" x14ac:dyDescent="0.2">
      <c r="B20" s="23" t="s">
        <v>137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f>+AP20*0.95</f>
        <v>272.64999999999998</v>
      </c>
      <c r="AU20" s="16">
        <f t="shared" ref="AU20:AX21" si="33">+AQ20*0.95</f>
        <v>228</v>
      </c>
      <c r="AV20" s="16">
        <f t="shared" si="33"/>
        <v>242.25</v>
      </c>
      <c r="AW20" s="16">
        <f t="shared" si="33"/>
        <v>257.45</v>
      </c>
      <c r="AX20" s="16">
        <f t="shared" si="33"/>
        <v>259.01749999999998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>
        <f t="shared" si="4"/>
        <v>667</v>
      </c>
      <c r="BK20" s="16">
        <f t="shared" si="5"/>
        <v>1038</v>
      </c>
      <c r="BL20" s="16">
        <f t="shared" si="6"/>
        <v>1038.6500000000001</v>
      </c>
      <c r="BM20" s="16">
        <f>+BL20*0.5</f>
        <v>519.32500000000005</v>
      </c>
      <c r="BN20" s="16">
        <f t="shared" ref="BN20:BT20" si="34">+BM20*0.5</f>
        <v>259.66250000000002</v>
      </c>
      <c r="BO20" s="16">
        <f t="shared" si="34"/>
        <v>129.83125000000001</v>
      </c>
      <c r="BP20" s="16">
        <f t="shared" si="34"/>
        <v>64.915625000000006</v>
      </c>
      <c r="BQ20" s="16">
        <f t="shared" si="34"/>
        <v>32.457812500000003</v>
      </c>
      <c r="BR20" s="16">
        <f t="shared" si="34"/>
        <v>16.228906250000001</v>
      </c>
      <c r="BS20" s="16">
        <f t="shared" si="34"/>
        <v>8.1144531250000007</v>
      </c>
      <c r="BT20" s="16">
        <f t="shared" si="34"/>
        <v>4.0572265625000004</v>
      </c>
    </row>
    <row r="21" spans="2:72" s="15" customFormat="1" x14ac:dyDescent="0.2">
      <c r="B21" s="23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f>+AP21*0.95</f>
        <v>173.85</v>
      </c>
      <c r="AU21" s="16">
        <f t="shared" si="33"/>
        <v>168.15</v>
      </c>
      <c r="AV21" s="16">
        <f t="shared" si="33"/>
        <v>142.5</v>
      </c>
      <c r="AW21" s="16">
        <f t="shared" si="33"/>
        <v>82.649999999999991</v>
      </c>
      <c r="AX21" s="16">
        <f t="shared" si="33"/>
        <v>165.1575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>
        <f t="shared" si="4"/>
        <v>539</v>
      </c>
      <c r="BK21" s="16">
        <f t="shared" si="5"/>
        <v>685</v>
      </c>
      <c r="BL21" s="16">
        <f t="shared" si="6"/>
        <v>587.85</v>
      </c>
      <c r="BM21" s="16">
        <f t="shared" ref="BM21:BT21" si="35">+BL21*0.9</f>
        <v>529.06500000000005</v>
      </c>
      <c r="BN21" s="16">
        <f t="shared" si="35"/>
        <v>476.15850000000006</v>
      </c>
      <c r="BO21" s="16">
        <f t="shared" si="35"/>
        <v>428.54265000000004</v>
      </c>
      <c r="BP21" s="16">
        <f t="shared" si="35"/>
        <v>385.68838500000004</v>
      </c>
      <c r="BQ21" s="16">
        <f t="shared" si="35"/>
        <v>347.11954650000007</v>
      </c>
      <c r="BR21" s="16">
        <f t="shared" si="35"/>
        <v>312.40759185000007</v>
      </c>
      <c r="BS21" s="16">
        <f t="shared" si="35"/>
        <v>281.16683266500007</v>
      </c>
      <c r="BT21" s="16">
        <f t="shared" si="35"/>
        <v>253.05014939850008</v>
      </c>
    </row>
    <row r="22" spans="2:72" s="15" customFormat="1" x14ac:dyDescent="0.2">
      <c r="B22" s="23" t="s">
        <v>132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f>+AP22</f>
        <v>149</v>
      </c>
      <c r="AU22" s="16">
        <f t="shared" ref="AU22:AX22" si="36">+AQ22</f>
        <v>140</v>
      </c>
      <c r="AV22" s="16">
        <f t="shared" si="36"/>
        <v>130</v>
      </c>
      <c r="AW22" s="16">
        <f t="shared" si="36"/>
        <v>121</v>
      </c>
      <c r="AX22" s="16">
        <f t="shared" si="36"/>
        <v>149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>
        <f t="shared" si="4"/>
        <v>378</v>
      </c>
      <c r="BK22" s="16">
        <f t="shared" si="5"/>
        <v>579</v>
      </c>
      <c r="BL22" s="16">
        <f t="shared" si="6"/>
        <v>540</v>
      </c>
      <c r="BM22" s="16">
        <f>+BL22*0.9</f>
        <v>486</v>
      </c>
      <c r="BN22" s="16">
        <f t="shared" ref="BN22:BT22" si="37">+BM22*0.9</f>
        <v>437.40000000000003</v>
      </c>
      <c r="BO22" s="16">
        <f t="shared" si="37"/>
        <v>393.66</v>
      </c>
      <c r="BP22" s="16">
        <f t="shared" si="37"/>
        <v>354.29400000000004</v>
      </c>
      <c r="BQ22" s="16">
        <f t="shared" si="37"/>
        <v>318.86460000000005</v>
      </c>
      <c r="BR22" s="16">
        <f t="shared" si="37"/>
        <v>286.97814000000005</v>
      </c>
      <c r="BS22" s="16">
        <f t="shared" si="37"/>
        <v>258.28032600000006</v>
      </c>
      <c r="BT22" s="16">
        <f t="shared" si="37"/>
        <v>232.45229340000006</v>
      </c>
    </row>
    <row r="23" spans="2:72" s="15" customFormat="1" x14ac:dyDescent="0.2">
      <c r="B23" s="23" t="s">
        <v>129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f>+AS23+10</f>
        <v>170</v>
      </c>
      <c r="AU23" s="16">
        <f t="shared" ref="AU23:AX23" si="38">+AT23+10</f>
        <v>180</v>
      </c>
      <c r="AV23" s="16">
        <f t="shared" si="38"/>
        <v>190</v>
      </c>
      <c r="AW23" s="16">
        <f t="shared" si="38"/>
        <v>200</v>
      </c>
      <c r="AX23" s="16">
        <f t="shared" si="38"/>
        <v>210</v>
      </c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>
        <f t="shared" si="4"/>
        <v>125</v>
      </c>
      <c r="BK23" s="16">
        <f t="shared" si="5"/>
        <v>552</v>
      </c>
      <c r="BL23" s="16">
        <f t="shared" si="6"/>
        <v>653</v>
      </c>
      <c r="BM23" s="16">
        <f>+BL23*1.2</f>
        <v>783.6</v>
      </c>
      <c r="BN23" s="16">
        <f>+BM23*1.2</f>
        <v>940.31999999999994</v>
      </c>
      <c r="BO23" s="16">
        <f>+BN23*1.2</f>
        <v>1128.3839999999998</v>
      </c>
      <c r="BP23" s="16">
        <f>+BO23*1.2</f>
        <v>1354.0607999999997</v>
      </c>
      <c r="BQ23" s="16">
        <f>+BP23*1.1</f>
        <v>1489.4668799999999</v>
      </c>
      <c r="BR23" s="16">
        <f>+BQ23*1.1</f>
        <v>1638.4135680000002</v>
      </c>
      <c r="BS23" s="16">
        <f>+BR23*1.03</f>
        <v>1687.5659750400002</v>
      </c>
      <c r="BT23" s="15">
        <f>+BS23*0.1</f>
        <v>168.75659750400004</v>
      </c>
    </row>
    <row r="24" spans="2:72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f>+AP24</f>
        <v>128</v>
      </c>
      <c r="AU24" s="16">
        <f t="shared" ref="AU24:AX24" si="39">+AQ24</f>
        <v>121</v>
      </c>
      <c r="AV24" s="16">
        <f t="shared" si="39"/>
        <v>120</v>
      </c>
      <c r="AW24" s="16">
        <f t="shared" si="39"/>
        <v>110</v>
      </c>
      <c r="AX24" s="16">
        <f t="shared" si="39"/>
        <v>128</v>
      </c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>
        <f t="shared" si="4"/>
        <v>494</v>
      </c>
      <c r="BK24" s="16">
        <f t="shared" si="5"/>
        <v>511</v>
      </c>
      <c r="BL24" s="16">
        <f t="shared" si="6"/>
        <v>479</v>
      </c>
      <c r="BM24" s="16">
        <f>+BL24*0.9</f>
        <v>431.1</v>
      </c>
      <c r="BN24" s="16">
        <f t="shared" ref="BN24:BT24" si="40">+BM24*0.9</f>
        <v>387.99</v>
      </c>
      <c r="BO24" s="16">
        <f t="shared" si="40"/>
        <v>349.19100000000003</v>
      </c>
      <c r="BP24" s="16">
        <f t="shared" si="40"/>
        <v>314.27190000000002</v>
      </c>
      <c r="BQ24" s="16">
        <f t="shared" si="40"/>
        <v>282.84471000000002</v>
      </c>
      <c r="BR24" s="16">
        <f t="shared" si="40"/>
        <v>254.56023900000002</v>
      </c>
      <c r="BS24" s="16">
        <f t="shared" si="40"/>
        <v>229.10421510000003</v>
      </c>
      <c r="BT24" s="16">
        <f t="shared" si="40"/>
        <v>206.19379359000004</v>
      </c>
    </row>
    <row r="25" spans="2:72" s="15" customFormat="1" x14ac:dyDescent="0.2">
      <c r="B25" s="23" t="s">
        <v>133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f>+AS25-3</f>
        <v>70</v>
      </c>
      <c r="AU25" s="16">
        <f t="shared" ref="AU25:AX25" si="41">+AT25-3</f>
        <v>67</v>
      </c>
      <c r="AV25" s="16">
        <f t="shared" si="41"/>
        <v>64</v>
      </c>
      <c r="AW25" s="16">
        <f t="shared" si="41"/>
        <v>61</v>
      </c>
      <c r="AX25" s="16">
        <f t="shared" si="41"/>
        <v>58</v>
      </c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>
        <f t="shared" si="4"/>
        <v>326</v>
      </c>
      <c r="BK25" s="16">
        <f t="shared" si="5"/>
        <v>529</v>
      </c>
      <c r="BL25" s="16">
        <f t="shared" si="6"/>
        <v>342</v>
      </c>
      <c r="BM25" s="16">
        <f t="shared" ref="BM25:BT25" si="42">+BL25*0.9</f>
        <v>307.8</v>
      </c>
      <c r="BN25" s="16">
        <f t="shared" si="42"/>
        <v>277.02000000000004</v>
      </c>
      <c r="BO25" s="16">
        <f t="shared" si="42"/>
        <v>249.31800000000004</v>
      </c>
      <c r="BP25" s="16">
        <f t="shared" si="42"/>
        <v>224.38620000000003</v>
      </c>
      <c r="BQ25" s="16">
        <f t="shared" si="42"/>
        <v>201.94758000000004</v>
      </c>
      <c r="BR25" s="16">
        <f t="shared" si="42"/>
        <v>181.75282200000004</v>
      </c>
      <c r="BS25" s="16">
        <f t="shared" si="42"/>
        <v>163.57753980000004</v>
      </c>
      <c r="BT25" s="16">
        <f t="shared" si="42"/>
        <v>147.21978582000003</v>
      </c>
    </row>
    <row r="26" spans="2:72" s="15" customFormat="1" x14ac:dyDescent="0.2">
      <c r="B26" s="23" t="s">
        <v>130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f>+AS26+10</f>
        <v>72</v>
      </c>
      <c r="AU26" s="16">
        <f t="shared" ref="AU26:AX26" si="43">+AT26+10</f>
        <v>82</v>
      </c>
      <c r="AV26" s="16">
        <f t="shared" si="43"/>
        <v>92</v>
      </c>
      <c r="AW26" s="16">
        <f t="shared" si="43"/>
        <v>102</v>
      </c>
      <c r="AX26" s="16">
        <f t="shared" si="43"/>
        <v>112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>
        <f t="shared" si="4"/>
        <v>0</v>
      </c>
      <c r="BK26" s="16">
        <f t="shared" si="5"/>
        <v>0</v>
      </c>
      <c r="BL26" s="16">
        <f t="shared" si="6"/>
        <v>178</v>
      </c>
      <c r="BM26" s="16">
        <f>+BL26*1.2</f>
        <v>213.6</v>
      </c>
      <c r="BN26" s="16">
        <f>+BM26*1.2</f>
        <v>256.32</v>
      </c>
      <c r="BO26" s="16">
        <f>+BN26*1.2</f>
        <v>307.584</v>
      </c>
      <c r="BP26" s="16">
        <f>+BO26*1.2</f>
        <v>369.10079999999999</v>
      </c>
      <c r="BQ26" s="16">
        <f>+BP26*1.1</f>
        <v>406.01088000000004</v>
      </c>
      <c r="BR26" s="16">
        <f>+BQ26*1.1</f>
        <v>446.6119680000001</v>
      </c>
      <c r="BS26" s="16">
        <f>+BR26*1.03</f>
        <v>460.01032704000011</v>
      </c>
      <c r="BT26" s="15">
        <f>+BS26*0.1</f>
        <v>46.001032704000011</v>
      </c>
    </row>
    <row r="27" spans="2:72" s="15" customFormat="1" x14ac:dyDescent="0.2">
      <c r="B27" s="49" t="s">
        <v>246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v>0</v>
      </c>
      <c r="AH27" s="16">
        <v>0</v>
      </c>
      <c r="AI27" s="16">
        <v>0</v>
      </c>
      <c r="AJ27" s="16">
        <v>80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>
        <f t="shared" si="4"/>
        <v>80</v>
      </c>
      <c r="BK27" s="16"/>
      <c r="BL27" s="16"/>
      <c r="BM27" s="16"/>
      <c r="BN27" s="16"/>
      <c r="BO27" s="16"/>
      <c r="BP27" s="16"/>
      <c r="BQ27" s="16"/>
      <c r="BR27" s="16"/>
      <c r="BS27" s="16"/>
    </row>
    <row r="28" spans="2:72" s="15" customFormat="1" x14ac:dyDescent="0.2">
      <c r="B28" s="49" t="s">
        <v>247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27</v>
      </c>
      <c r="AH28" s="16">
        <v>34</v>
      </c>
      <c r="AI28" s="16">
        <v>31</v>
      </c>
      <c r="AJ28" s="16">
        <v>31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>
        <f t="shared" si="4"/>
        <v>62</v>
      </c>
      <c r="BK28" s="16"/>
      <c r="BL28" s="16"/>
      <c r="BM28" s="16"/>
      <c r="BN28" s="16"/>
      <c r="BO28" s="16"/>
      <c r="BP28" s="16"/>
      <c r="BQ28" s="16"/>
      <c r="BR28" s="16"/>
      <c r="BS28" s="16"/>
    </row>
    <row r="29" spans="2:72" s="15" customFormat="1" x14ac:dyDescent="0.2">
      <c r="B29" s="15" t="s">
        <v>9</v>
      </c>
      <c r="C29" s="16"/>
      <c r="D29" s="16"/>
      <c r="E29" s="16">
        <v>189</v>
      </c>
      <c r="F29" s="16"/>
      <c r="G29" s="16">
        <v>181</v>
      </c>
      <c r="H29" s="16"/>
      <c r="I29" s="16">
        <v>196</v>
      </c>
      <c r="J29" s="16"/>
      <c r="K29" s="16"/>
      <c r="L29" s="16">
        <v>186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230</v>
      </c>
      <c r="AH29" s="16">
        <v>219</v>
      </c>
      <c r="AI29" s="16">
        <v>233</v>
      </c>
      <c r="AJ29" s="16">
        <v>205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>
        <f t="shared" si="4"/>
        <v>438</v>
      </c>
      <c r="BK29" s="16">
        <f>SUM(AM29:AP29)</f>
        <v>0</v>
      </c>
      <c r="BL29" s="16">
        <f>SUM(AQ29:AT29)</f>
        <v>0</v>
      </c>
      <c r="BM29" s="16"/>
      <c r="BN29" s="16"/>
      <c r="BO29" s="16"/>
      <c r="BP29" s="16"/>
      <c r="BQ29" s="16"/>
      <c r="BR29" s="16"/>
      <c r="BS29" s="16"/>
    </row>
    <row r="30" spans="2:72" s="15" customFormat="1" x14ac:dyDescent="0.2">
      <c r="B30" s="15" t="s">
        <v>7</v>
      </c>
      <c r="C30" s="16"/>
      <c r="D30" s="16"/>
      <c r="E30" s="16">
        <v>131</v>
      </c>
      <c r="F30" s="16"/>
      <c r="G30" s="16">
        <v>119</v>
      </c>
      <c r="H30" s="16"/>
      <c r="I30" s="16">
        <v>161</v>
      </c>
      <c r="J30" s="16"/>
      <c r="K30" s="16"/>
      <c r="L30" s="16">
        <v>166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>
        <v>197</v>
      </c>
      <c r="AH30" s="16">
        <v>204</v>
      </c>
      <c r="AI30" s="16">
        <v>205</v>
      </c>
      <c r="AJ30" s="16">
        <v>183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>
        <f t="shared" si="4"/>
        <v>388</v>
      </c>
      <c r="BK30" s="16">
        <f>SUM(AM30:AP30)</f>
        <v>0</v>
      </c>
      <c r="BL30" s="16">
        <f>SUM(AQ30:AT30)</f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2">
      <c r="B31" s="49" t="s">
        <v>248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0</v>
      </c>
      <c r="AH31" s="16">
        <v>0</v>
      </c>
      <c r="AI31" s="16">
        <v>0</v>
      </c>
      <c r="AJ31" s="16">
        <v>36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>
        <f t="shared" si="4"/>
        <v>36</v>
      </c>
      <c r="BK31" s="16"/>
      <c r="BL31" s="16"/>
      <c r="BM31" s="16"/>
      <c r="BN31" s="16"/>
      <c r="BO31" s="16"/>
      <c r="BP31" s="16"/>
      <c r="BQ31" s="16"/>
      <c r="BR31" s="16"/>
      <c r="BS31" s="16"/>
    </row>
    <row r="32" spans="2:72" s="15" customFormat="1" x14ac:dyDescent="0.2">
      <c r="B32" s="15" t="s">
        <v>2</v>
      </c>
      <c r="C32" s="16"/>
      <c r="D32" s="16"/>
      <c r="E32" s="16">
        <v>96</v>
      </c>
      <c r="F32" s="16"/>
      <c r="G32" s="16">
        <v>345</v>
      </c>
      <c r="H32" s="16"/>
      <c r="I32" s="16">
        <v>98</v>
      </c>
      <c r="J32" s="16"/>
      <c r="K32" s="16"/>
      <c r="L32" s="16">
        <v>74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>
        <v>132</v>
      </c>
      <c r="AH32" s="16">
        <v>261</v>
      </c>
      <c r="AI32" s="16">
        <v>270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>
        <f t="shared" si="4"/>
        <v>270</v>
      </c>
      <c r="BK32" s="16">
        <f t="shared" si="5"/>
        <v>0</v>
      </c>
      <c r="BL32" s="16">
        <f t="shared" si="6"/>
        <v>0</v>
      </c>
      <c r="BM32" s="16"/>
      <c r="BN32" s="16"/>
      <c r="BO32" s="16"/>
      <c r="BP32" s="16"/>
      <c r="BQ32" s="16"/>
      <c r="BR32" s="16"/>
      <c r="BS32" s="16"/>
    </row>
    <row r="33" spans="2:72" s="15" customFormat="1" x14ac:dyDescent="0.2">
      <c r="B33" s="15" t="s">
        <v>3</v>
      </c>
      <c r="C33" s="16"/>
      <c r="D33" s="16"/>
      <c r="E33" s="16">
        <v>279</v>
      </c>
      <c r="F33" s="16"/>
      <c r="G33" s="16">
        <v>240</v>
      </c>
      <c r="H33" s="16"/>
      <c r="I33" s="16">
        <v>248</v>
      </c>
      <c r="J33" s="16"/>
      <c r="K33" s="16"/>
      <c r="L33" s="16">
        <v>218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>
        <v>53</v>
      </c>
      <c r="AH33" s="16">
        <v>23</v>
      </c>
      <c r="AI33" s="16">
        <v>8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>
        <f t="shared" si="4"/>
        <v>8</v>
      </c>
      <c r="BK33" s="16">
        <f t="shared" si="5"/>
        <v>0</v>
      </c>
      <c r="BL33" s="16">
        <f t="shared" si="6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2">
      <c r="B34" s="15" t="s">
        <v>11</v>
      </c>
      <c r="C34" s="16"/>
      <c r="D34" s="16"/>
      <c r="E34" s="16">
        <v>267</v>
      </c>
      <c r="F34" s="16"/>
      <c r="G34" s="16">
        <v>219</v>
      </c>
      <c r="H34" s="16"/>
      <c r="I34" s="16">
        <v>237</v>
      </c>
      <c r="J34" s="16"/>
      <c r="K34" s="16"/>
      <c r="L34" s="16">
        <v>216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>
        <v>74</v>
      </c>
      <c r="AH34" s="16">
        <v>54</v>
      </c>
      <c r="AI34" s="16">
        <v>86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>
        <f t="shared" si="4"/>
        <v>86</v>
      </c>
      <c r="BK34" s="16">
        <f t="shared" si="5"/>
        <v>0</v>
      </c>
      <c r="BL34" s="16">
        <f t="shared" si="6"/>
        <v>0</v>
      </c>
      <c r="BM34" s="16"/>
      <c r="BN34" s="16"/>
      <c r="BO34" s="16"/>
      <c r="BP34" s="16"/>
      <c r="BQ34" s="16"/>
      <c r="BR34" s="16"/>
      <c r="BS34" s="16"/>
    </row>
    <row r="35" spans="2:72" s="15" customFormat="1" x14ac:dyDescent="0.2">
      <c r="B35" s="15" t="s">
        <v>10</v>
      </c>
      <c r="C35" s="16"/>
      <c r="D35" s="16"/>
      <c r="E35" s="16">
        <v>232</v>
      </c>
      <c r="F35" s="16"/>
      <c r="G35" s="16">
        <v>186</v>
      </c>
      <c r="H35" s="16"/>
      <c r="I35" s="16">
        <v>201</v>
      </c>
      <c r="J35" s="16"/>
      <c r="K35" s="16"/>
      <c r="L35" s="16">
        <v>21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>
        <v>0</v>
      </c>
      <c r="AH35" s="16">
        <v>0</v>
      </c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>
        <f t="shared" si="4"/>
        <v>0</v>
      </c>
      <c r="BK35" s="16">
        <f t="shared" si="5"/>
        <v>0</v>
      </c>
      <c r="BL35" s="16">
        <f t="shared" si="6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2">
      <c r="B36" s="49" t="s">
        <v>249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>
        <v>3</v>
      </c>
      <c r="AH36" s="16">
        <v>4</v>
      </c>
      <c r="AI36" s="16">
        <v>5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f t="shared" si="4"/>
        <v>5</v>
      </c>
      <c r="BK36" s="16"/>
      <c r="BL36" s="16"/>
      <c r="BM36" s="16"/>
      <c r="BN36" s="16"/>
      <c r="BO36" s="16"/>
      <c r="BP36" s="16"/>
      <c r="BQ36" s="16"/>
      <c r="BR36" s="16"/>
      <c r="BS36" s="16"/>
    </row>
    <row r="37" spans="2:72" s="15" customFormat="1" x14ac:dyDescent="0.2">
      <c r="B37" s="15" t="s">
        <v>8</v>
      </c>
      <c r="C37" s="16"/>
      <c r="D37" s="16"/>
      <c r="E37" s="16">
        <v>332</v>
      </c>
      <c r="F37" s="16"/>
      <c r="G37" s="16">
        <v>128</v>
      </c>
      <c r="H37" s="16"/>
      <c r="I37" s="16">
        <v>39</v>
      </c>
      <c r="J37" s="16"/>
      <c r="K37" s="16"/>
      <c r="L37" s="16">
        <v>17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>
        <v>0</v>
      </c>
      <c r="AH37" s="16">
        <v>0</v>
      </c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>
        <f t="shared" si="4"/>
        <v>0</v>
      </c>
      <c r="BK37" s="16">
        <f t="shared" si="5"/>
        <v>0</v>
      </c>
      <c r="BL37" s="16">
        <f t="shared" si="6"/>
        <v>0</v>
      </c>
      <c r="BM37" s="16"/>
      <c r="BN37" s="16"/>
      <c r="BO37" s="16"/>
      <c r="BP37" s="16"/>
      <c r="BQ37" s="16"/>
      <c r="BR37" s="16"/>
      <c r="BS37" s="16"/>
    </row>
    <row r="38" spans="2:72" s="15" customFormat="1" x14ac:dyDescent="0.2">
      <c r="B38" s="15" t="s">
        <v>66</v>
      </c>
      <c r="C38" s="16"/>
      <c r="D38" s="16"/>
      <c r="E38" s="16">
        <v>135</v>
      </c>
      <c r="F38" s="16"/>
      <c r="G38" s="16"/>
      <c r="H38" s="16"/>
      <c r="I38" s="16">
        <v>138</v>
      </c>
      <c r="J38" s="16"/>
      <c r="K38" s="16"/>
      <c r="L38" s="16">
        <v>154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>
        <v>84</v>
      </c>
      <c r="AH38" s="16">
        <v>81</v>
      </c>
      <c r="AI38" s="16">
        <v>79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>
        <f t="shared" si="4"/>
        <v>79</v>
      </c>
      <c r="BK38" s="16">
        <f t="shared" si="5"/>
        <v>0</v>
      </c>
      <c r="BL38" s="16">
        <f t="shared" si="6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2">
      <c r="B39" s="15" t="s">
        <v>5</v>
      </c>
      <c r="C39" s="16"/>
      <c r="D39" s="16"/>
      <c r="E39" s="16">
        <v>91</v>
      </c>
      <c r="F39" s="16"/>
      <c r="G39" s="16">
        <v>81</v>
      </c>
      <c r="H39" s="16"/>
      <c r="I39" s="16">
        <v>100</v>
      </c>
      <c r="J39" s="16"/>
      <c r="K39" s="16"/>
      <c r="L39" s="16">
        <v>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>
        <v>0</v>
      </c>
      <c r="AH39" s="16">
        <v>0</v>
      </c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>
        <f t="shared" si="4"/>
        <v>0</v>
      </c>
      <c r="BK39" s="16">
        <f t="shared" si="5"/>
        <v>0</v>
      </c>
      <c r="BL39" s="16">
        <f t="shared" si="6"/>
        <v>0</v>
      </c>
      <c r="BM39" s="16"/>
      <c r="BN39" s="16"/>
      <c r="BO39" s="16"/>
      <c r="BP39" s="16"/>
      <c r="BQ39" s="16"/>
      <c r="BR39" s="16"/>
      <c r="BS39" s="16"/>
    </row>
    <row r="40" spans="2:72" s="15" customFormat="1" x14ac:dyDescent="0.2">
      <c r="B40" s="15" t="s">
        <v>13</v>
      </c>
      <c r="C40" s="16"/>
      <c r="D40" s="16"/>
      <c r="E40" s="16">
        <f>SUM(E5:E39)</f>
        <v>4207</v>
      </c>
      <c r="F40" s="16"/>
      <c r="G40" s="16">
        <f>SUM(G5:G39)</f>
        <v>3872</v>
      </c>
      <c r="H40" s="16"/>
      <c r="I40" s="16">
        <f>SUM(I5:I39)</f>
        <v>4335</v>
      </c>
      <c r="J40" s="16"/>
      <c r="K40" s="16"/>
      <c r="L40" s="16">
        <f>SUM(L5:L39)</f>
        <v>4506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>
        <f t="shared" si="4"/>
        <v>0</v>
      </c>
      <c r="BK40" s="16">
        <f t="shared" si="5"/>
        <v>0</v>
      </c>
      <c r="BL40" s="16">
        <f t="shared" si="6"/>
        <v>0</v>
      </c>
      <c r="BM40" s="16"/>
      <c r="BN40" s="16"/>
      <c r="BO40" s="16"/>
      <c r="BP40" s="16"/>
      <c r="BQ40" s="16"/>
      <c r="BR40" s="16"/>
      <c r="BS40" s="16"/>
    </row>
    <row r="41" spans="2:72" s="15" customFormat="1" x14ac:dyDescent="0.2">
      <c r="B41" s="15" t="s">
        <v>12</v>
      </c>
      <c r="C41" s="16"/>
      <c r="D41" s="16"/>
      <c r="E41" s="16">
        <v>301</v>
      </c>
      <c r="F41" s="16"/>
      <c r="G41" s="16">
        <f>+G42-G40</f>
        <v>457</v>
      </c>
      <c r="H41" s="16"/>
      <c r="I41" s="16">
        <v>323</v>
      </c>
      <c r="J41" s="16"/>
      <c r="K41" s="16"/>
      <c r="L41" s="16">
        <f>4926-L40</f>
        <v>420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>
        <f>8479-8396</f>
        <v>83</v>
      </c>
      <c r="AH41" s="16">
        <f>8704-8631</f>
        <v>73</v>
      </c>
      <c r="AI41" s="16">
        <f>8619-8514</f>
        <v>105</v>
      </c>
      <c r="AJ41" s="16">
        <f>10425-9835</f>
        <v>590</v>
      </c>
      <c r="AK41" s="16">
        <f>12882-11512</f>
        <v>1370</v>
      </c>
      <c r="AL41" s="16">
        <f>13858-12276</f>
        <v>1582</v>
      </c>
      <c r="AM41" s="16">
        <f>12935-11534</f>
        <v>1401</v>
      </c>
      <c r="AN41" s="16">
        <f>13959-12738</f>
        <v>1221</v>
      </c>
      <c r="AO41" s="16">
        <f>14342-13225</f>
        <v>1117</v>
      </c>
      <c r="AP41" s="16">
        <f>14886-13501</f>
        <v>1385</v>
      </c>
      <c r="AQ41" s="16">
        <f>13538-12327</f>
        <v>1211</v>
      </c>
      <c r="AR41" s="16">
        <f>14583-13574</f>
        <v>1009</v>
      </c>
      <c r="AS41" s="16">
        <v>925</v>
      </c>
      <c r="AT41" s="16">
        <f>+AP41*0.9</f>
        <v>1246.5</v>
      </c>
      <c r="AU41" s="16">
        <f t="shared" ref="AU41:AX41" si="44">+AQ41*0.9</f>
        <v>1089.9000000000001</v>
      </c>
      <c r="AV41" s="16">
        <f t="shared" si="44"/>
        <v>908.1</v>
      </c>
      <c r="AW41" s="16">
        <f t="shared" si="44"/>
        <v>832.5</v>
      </c>
      <c r="AX41" s="16">
        <f t="shared" si="44"/>
        <v>1121.8500000000001</v>
      </c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f t="shared" si="5"/>
        <v>5124</v>
      </c>
      <c r="BL41" s="16">
        <f t="shared" si="6"/>
        <v>4391.5</v>
      </c>
      <c r="BM41" s="16">
        <f>+BL41*0.9</f>
        <v>3952.35</v>
      </c>
      <c r="BN41" s="16">
        <f t="shared" ref="BN41:BT41" si="45">+BM41*0.9</f>
        <v>3557.1149999999998</v>
      </c>
      <c r="BO41" s="16">
        <f t="shared" si="45"/>
        <v>3201.4034999999999</v>
      </c>
      <c r="BP41" s="16">
        <f t="shared" si="45"/>
        <v>2881.2631499999998</v>
      </c>
      <c r="BQ41" s="16">
        <f t="shared" si="45"/>
        <v>2593.1368349999998</v>
      </c>
      <c r="BR41" s="16">
        <f t="shared" si="45"/>
        <v>2333.8231514999998</v>
      </c>
      <c r="BS41" s="16">
        <f t="shared" si="45"/>
        <v>2100.4408363499997</v>
      </c>
      <c r="BT41" s="16">
        <f t="shared" si="45"/>
        <v>1890.3967527149998</v>
      </c>
    </row>
    <row r="42" spans="2:72" s="17" customFormat="1" x14ac:dyDescent="0.2">
      <c r="B42" s="17" t="s">
        <v>257</v>
      </c>
      <c r="C42" s="18"/>
      <c r="D42" s="18"/>
      <c r="E42" s="18">
        <f>+E41+E40</f>
        <v>4508</v>
      </c>
      <c r="F42" s="18"/>
      <c r="G42" s="18">
        <v>4329</v>
      </c>
      <c r="H42" s="18"/>
      <c r="I42" s="18">
        <f>+I41+I40</f>
        <v>4658</v>
      </c>
      <c r="J42" s="18"/>
      <c r="K42" s="18"/>
      <c r="L42" s="18">
        <f>+L41+L40</f>
        <v>4926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>
        <v>8236</v>
      </c>
      <c r="AD42" s="18">
        <v>8305</v>
      </c>
      <c r="AE42" s="18">
        <v>7828</v>
      </c>
      <c r="AF42" s="18">
        <v>8255</v>
      </c>
      <c r="AG42" s="18">
        <f t="shared" ref="AG42:AT42" si="46">SUM(AG5:AG41)</f>
        <v>8479</v>
      </c>
      <c r="AH42" s="18">
        <f t="shared" si="46"/>
        <v>8704</v>
      </c>
      <c r="AI42" s="18">
        <f t="shared" si="46"/>
        <v>8619</v>
      </c>
      <c r="AJ42" s="18">
        <f t="shared" si="46"/>
        <v>10425</v>
      </c>
      <c r="AK42" s="18">
        <f t="shared" si="46"/>
        <v>12882</v>
      </c>
      <c r="AL42" s="18">
        <f t="shared" si="46"/>
        <v>13858</v>
      </c>
      <c r="AM42" s="18">
        <f t="shared" si="46"/>
        <v>12935</v>
      </c>
      <c r="AN42" s="18">
        <f t="shared" si="46"/>
        <v>13959</v>
      </c>
      <c r="AO42" s="18">
        <f t="shared" si="46"/>
        <v>14342</v>
      </c>
      <c r="AP42" s="18">
        <f t="shared" si="46"/>
        <v>14886</v>
      </c>
      <c r="AQ42" s="18">
        <f t="shared" si="46"/>
        <v>13538</v>
      </c>
      <c r="AR42" s="18">
        <f t="shared" si="46"/>
        <v>14583</v>
      </c>
      <c r="AS42" s="18">
        <f>SUM(AS5:AS41)</f>
        <v>14812</v>
      </c>
      <c r="AT42" s="18">
        <f t="shared" si="46"/>
        <v>15070.879999999997</v>
      </c>
      <c r="AU42" s="18">
        <f t="shared" ref="AU42:AX42" si="47">SUM(AU5:AU41)</f>
        <v>13696.57</v>
      </c>
      <c r="AV42" s="18">
        <f t="shared" si="47"/>
        <v>14537.5</v>
      </c>
      <c r="AW42" s="18">
        <f t="shared" si="47"/>
        <v>14486.69</v>
      </c>
      <c r="AX42" s="18">
        <f t="shared" si="47"/>
        <v>14357.204100000001</v>
      </c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>
        <f>SUM(BK5:BK41)</f>
        <v>56122</v>
      </c>
      <c r="BL42" s="18">
        <f>SUM(BL5:BL41)</f>
        <v>58003.880000000005</v>
      </c>
      <c r="BM42" s="18">
        <f t="shared" ref="BM42:BT42" si="48">SUM(BM5:BM41)</f>
        <v>47412.504199999996</v>
      </c>
      <c r="BN42" s="18">
        <f t="shared" si="48"/>
        <v>47273.401995999986</v>
      </c>
      <c r="BO42" s="18">
        <f t="shared" si="48"/>
        <v>48251.323339380018</v>
      </c>
      <c r="BP42" s="18">
        <f t="shared" si="48"/>
        <v>46564.999625736411</v>
      </c>
      <c r="BQ42" s="18">
        <f t="shared" si="48"/>
        <v>45323.115591367241</v>
      </c>
      <c r="BR42" s="18">
        <f t="shared" si="48"/>
        <v>42926.682412657457</v>
      </c>
      <c r="BS42" s="18">
        <f t="shared" si="48"/>
        <v>41912.330647824572</v>
      </c>
      <c r="BT42" s="18">
        <f t="shared" si="48"/>
        <v>32460.241393925411</v>
      </c>
    </row>
    <row r="43" spans="2:72" s="15" customFormat="1" x14ac:dyDescent="0.2">
      <c r="B43" s="15" t="s">
        <v>25</v>
      </c>
      <c r="C43" s="16"/>
      <c r="D43" s="16"/>
      <c r="E43" s="16"/>
      <c r="F43" s="16"/>
      <c r="G43" s="16">
        <v>1153</v>
      </c>
      <c r="H43" s="16"/>
      <c r="I43" s="16">
        <v>1092</v>
      </c>
      <c r="J43" s="16"/>
      <c r="K43" s="16"/>
      <c r="L43" s="16">
        <f>1113-69-3-6</f>
        <v>1035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>
        <v>1509</v>
      </c>
      <c r="AD43" s="16">
        <v>1674</v>
      </c>
      <c r="AE43" s="16">
        <v>1303</v>
      </c>
      <c r="AF43" s="16">
        <v>1427</v>
      </c>
      <c r="AG43" s="16">
        <v>1525</v>
      </c>
      <c r="AH43" s="16">
        <v>1605</v>
      </c>
      <c r="AI43" s="16">
        <v>1494</v>
      </c>
      <c r="AJ43" s="16">
        <v>1796</v>
      </c>
      <c r="AK43" s="16">
        <v>2362</v>
      </c>
      <c r="AL43" s="16">
        <v>2523</v>
      </c>
      <c r="AM43" s="16">
        <v>2085</v>
      </c>
      <c r="AN43" s="16">
        <v>2479</v>
      </c>
      <c r="AO43" s="16">
        <v>2413</v>
      </c>
      <c r="AP43" s="16">
        <v>2448</v>
      </c>
      <c r="AQ43" s="16">
        <v>2103</v>
      </c>
      <c r="AR43" s="16">
        <v>2167</v>
      </c>
      <c r="AS43" s="16">
        <v>2167</v>
      </c>
      <c r="AT43" s="16">
        <f>+AT42-AT44</f>
        <v>2260.6319999999996</v>
      </c>
      <c r="AU43" s="16">
        <f>+AU42-AU44</f>
        <v>2054.4855000000007</v>
      </c>
      <c r="AV43" s="16">
        <f>+AV42-AV44</f>
        <v>2180.625</v>
      </c>
      <c r="AW43" s="16">
        <f>+AW42-AW44</f>
        <v>2173.0035000000007</v>
      </c>
      <c r="AX43" s="16">
        <f>+AX42-AX44</f>
        <v>2153.5806150000008</v>
      </c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>
        <f t="shared" ref="BK43" si="49">SUM(AM43:AP43)</f>
        <v>9425</v>
      </c>
      <c r="BL43" s="16">
        <f t="shared" ref="BL43" si="50">SUM(AQ43:AT43)</f>
        <v>8697.6319999999996</v>
      </c>
      <c r="BM43" s="16">
        <f>+BM42-BM44</f>
        <v>7111.8756300000023</v>
      </c>
      <c r="BN43" s="16">
        <f t="shared" ref="BN43:BT43" si="51">+BN42-BN44</f>
        <v>7091.0102993999972</v>
      </c>
      <c r="BO43" s="16">
        <f t="shared" si="51"/>
        <v>7237.6985009070049</v>
      </c>
      <c r="BP43" s="16">
        <f t="shared" si="51"/>
        <v>6984.7499438604646</v>
      </c>
      <c r="BQ43" s="16">
        <f t="shared" si="51"/>
        <v>6798.4673387050861</v>
      </c>
      <c r="BR43" s="16">
        <f t="shared" si="51"/>
        <v>6439.0023618986161</v>
      </c>
      <c r="BS43" s="16">
        <f t="shared" si="51"/>
        <v>6286.8495971736847</v>
      </c>
      <c r="BT43" s="16">
        <f t="shared" si="51"/>
        <v>4869.036209088812</v>
      </c>
    </row>
    <row r="44" spans="2:72" s="15" customFormat="1" x14ac:dyDescent="0.2">
      <c r="B44" s="15" t="s">
        <v>24</v>
      </c>
      <c r="C44" s="16"/>
      <c r="D44" s="16"/>
      <c r="E44" s="16"/>
      <c r="F44" s="16"/>
      <c r="G44" s="16">
        <f>+G42-G43</f>
        <v>3176</v>
      </c>
      <c r="H44" s="16"/>
      <c r="I44" s="16">
        <f>+I42-I43</f>
        <v>3566</v>
      </c>
      <c r="J44" s="16"/>
      <c r="K44" s="16"/>
      <c r="L44" s="16">
        <f>+L42-L43</f>
        <v>3891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>
        <f>+AC42-AC43</f>
        <v>6727</v>
      </c>
      <c r="AD44" s="16">
        <f>+AD42-AD43</f>
        <v>6631</v>
      </c>
      <c r="AE44" s="16">
        <f>+AE42-AE43</f>
        <v>6525</v>
      </c>
      <c r="AF44" s="16">
        <f>+AF42-AF43</f>
        <v>6828</v>
      </c>
      <c r="AG44" s="16">
        <f t="shared" ref="AG44:AH44" si="52">AG42-AG43</f>
        <v>6954</v>
      </c>
      <c r="AH44" s="16">
        <f t="shared" si="52"/>
        <v>7099</v>
      </c>
      <c r="AI44" s="16">
        <f t="shared" ref="AI44:AJ44" si="53">AI42-AI43</f>
        <v>7125</v>
      </c>
      <c r="AJ44" s="16">
        <f t="shared" si="53"/>
        <v>8629</v>
      </c>
      <c r="AK44" s="16">
        <f t="shared" ref="AK44:AQ44" si="54">AK42-AK43</f>
        <v>10520</v>
      </c>
      <c r="AL44" s="16">
        <f t="shared" si="54"/>
        <v>11335</v>
      </c>
      <c r="AM44" s="16">
        <f t="shared" si="54"/>
        <v>10850</v>
      </c>
      <c r="AN44" s="16">
        <f t="shared" si="54"/>
        <v>11480</v>
      </c>
      <c r="AO44" s="16">
        <f t="shared" si="54"/>
        <v>11929</v>
      </c>
      <c r="AP44" s="16">
        <f t="shared" si="54"/>
        <v>12438</v>
      </c>
      <c r="AQ44" s="16">
        <f t="shared" si="54"/>
        <v>11435</v>
      </c>
      <c r="AR44" s="16">
        <f t="shared" ref="AR44" si="55">AR42-AR43</f>
        <v>12416</v>
      </c>
      <c r="AS44" s="16">
        <f>+AS42-AS43</f>
        <v>12645</v>
      </c>
      <c r="AT44" s="16">
        <f>+AT42*0.85</f>
        <v>12810.247999999998</v>
      </c>
      <c r="AU44" s="16">
        <f>+AU42*0.85</f>
        <v>11642.084499999999</v>
      </c>
      <c r="AV44" s="16">
        <f>+AV42*0.85</f>
        <v>12356.875</v>
      </c>
      <c r="AW44" s="16">
        <f>+AW42*0.85</f>
        <v>12313.6865</v>
      </c>
      <c r="AX44" s="16">
        <f>+AX42*0.85</f>
        <v>12203.623485</v>
      </c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>
        <f>+BK42-BK43</f>
        <v>46697</v>
      </c>
      <c r="BL44" s="16">
        <f>+BL42-BL43</f>
        <v>49306.248000000007</v>
      </c>
      <c r="BM44" s="16">
        <f>+BM42*0.85</f>
        <v>40300.628569999993</v>
      </c>
      <c r="BN44" s="16">
        <f t="shared" ref="BN44:BT44" si="56">+BN42*0.85</f>
        <v>40182.391696599989</v>
      </c>
      <c r="BO44" s="16">
        <f t="shared" si="56"/>
        <v>41013.624838473013</v>
      </c>
      <c r="BP44" s="16">
        <f t="shared" si="56"/>
        <v>39580.249681875946</v>
      </c>
      <c r="BQ44" s="16">
        <f t="shared" si="56"/>
        <v>38524.648252662155</v>
      </c>
      <c r="BR44" s="16">
        <f t="shared" si="56"/>
        <v>36487.680050758841</v>
      </c>
      <c r="BS44" s="16">
        <f t="shared" si="56"/>
        <v>35625.481050650887</v>
      </c>
      <c r="BT44" s="16">
        <f t="shared" si="56"/>
        <v>27591.205184836599</v>
      </c>
    </row>
    <row r="45" spans="2:72" s="15" customFormat="1" x14ac:dyDescent="0.2">
      <c r="B45" s="15" t="s">
        <v>23</v>
      </c>
      <c r="C45" s="16"/>
      <c r="D45" s="16"/>
      <c r="E45" s="16"/>
      <c r="F45" s="16"/>
      <c r="G45" s="16">
        <v>1237</v>
      </c>
      <c r="H45" s="16"/>
      <c r="I45" s="16">
        <v>1261</v>
      </c>
      <c r="J45" s="16"/>
      <c r="K45" s="16"/>
      <c r="L45" s="16">
        <f>1448-96-6</f>
        <v>1346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>
        <v>1575</v>
      </c>
      <c r="AD45" s="16">
        <v>1797</v>
      </c>
      <c r="AE45" s="16">
        <v>1563</v>
      </c>
      <c r="AF45" s="16">
        <v>1620</v>
      </c>
      <c r="AG45" s="16">
        <v>1621</v>
      </c>
      <c r="AH45" s="16">
        <v>1883</v>
      </c>
      <c r="AI45" s="16">
        <v>1599</v>
      </c>
      <c r="AJ45" s="16">
        <v>2392</v>
      </c>
      <c r="AK45" s="16">
        <v>2723</v>
      </c>
      <c r="AL45" s="16">
        <v>3089</v>
      </c>
      <c r="AM45" s="16">
        <v>2743</v>
      </c>
      <c r="AN45" s="16">
        <v>2953</v>
      </c>
      <c r="AO45" s="16">
        <v>2961</v>
      </c>
      <c r="AP45" s="16">
        <v>3307</v>
      </c>
      <c r="AQ45" s="16">
        <v>2852</v>
      </c>
      <c r="AR45" s="16">
        <v>3089</v>
      </c>
      <c r="AS45" s="16">
        <v>3089</v>
      </c>
      <c r="AT45" s="16">
        <f>+AP45*1.01</f>
        <v>3340.07</v>
      </c>
      <c r="AU45" s="16">
        <f>+AQ45*0.95</f>
        <v>2709.4</v>
      </c>
      <c r="AV45" s="16">
        <f>+AR45*0.95</f>
        <v>2934.5499999999997</v>
      </c>
      <c r="AW45" s="16">
        <f>+AS45*0.95</f>
        <v>2934.5499999999997</v>
      </c>
      <c r="AX45" s="16">
        <f>+AT45*0.95</f>
        <v>3173.0664999999999</v>
      </c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>
        <f t="shared" ref="BK45:BK46" si="57">SUM(AM45:AP45)</f>
        <v>11964</v>
      </c>
      <c r="BL45" s="16">
        <f t="shared" ref="BL45:BL46" si="58">SUM(AQ45:AT45)</f>
        <v>12370.07</v>
      </c>
      <c r="BM45" s="16">
        <f>+BM42*0.2</f>
        <v>9482.5008399999988</v>
      </c>
      <c r="BN45" s="16">
        <f t="shared" ref="BN45:BT45" si="59">+BN42*0.2</f>
        <v>9454.6803991999968</v>
      </c>
      <c r="BO45" s="16">
        <f t="shared" si="59"/>
        <v>9650.2646678760048</v>
      </c>
      <c r="BP45" s="16">
        <f t="shared" si="59"/>
        <v>9312.9999251472818</v>
      </c>
      <c r="BQ45" s="16">
        <f t="shared" si="59"/>
        <v>9064.6231182734482</v>
      </c>
      <c r="BR45" s="16">
        <f t="shared" si="59"/>
        <v>8585.3364825314911</v>
      </c>
      <c r="BS45" s="16">
        <f t="shared" si="59"/>
        <v>8382.4661295649148</v>
      </c>
      <c r="BT45" s="16">
        <f t="shared" si="59"/>
        <v>6492.0482787850824</v>
      </c>
    </row>
    <row r="46" spans="2:72" s="15" customFormat="1" x14ac:dyDescent="0.2">
      <c r="B46" s="15" t="s">
        <v>22</v>
      </c>
      <c r="C46" s="16"/>
      <c r="D46" s="16"/>
      <c r="E46" s="16"/>
      <c r="F46" s="16"/>
      <c r="G46" s="16">
        <v>634</v>
      </c>
      <c r="H46" s="16"/>
      <c r="I46" s="16">
        <v>714</v>
      </c>
      <c r="J46" s="16"/>
      <c r="K46" s="16"/>
      <c r="L46" s="16">
        <f>834-41</f>
        <v>793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>
        <v>1268</v>
      </c>
      <c r="AD46" s="16">
        <v>1369</v>
      </c>
      <c r="AE46" s="16">
        <v>1199</v>
      </c>
      <c r="AF46" s="16">
        <v>1232</v>
      </c>
      <c r="AG46" s="16">
        <v>1227</v>
      </c>
      <c r="AH46" s="16">
        <v>1331</v>
      </c>
      <c r="AI46" s="16">
        <v>1234</v>
      </c>
      <c r="AJ46" s="16">
        <v>1332</v>
      </c>
      <c r="AK46" s="16">
        <v>1513</v>
      </c>
      <c r="AL46" s="16">
        <v>1751</v>
      </c>
      <c r="AM46" s="16">
        <v>1505</v>
      </c>
      <c r="AN46" s="16">
        <v>1583</v>
      </c>
      <c r="AO46" s="16">
        <v>1632</v>
      </c>
      <c r="AP46" s="16">
        <v>1798</v>
      </c>
      <c r="AQ46" s="16">
        <v>1480</v>
      </c>
      <c r="AR46" s="16">
        <v>1607</v>
      </c>
      <c r="AS46" s="16">
        <v>1607</v>
      </c>
      <c r="AT46" s="16">
        <f>+AP46*1.01</f>
        <v>1815.98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>
        <f t="shared" si="57"/>
        <v>6518</v>
      </c>
      <c r="BL46" s="16">
        <f t="shared" si="58"/>
        <v>6509.98</v>
      </c>
      <c r="BM46" s="16"/>
      <c r="BN46" s="16"/>
      <c r="BO46" s="16"/>
      <c r="BP46" s="16"/>
      <c r="BQ46" s="16"/>
      <c r="BR46" s="16"/>
      <c r="BS46" s="16"/>
    </row>
    <row r="47" spans="2:72" s="15" customFormat="1" x14ac:dyDescent="0.2">
      <c r="B47" s="15" t="s">
        <v>20</v>
      </c>
      <c r="C47" s="16"/>
      <c r="D47" s="16"/>
      <c r="E47" s="16"/>
      <c r="F47" s="16"/>
      <c r="G47" s="16">
        <f>+G46+G45</f>
        <v>1871</v>
      </c>
      <c r="H47" s="16"/>
      <c r="I47" s="16">
        <f>+I46+I45</f>
        <v>1975</v>
      </c>
      <c r="J47" s="16"/>
      <c r="K47" s="16"/>
      <c r="L47" s="16">
        <f>+L46+L45</f>
        <v>2139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>
        <f>+AC45+AC46</f>
        <v>2843</v>
      </c>
      <c r="AD47" s="16">
        <f>+AD45+AD46</f>
        <v>3166</v>
      </c>
      <c r="AE47" s="16">
        <f>+AE45+AE46</f>
        <v>2762</v>
      </c>
      <c r="AF47" s="16">
        <f>+AF45+AF46</f>
        <v>2852</v>
      </c>
      <c r="AG47" s="16">
        <f t="shared" ref="AG47:AH47" si="60">AG46+AG45</f>
        <v>2848</v>
      </c>
      <c r="AH47" s="16">
        <f t="shared" si="60"/>
        <v>3214</v>
      </c>
      <c r="AI47" s="16">
        <f t="shared" ref="AI47:AJ47" si="61">AI46+AI45</f>
        <v>2833</v>
      </c>
      <c r="AJ47" s="16">
        <f t="shared" si="61"/>
        <v>3724</v>
      </c>
      <c r="AK47" s="16">
        <f t="shared" ref="AK47:AQ47" si="62">AK46+AK45</f>
        <v>4236</v>
      </c>
      <c r="AL47" s="16">
        <f t="shared" si="62"/>
        <v>4840</v>
      </c>
      <c r="AM47" s="16">
        <f t="shared" si="62"/>
        <v>4248</v>
      </c>
      <c r="AN47" s="16">
        <f t="shared" si="62"/>
        <v>4536</v>
      </c>
      <c r="AO47" s="16">
        <f t="shared" si="62"/>
        <v>4593</v>
      </c>
      <c r="AP47" s="16">
        <f t="shared" si="62"/>
        <v>5105</v>
      </c>
      <c r="AQ47" s="16">
        <f t="shared" si="62"/>
        <v>4332</v>
      </c>
      <c r="AR47" s="16">
        <f t="shared" ref="AR47:AT47" si="63">AR46+AR45</f>
        <v>4696</v>
      </c>
      <c r="AS47" s="16">
        <f t="shared" si="63"/>
        <v>4696</v>
      </c>
      <c r="AT47" s="16">
        <f t="shared" si="63"/>
        <v>5156.05</v>
      </c>
      <c r="AU47" s="16">
        <f t="shared" ref="AU47:AX47" si="64">AU46+AU45</f>
        <v>2709.4</v>
      </c>
      <c r="AV47" s="16">
        <f t="shared" si="64"/>
        <v>2934.5499999999997</v>
      </c>
      <c r="AW47" s="16">
        <f t="shared" si="64"/>
        <v>2934.5499999999997</v>
      </c>
      <c r="AX47" s="16">
        <f t="shared" si="64"/>
        <v>3173.0664999999999</v>
      </c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>
        <f>+BK45+BK46</f>
        <v>18482</v>
      </c>
      <c r="BL47" s="16">
        <f>+BL45+BL46</f>
        <v>18880.05</v>
      </c>
      <c r="BM47" s="16">
        <f t="shared" ref="BM47:BT47" si="65">+BM45+BM46</f>
        <v>9482.5008399999988</v>
      </c>
      <c r="BN47" s="16">
        <f t="shared" si="65"/>
        <v>9454.6803991999968</v>
      </c>
      <c r="BO47" s="16">
        <f t="shared" si="65"/>
        <v>9650.2646678760048</v>
      </c>
      <c r="BP47" s="16">
        <f t="shared" si="65"/>
        <v>9312.9999251472818</v>
      </c>
      <c r="BQ47" s="16">
        <f t="shared" si="65"/>
        <v>9064.6231182734482</v>
      </c>
      <c r="BR47" s="16">
        <f t="shared" si="65"/>
        <v>8585.3364825314911</v>
      </c>
      <c r="BS47" s="16">
        <f t="shared" si="65"/>
        <v>8382.4661295649148</v>
      </c>
      <c r="BT47" s="16">
        <f t="shared" si="65"/>
        <v>6492.0482787850824</v>
      </c>
    </row>
    <row r="48" spans="2:72" s="15" customFormat="1" x14ac:dyDescent="0.2">
      <c r="B48" s="15" t="s">
        <v>21</v>
      </c>
      <c r="C48" s="16"/>
      <c r="D48" s="16"/>
      <c r="E48" s="16"/>
      <c r="F48" s="16"/>
      <c r="G48" s="16">
        <f>G44-G47</f>
        <v>1305</v>
      </c>
      <c r="H48" s="16"/>
      <c r="I48" s="16">
        <f>I44-I47</f>
        <v>1591</v>
      </c>
      <c r="J48" s="16"/>
      <c r="K48" s="16"/>
      <c r="L48" s="16">
        <f>+L44-L47</f>
        <v>1752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>
        <f>+AC44-AC47</f>
        <v>3884</v>
      </c>
      <c r="AD48" s="16">
        <f>+AD44-AD47</f>
        <v>3465</v>
      </c>
      <c r="AE48" s="16">
        <f>+AE44-AE47</f>
        <v>3763</v>
      </c>
      <c r="AF48" s="16">
        <f>+AF44-AF47</f>
        <v>3976</v>
      </c>
      <c r="AG48" s="16">
        <f t="shared" ref="AG48:AH48" si="66">AG44-AG47</f>
        <v>4106</v>
      </c>
      <c r="AH48" s="16">
        <f t="shared" si="66"/>
        <v>3885</v>
      </c>
      <c r="AI48" s="16">
        <f t="shared" ref="AI48:AJ48" si="67">AI44-AI47</f>
        <v>4292</v>
      </c>
      <c r="AJ48" s="16">
        <f t="shared" si="67"/>
        <v>4905</v>
      </c>
      <c r="AK48" s="16">
        <f t="shared" ref="AK48:AQ48" si="68">AK44-AK47</f>
        <v>6284</v>
      </c>
      <c r="AL48" s="16">
        <f t="shared" si="68"/>
        <v>6495</v>
      </c>
      <c r="AM48" s="16">
        <f t="shared" si="68"/>
        <v>6602</v>
      </c>
      <c r="AN48" s="16">
        <f t="shared" si="68"/>
        <v>6944</v>
      </c>
      <c r="AO48" s="16">
        <f t="shared" si="68"/>
        <v>7336</v>
      </c>
      <c r="AP48" s="16">
        <f t="shared" si="68"/>
        <v>7333</v>
      </c>
      <c r="AQ48" s="16">
        <f t="shared" si="68"/>
        <v>7103</v>
      </c>
      <c r="AR48" s="16">
        <f t="shared" ref="AR48:AT48" si="69">AR44-AR47</f>
        <v>7720</v>
      </c>
      <c r="AS48" s="16">
        <f t="shared" si="69"/>
        <v>7949</v>
      </c>
      <c r="AT48" s="16">
        <f t="shared" si="69"/>
        <v>7654.1979999999976</v>
      </c>
      <c r="AU48" s="16">
        <f t="shared" ref="AU48:AX48" si="70">AU44-AU47</f>
        <v>8932.6844999999994</v>
      </c>
      <c r="AV48" s="16">
        <f t="shared" si="70"/>
        <v>9422.3250000000007</v>
      </c>
      <c r="AW48" s="16">
        <f t="shared" si="70"/>
        <v>9379.1365000000005</v>
      </c>
      <c r="AX48" s="16">
        <f t="shared" si="70"/>
        <v>9030.5569849999993</v>
      </c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>
        <f>+BK44-BK47</f>
        <v>28215</v>
      </c>
      <c r="BL48" s="16">
        <f>+BL44-BL47</f>
        <v>30426.198000000008</v>
      </c>
      <c r="BM48" s="16">
        <f t="shared" ref="BM48:BT48" si="71">+BM44-BM47</f>
        <v>30818.127729999993</v>
      </c>
      <c r="BN48" s="16">
        <f t="shared" si="71"/>
        <v>30727.71129739999</v>
      </c>
      <c r="BO48" s="16">
        <f t="shared" si="71"/>
        <v>31363.360170597007</v>
      </c>
      <c r="BP48" s="16">
        <f t="shared" si="71"/>
        <v>30267.249756728663</v>
      </c>
      <c r="BQ48" s="16">
        <f t="shared" si="71"/>
        <v>29460.025134388707</v>
      </c>
      <c r="BR48" s="16">
        <f t="shared" si="71"/>
        <v>27902.343568227348</v>
      </c>
      <c r="BS48" s="16">
        <f t="shared" si="71"/>
        <v>27243.014921085974</v>
      </c>
      <c r="BT48" s="16">
        <f t="shared" si="71"/>
        <v>21099.156906051518</v>
      </c>
    </row>
    <row r="49" spans="2:199" s="15" customFormat="1" x14ac:dyDescent="0.2">
      <c r="B49" s="15" t="s">
        <v>19</v>
      </c>
      <c r="C49" s="16"/>
      <c r="D49" s="16"/>
      <c r="E49" s="16"/>
      <c r="F49" s="16"/>
      <c r="G49" s="16">
        <f>-66-15+15</f>
        <v>-66</v>
      </c>
      <c r="H49" s="16"/>
      <c r="I49" s="16">
        <f>-69-11-5</f>
        <v>-85</v>
      </c>
      <c r="J49" s="16"/>
      <c r="K49" s="16"/>
      <c r="L49" s="16">
        <f>-69-5-8</f>
        <v>-82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>
        <f>-302-2+1</f>
        <v>-303</v>
      </c>
      <c r="AD49" s="16">
        <f>-319-6+11</f>
        <v>-314</v>
      </c>
      <c r="AE49" s="16">
        <v>-34</v>
      </c>
      <c r="AF49" s="16">
        <f>-302+26</f>
        <v>-276</v>
      </c>
      <c r="AG49" s="16">
        <f>-288-19+3</f>
        <v>-304</v>
      </c>
      <c r="AH49" s="16">
        <f>-282-11+22</f>
        <v>-271</v>
      </c>
      <c r="AI49" s="16">
        <f>-284-5</f>
        <v>-289</v>
      </c>
      <c r="AJ49" s="16">
        <f>-484+7-33</f>
        <v>-510</v>
      </c>
      <c r="AK49" s="50">
        <v>620</v>
      </c>
      <c r="AL49" s="50">
        <v>618</v>
      </c>
      <c r="AM49" s="16">
        <v>-622</v>
      </c>
      <c r="AN49" s="16">
        <v>-606</v>
      </c>
      <c r="AO49" s="16">
        <v>-585</v>
      </c>
      <c r="AP49" s="16">
        <v>-571</v>
      </c>
      <c r="AQ49" s="16">
        <f>-539+28</f>
        <v>-511</v>
      </c>
      <c r="AR49" s="16">
        <f>-497+210</f>
        <v>-287</v>
      </c>
      <c r="AS49" s="16">
        <f>120-497</f>
        <v>-377</v>
      </c>
      <c r="AT49" s="16">
        <f>+AS49</f>
        <v>-377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f t="shared" ref="BK49" si="72">SUM(AM49:AP49)</f>
        <v>-2384</v>
      </c>
      <c r="BL49" s="16">
        <f t="shared" ref="BL49" si="73">SUM(AQ49:AT49)</f>
        <v>-1552</v>
      </c>
      <c r="BM49" s="16">
        <f>+BL49+300</f>
        <v>-1252</v>
      </c>
      <c r="BN49" s="16">
        <f t="shared" ref="BN49:BT49" si="74">+BM49+300</f>
        <v>-952</v>
      </c>
      <c r="BO49" s="16">
        <f t="shared" si="74"/>
        <v>-652</v>
      </c>
      <c r="BP49" s="16">
        <f t="shared" si="74"/>
        <v>-352</v>
      </c>
      <c r="BQ49" s="16">
        <f t="shared" si="74"/>
        <v>-52</v>
      </c>
      <c r="BR49" s="16">
        <f t="shared" si="74"/>
        <v>248</v>
      </c>
      <c r="BS49" s="16">
        <f t="shared" si="74"/>
        <v>548</v>
      </c>
      <c r="BT49" s="16">
        <f t="shared" si="74"/>
        <v>848</v>
      </c>
    </row>
    <row r="50" spans="2:199" s="15" customFormat="1" x14ac:dyDescent="0.2">
      <c r="B50" s="15" t="s">
        <v>18</v>
      </c>
      <c r="C50" s="16"/>
      <c r="D50" s="16"/>
      <c r="E50" s="16"/>
      <c r="F50" s="16"/>
      <c r="G50" s="16">
        <f>+G48+G49</f>
        <v>1239</v>
      </c>
      <c r="H50" s="16"/>
      <c r="I50" s="16">
        <f>+I48+I49</f>
        <v>1506</v>
      </c>
      <c r="J50" s="16"/>
      <c r="K50" s="16"/>
      <c r="L50" s="16">
        <f>+L49+L48</f>
        <v>1670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f>+AC48+AC49</f>
        <v>3581</v>
      </c>
      <c r="AD50" s="16">
        <f>+AD48+AD49</f>
        <v>3151</v>
      </c>
      <c r="AE50" s="16">
        <f>+AE48+AE49</f>
        <v>3729</v>
      </c>
      <c r="AF50" s="16">
        <f>+AF48+AF49</f>
        <v>3700</v>
      </c>
      <c r="AG50" s="16">
        <f t="shared" ref="AG50:AH50" si="75">AG48+AG49</f>
        <v>3802</v>
      </c>
      <c r="AH50" s="16">
        <f t="shared" si="75"/>
        <v>3614</v>
      </c>
      <c r="AI50" s="16">
        <f t="shared" ref="AI50:AJ50" si="76">AI48+AI49</f>
        <v>4003</v>
      </c>
      <c r="AJ50" s="16">
        <f t="shared" si="76"/>
        <v>4395</v>
      </c>
      <c r="AK50" s="16">
        <f t="shared" ref="AK50:AQ50" si="77">AK48+AK49</f>
        <v>6904</v>
      </c>
      <c r="AL50" s="16">
        <f t="shared" si="77"/>
        <v>7113</v>
      </c>
      <c r="AM50" s="16">
        <f t="shared" si="77"/>
        <v>5980</v>
      </c>
      <c r="AN50" s="16">
        <f t="shared" si="77"/>
        <v>6338</v>
      </c>
      <c r="AO50" s="16">
        <f t="shared" si="77"/>
        <v>6751</v>
      </c>
      <c r="AP50" s="16">
        <f t="shared" si="77"/>
        <v>6762</v>
      </c>
      <c r="AQ50" s="16">
        <f t="shared" si="77"/>
        <v>6592</v>
      </c>
      <c r="AR50" s="16">
        <f t="shared" ref="AR50:AT50" si="78">AR48+AR49</f>
        <v>7433</v>
      </c>
      <c r="AS50" s="16">
        <f t="shared" si="78"/>
        <v>7572</v>
      </c>
      <c r="AT50" s="16">
        <f t="shared" si="78"/>
        <v>7277.1979999999976</v>
      </c>
      <c r="AU50" s="16">
        <f t="shared" ref="AU50:AX50" si="79">AU48+AU49</f>
        <v>8932.6844999999994</v>
      </c>
      <c r="AV50" s="16">
        <f t="shared" si="79"/>
        <v>9422.3250000000007</v>
      </c>
      <c r="AW50" s="16">
        <f t="shared" si="79"/>
        <v>9379.1365000000005</v>
      </c>
      <c r="AX50" s="16">
        <f t="shared" si="79"/>
        <v>9030.5569849999993</v>
      </c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>
        <f>+BK48+BK49</f>
        <v>25831</v>
      </c>
      <c r="BL50" s="16">
        <f>+BL48+BL49</f>
        <v>28874.198000000008</v>
      </c>
      <c r="BM50" s="16">
        <f t="shared" ref="BM50:BT50" si="80">+BM48+BM49</f>
        <v>29566.127729999993</v>
      </c>
      <c r="BN50" s="16">
        <f t="shared" si="80"/>
        <v>29775.71129739999</v>
      </c>
      <c r="BO50" s="16">
        <f t="shared" si="80"/>
        <v>30711.360170597007</v>
      </c>
      <c r="BP50" s="16">
        <f t="shared" si="80"/>
        <v>29915.249756728663</v>
      </c>
      <c r="BQ50" s="16">
        <f t="shared" si="80"/>
        <v>29408.025134388707</v>
      </c>
      <c r="BR50" s="16">
        <f t="shared" si="80"/>
        <v>28150.343568227348</v>
      </c>
      <c r="BS50" s="16">
        <f t="shared" si="80"/>
        <v>27791.014921085974</v>
      </c>
      <c r="BT50" s="16">
        <f t="shared" si="80"/>
        <v>21947.156906051518</v>
      </c>
    </row>
    <row r="51" spans="2:199" s="15" customFormat="1" x14ac:dyDescent="0.2">
      <c r="B51" s="15" t="s">
        <v>17</v>
      </c>
      <c r="C51" s="16"/>
      <c r="D51" s="16"/>
      <c r="E51" s="16"/>
      <c r="F51" s="16"/>
      <c r="G51" s="16">
        <v>271</v>
      </c>
      <c r="H51" s="16"/>
      <c r="I51" s="16">
        <v>322</v>
      </c>
      <c r="J51" s="16"/>
      <c r="K51" s="16"/>
      <c r="L51" s="16">
        <v>335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>
        <v>326</v>
      </c>
      <c r="AD51" s="16">
        <v>289</v>
      </c>
      <c r="AE51" s="16">
        <v>274</v>
      </c>
      <c r="AF51" s="16">
        <v>324</v>
      </c>
      <c r="AG51" s="16">
        <v>334</v>
      </c>
      <c r="AH51" s="16">
        <v>320</v>
      </c>
      <c r="AI51" s="16">
        <v>390</v>
      </c>
      <c r="AJ51" s="16">
        <v>501</v>
      </c>
      <c r="AK51" s="16">
        <v>668</v>
      </c>
      <c r="AL51" s="16">
        <v>686</v>
      </c>
      <c r="AM51" s="16">
        <v>738</v>
      </c>
      <c r="AN51" s="16">
        <f>799+3</f>
        <v>802</v>
      </c>
      <c r="AO51" s="16">
        <f>862+1</f>
        <v>863</v>
      </c>
      <c r="AP51" s="16">
        <f>6764-5919</f>
        <v>845</v>
      </c>
      <c r="AQ51" s="16">
        <v>778</v>
      </c>
      <c r="AR51" s="16">
        <v>965</v>
      </c>
      <c r="AS51" s="16">
        <v>965</v>
      </c>
      <c r="AT51" s="16">
        <f>+AT50*0.15</f>
        <v>1091.5796999999995</v>
      </c>
      <c r="AU51" s="16">
        <f t="shared" ref="AU51:AX51" si="81">+AU50*0.15</f>
        <v>1339.9026749999998</v>
      </c>
      <c r="AV51" s="16">
        <f t="shared" si="81"/>
        <v>1413.3487500000001</v>
      </c>
      <c r="AW51" s="16">
        <f t="shared" si="81"/>
        <v>1406.8704749999999</v>
      </c>
      <c r="AX51" s="16">
        <f t="shared" si="81"/>
        <v>1354.5835477499998</v>
      </c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>
        <f t="shared" ref="BK51" si="82">SUM(AM51:AP51)</f>
        <v>3248</v>
      </c>
      <c r="BL51" s="16">
        <f t="shared" ref="BL51" si="83">SUM(AQ51:AT51)</f>
        <v>3799.5796999999993</v>
      </c>
      <c r="BM51" s="16">
        <f>+BM50*0.15</f>
        <v>4434.9191594999984</v>
      </c>
      <c r="BN51" s="16">
        <f t="shared" ref="BN51:BT51" si="84">+BN50*0.15</f>
        <v>4466.3566946099982</v>
      </c>
      <c r="BO51" s="16">
        <f t="shared" si="84"/>
        <v>4606.7040255895508</v>
      </c>
      <c r="BP51" s="16">
        <f t="shared" si="84"/>
        <v>4487.2874635092994</v>
      </c>
      <c r="BQ51" s="16">
        <f t="shared" si="84"/>
        <v>4411.2037701583058</v>
      </c>
      <c r="BR51" s="16">
        <f t="shared" si="84"/>
        <v>4222.5515352341017</v>
      </c>
      <c r="BS51" s="16">
        <f t="shared" si="84"/>
        <v>4168.6522381628956</v>
      </c>
      <c r="BT51" s="16">
        <f t="shared" si="84"/>
        <v>3292.0735359077275</v>
      </c>
    </row>
    <row r="52" spans="2:199" s="15" customFormat="1" x14ac:dyDescent="0.2">
      <c r="B52" s="15" t="s">
        <v>16</v>
      </c>
      <c r="C52" s="16"/>
      <c r="D52" s="16"/>
      <c r="E52" s="16"/>
      <c r="F52" s="16"/>
      <c r="G52" s="16">
        <f>+G50-G51</f>
        <v>968</v>
      </c>
      <c r="H52" s="16"/>
      <c r="I52" s="16">
        <f>+I50-I51</f>
        <v>1184</v>
      </c>
      <c r="J52" s="16"/>
      <c r="K52" s="16"/>
      <c r="L52" s="16">
        <f>+L50-L51</f>
        <v>1335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>
        <f>+AC50-AC51</f>
        <v>3255</v>
      </c>
      <c r="AD52" s="16">
        <f>+AD50-AD51</f>
        <v>2862</v>
      </c>
      <c r="AE52" s="16">
        <f>+AE50-AE51</f>
        <v>3455</v>
      </c>
      <c r="AF52" s="16">
        <f>+AF50-AF51</f>
        <v>3376</v>
      </c>
      <c r="AG52" s="16">
        <f t="shared" ref="AG52:AH52" si="85">AG50-AG51</f>
        <v>3468</v>
      </c>
      <c r="AH52" s="16">
        <f t="shared" si="85"/>
        <v>3294</v>
      </c>
      <c r="AI52" s="16">
        <f t="shared" ref="AI52:AJ52" si="86">AI50-AI51</f>
        <v>3613</v>
      </c>
      <c r="AJ52" s="16">
        <f t="shared" si="86"/>
        <v>3894</v>
      </c>
      <c r="AK52" s="16">
        <f t="shared" ref="AK52:AQ52" si="87">AK50-AK51</f>
        <v>6236</v>
      </c>
      <c r="AL52" s="16">
        <f t="shared" si="87"/>
        <v>6427</v>
      </c>
      <c r="AM52" s="16">
        <f t="shared" si="87"/>
        <v>5242</v>
      </c>
      <c r="AN52" s="16">
        <f t="shared" si="87"/>
        <v>5536</v>
      </c>
      <c r="AO52" s="16">
        <f t="shared" si="87"/>
        <v>5888</v>
      </c>
      <c r="AP52" s="16">
        <f t="shared" si="87"/>
        <v>5917</v>
      </c>
      <c r="AQ52" s="16">
        <f t="shared" si="87"/>
        <v>5814</v>
      </c>
      <c r="AR52" s="16">
        <f t="shared" ref="AR52:AT52" si="88">AR50-AR51</f>
        <v>6468</v>
      </c>
      <c r="AS52" s="16">
        <f t="shared" si="88"/>
        <v>6607</v>
      </c>
      <c r="AT52" s="16">
        <f t="shared" si="88"/>
        <v>6185.6182999999983</v>
      </c>
      <c r="AU52" s="16">
        <f t="shared" ref="AU52:AX52" si="89">AU50-AU51</f>
        <v>7592.781825</v>
      </c>
      <c r="AV52" s="16">
        <f t="shared" si="89"/>
        <v>8008.9762500000006</v>
      </c>
      <c r="AW52" s="16">
        <f t="shared" si="89"/>
        <v>7972.2660250000008</v>
      </c>
      <c r="AX52" s="16">
        <f t="shared" si="89"/>
        <v>7675.9734372499997</v>
      </c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>
        <f>+BK50-BK51</f>
        <v>22583</v>
      </c>
      <c r="BL52" s="16">
        <f>+BL50-BL51</f>
        <v>25074.618300000009</v>
      </c>
      <c r="BM52" s="16">
        <f>+BM50-BM51</f>
        <v>25131.208570499995</v>
      </c>
      <c r="BN52" s="16">
        <f t="shared" ref="BN52:BT52" si="90">+BN50-BN51</f>
        <v>25309.354602789994</v>
      </c>
      <c r="BO52" s="16">
        <f t="shared" si="90"/>
        <v>26104.656145007455</v>
      </c>
      <c r="BP52" s="16">
        <f t="shared" si="90"/>
        <v>25427.962293219363</v>
      </c>
      <c r="BQ52" s="16">
        <f t="shared" si="90"/>
        <v>24996.8213642304</v>
      </c>
      <c r="BR52" s="16">
        <f t="shared" si="90"/>
        <v>23927.792032993246</v>
      </c>
      <c r="BS52" s="16">
        <f t="shared" si="90"/>
        <v>23622.362682923078</v>
      </c>
      <c r="BT52" s="16">
        <f t="shared" si="90"/>
        <v>18655.083370143791</v>
      </c>
      <c r="BU52" s="15">
        <f>BT52*(1+$BW$55)</f>
        <v>18468.532536442352</v>
      </c>
      <c r="BV52" s="15">
        <f t="shared" ref="BV52:EG52" si="91">BU52*(1+$BW$55)</f>
        <v>18283.847211077929</v>
      </c>
      <c r="BW52" s="15">
        <f t="shared" si="91"/>
        <v>18101.00873896715</v>
      </c>
      <c r="BX52" s="15">
        <f t="shared" si="91"/>
        <v>17919.99865157748</v>
      </c>
      <c r="BY52" s="15">
        <f t="shared" si="91"/>
        <v>17740.798665061706</v>
      </c>
      <c r="BZ52" s="15">
        <f t="shared" si="91"/>
        <v>17563.390678411088</v>
      </c>
      <c r="CA52" s="15">
        <f t="shared" si="91"/>
        <v>17387.756771626977</v>
      </c>
      <c r="CB52" s="15">
        <f t="shared" si="91"/>
        <v>17213.879203910707</v>
      </c>
      <c r="CC52" s="15">
        <f t="shared" si="91"/>
        <v>17041.7404118716</v>
      </c>
      <c r="CD52" s="15">
        <f t="shared" si="91"/>
        <v>16871.323007752882</v>
      </c>
      <c r="CE52" s="15">
        <f t="shared" si="91"/>
        <v>16702.609777675352</v>
      </c>
      <c r="CF52" s="15">
        <f t="shared" si="91"/>
        <v>16535.583679898598</v>
      </c>
      <c r="CG52" s="15">
        <f t="shared" si="91"/>
        <v>16370.227843099612</v>
      </c>
      <c r="CH52" s="15">
        <f t="shared" si="91"/>
        <v>16206.525564668616</v>
      </c>
      <c r="CI52" s="15">
        <f t="shared" si="91"/>
        <v>16044.46030902193</v>
      </c>
      <c r="CJ52" s="15">
        <f t="shared" si="91"/>
        <v>15884.01570593171</v>
      </c>
      <c r="CK52" s="15">
        <f t="shared" si="91"/>
        <v>15725.175548872392</v>
      </c>
      <c r="CL52" s="15">
        <f t="shared" si="91"/>
        <v>15567.923793383668</v>
      </c>
      <c r="CM52" s="15">
        <f t="shared" si="91"/>
        <v>15412.244555449832</v>
      </c>
      <c r="CN52" s="15">
        <f t="shared" si="91"/>
        <v>15258.122109895334</v>
      </c>
      <c r="CO52" s="15">
        <f t="shared" si="91"/>
        <v>15105.54088879638</v>
      </c>
      <c r="CP52" s="15">
        <f t="shared" si="91"/>
        <v>14954.485479908417</v>
      </c>
      <c r="CQ52" s="15">
        <f t="shared" si="91"/>
        <v>14804.940625109333</v>
      </c>
      <c r="CR52" s="15">
        <f t="shared" si="91"/>
        <v>14656.89121885824</v>
      </c>
      <c r="CS52" s="15">
        <f t="shared" si="91"/>
        <v>14510.322306669657</v>
      </c>
      <c r="CT52" s="15">
        <f t="shared" si="91"/>
        <v>14365.21908360296</v>
      </c>
      <c r="CU52" s="15">
        <f t="shared" si="91"/>
        <v>14221.56689276693</v>
      </c>
      <c r="CV52" s="15">
        <f t="shared" si="91"/>
        <v>14079.351223839261</v>
      </c>
      <c r="CW52" s="15">
        <f t="shared" si="91"/>
        <v>13938.557711600868</v>
      </c>
      <c r="CX52" s="15">
        <f t="shared" si="91"/>
        <v>13799.172134484859</v>
      </c>
      <c r="CY52" s="15">
        <f t="shared" si="91"/>
        <v>13661.180413140011</v>
      </c>
      <c r="CZ52" s="15">
        <f t="shared" si="91"/>
        <v>13524.568609008611</v>
      </c>
      <c r="DA52" s="15">
        <f t="shared" si="91"/>
        <v>13389.322922918525</v>
      </c>
      <c r="DB52" s="15">
        <f t="shared" si="91"/>
        <v>13255.429693689341</v>
      </c>
      <c r="DC52" s="15">
        <f t="shared" si="91"/>
        <v>13122.875396752446</v>
      </c>
      <c r="DD52" s="15">
        <f t="shared" si="91"/>
        <v>12991.646642784921</v>
      </c>
      <c r="DE52" s="15">
        <f t="shared" si="91"/>
        <v>12861.730176357072</v>
      </c>
      <c r="DF52" s="15">
        <f t="shared" si="91"/>
        <v>12733.112874593502</v>
      </c>
      <c r="DG52" s="15">
        <f t="shared" si="91"/>
        <v>12605.781745847567</v>
      </c>
      <c r="DH52" s="15">
        <f t="shared" si="91"/>
        <v>12479.723928389092</v>
      </c>
      <c r="DI52" s="15">
        <f t="shared" si="91"/>
        <v>12354.926689105201</v>
      </c>
      <c r="DJ52" s="15">
        <f t="shared" si="91"/>
        <v>12231.377422214149</v>
      </c>
      <c r="DK52" s="15">
        <f t="shared" si="91"/>
        <v>12109.063647992007</v>
      </c>
      <c r="DL52" s="15">
        <f t="shared" si="91"/>
        <v>11987.973011512087</v>
      </c>
      <c r="DM52" s="15">
        <f t="shared" si="91"/>
        <v>11868.093281396967</v>
      </c>
      <c r="DN52" s="15">
        <f t="shared" si="91"/>
        <v>11749.412348582997</v>
      </c>
      <c r="DO52" s="15">
        <f t="shared" si="91"/>
        <v>11631.918225097166</v>
      </c>
      <c r="DP52" s="15">
        <f t="shared" si="91"/>
        <v>11515.599042846194</v>
      </c>
      <c r="DQ52" s="15">
        <f t="shared" si="91"/>
        <v>11400.443052417731</v>
      </c>
      <c r="DR52" s="15">
        <f t="shared" si="91"/>
        <v>11286.438621893554</v>
      </c>
      <c r="DS52" s="15">
        <f t="shared" si="91"/>
        <v>11173.574235674618</v>
      </c>
      <c r="DT52" s="15">
        <f t="shared" si="91"/>
        <v>11061.838493317871</v>
      </c>
      <c r="DU52" s="15">
        <f t="shared" si="91"/>
        <v>10951.220108384692</v>
      </c>
      <c r="DV52" s="15">
        <f t="shared" si="91"/>
        <v>10841.707907300844</v>
      </c>
      <c r="DW52" s="15">
        <f t="shared" si="91"/>
        <v>10733.290828227837</v>
      </c>
      <c r="DX52" s="15">
        <f t="shared" si="91"/>
        <v>10625.957919945558</v>
      </c>
      <c r="DY52" s="15">
        <f t="shared" si="91"/>
        <v>10519.698340746103</v>
      </c>
      <c r="DZ52" s="15">
        <f t="shared" si="91"/>
        <v>10414.501357338642</v>
      </c>
      <c r="EA52" s="15">
        <f t="shared" si="91"/>
        <v>10310.356343765256</v>
      </c>
      <c r="EB52" s="15">
        <f t="shared" si="91"/>
        <v>10207.252780327603</v>
      </c>
      <c r="EC52" s="15">
        <f t="shared" si="91"/>
        <v>10105.180252524326</v>
      </c>
      <c r="ED52" s="15">
        <f t="shared" si="91"/>
        <v>10004.128449999082</v>
      </c>
      <c r="EE52" s="15">
        <f t="shared" si="91"/>
        <v>9904.0871654990915</v>
      </c>
      <c r="EF52" s="15">
        <f t="shared" si="91"/>
        <v>9805.0462938440996</v>
      </c>
      <c r="EG52" s="15">
        <f t="shared" si="91"/>
        <v>9706.9958309056583</v>
      </c>
      <c r="EH52" s="15">
        <f t="shared" ref="EH52:GQ52" si="92">EG52*(1+$BW$55)</f>
        <v>9609.925872596601</v>
      </c>
      <c r="EI52" s="15">
        <f t="shared" si="92"/>
        <v>9513.8266138706349</v>
      </c>
      <c r="EJ52" s="15">
        <f t="shared" si="92"/>
        <v>9418.6883477319279</v>
      </c>
      <c r="EK52" s="15">
        <f t="shared" si="92"/>
        <v>9324.5014642546084</v>
      </c>
      <c r="EL52" s="15">
        <f t="shared" si="92"/>
        <v>9231.2564496120631</v>
      </c>
      <c r="EM52" s="15">
        <f t="shared" si="92"/>
        <v>9138.943885115943</v>
      </c>
      <c r="EN52" s="15">
        <f t="shared" si="92"/>
        <v>9047.5544462647831</v>
      </c>
      <c r="EO52" s="15">
        <f t="shared" si="92"/>
        <v>8957.0789018021351</v>
      </c>
      <c r="EP52" s="15">
        <f t="shared" si="92"/>
        <v>8867.5081127841131</v>
      </c>
      <c r="EQ52" s="15">
        <f t="shared" si="92"/>
        <v>8778.8330316562715</v>
      </c>
      <c r="ER52" s="15">
        <f t="shared" si="92"/>
        <v>8691.0447013397079</v>
      </c>
      <c r="ES52" s="15">
        <f t="shared" si="92"/>
        <v>8604.1342543263108</v>
      </c>
      <c r="ET52" s="15">
        <f t="shared" si="92"/>
        <v>8518.0929117830474</v>
      </c>
      <c r="EU52" s="15">
        <f t="shared" si="92"/>
        <v>8432.9119826652168</v>
      </c>
      <c r="EV52" s="15">
        <f t="shared" si="92"/>
        <v>8348.5828628385643</v>
      </c>
      <c r="EW52" s="15">
        <f t="shared" si="92"/>
        <v>8265.0970342101791</v>
      </c>
      <c r="EX52" s="15">
        <f t="shared" si="92"/>
        <v>8182.4460638680775</v>
      </c>
      <c r="EY52" s="15">
        <f t="shared" si="92"/>
        <v>8100.6216032293969</v>
      </c>
      <c r="EZ52" s="15">
        <f t="shared" si="92"/>
        <v>8019.6153871971028</v>
      </c>
      <c r="FA52" s="15">
        <f t="shared" si="92"/>
        <v>7939.4192333251312</v>
      </c>
      <c r="FB52" s="15">
        <f t="shared" si="92"/>
        <v>7860.0250409918799</v>
      </c>
      <c r="FC52" s="15">
        <f t="shared" si="92"/>
        <v>7781.4247905819611</v>
      </c>
      <c r="FD52" s="15">
        <f t="shared" si="92"/>
        <v>7703.6105426761414</v>
      </c>
      <c r="FE52" s="15">
        <f t="shared" si="92"/>
        <v>7626.57443724938</v>
      </c>
      <c r="FF52" s="15">
        <f t="shared" si="92"/>
        <v>7550.3086928768862</v>
      </c>
      <c r="FG52" s="15">
        <f t="shared" si="92"/>
        <v>7474.8056059481169</v>
      </c>
      <c r="FH52" s="15">
        <f t="shared" si="92"/>
        <v>7400.0575498886355</v>
      </c>
      <c r="FI52" s="15">
        <f t="shared" si="92"/>
        <v>7326.0569743897495</v>
      </c>
      <c r="FJ52" s="15">
        <f t="shared" si="92"/>
        <v>7252.7964046458519</v>
      </c>
      <c r="FK52" s="15">
        <f t="shared" si="92"/>
        <v>7180.2684405993932</v>
      </c>
      <c r="FL52" s="15">
        <f t="shared" si="92"/>
        <v>7108.4657561933991</v>
      </c>
      <c r="FM52" s="15">
        <f t="shared" si="92"/>
        <v>7037.3810986314647</v>
      </c>
      <c r="FN52" s="15">
        <f t="shared" si="92"/>
        <v>6967.0072876451504</v>
      </c>
      <c r="FO52" s="15">
        <f t="shared" si="92"/>
        <v>6897.3372147686987</v>
      </c>
      <c r="FP52" s="15">
        <f t="shared" si="92"/>
        <v>6828.3638426210118</v>
      </c>
      <c r="FQ52" s="15">
        <f t="shared" si="92"/>
        <v>6760.0802041948018</v>
      </c>
      <c r="FR52" s="15">
        <f t="shared" si="92"/>
        <v>6692.4794021528542</v>
      </c>
      <c r="FS52" s="15">
        <f t="shared" si="92"/>
        <v>6625.5546081313259</v>
      </c>
      <c r="FT52" s="15">
        <f t="shared" si="92"/>
        <v>6559.2990620500123</v>
      </c>
      <c r="FU52" s="15">
        <f t="shared" si="92"/>
        <v>6493.7060714295121</v>
      </c>
      <c r="FV52" s="15">
        <f t="shared" si="92"/>
        <v>6428.7690107152166</v>
      </c>
      <c r="FW52" s="15">
        <f t="shared" si="92"/>
        <v>6364.4813206080644</v>
      </c>
      <c r="FX52" s="15">
        <f t="shared" si="92"/>
        <v>6300.8365074019839</v>
      </c>
      <c r="FY52" s="15">
        <f t="shared" si="92"/>
        <v>6237.8281423279641</v>
      </c>
      <c r="FZ52" s="15">
        <f t="shared" si="92"/>
        <v>6175.4498609046841</v>
      </c>
      <c r="GA52" s="15">
        <f t="shared" si="92"/>
        <v>6113.6953622956371</v>
      </c>
      <c r="GB52" s="15">
        <f t="shared" si="92"/>
        <v>6052.5584086726803</v>
      </c>
      <c r="GC52" s="15">
        <f t="shared" si="92"/>
        <v>5992.0328245859537</v>
      </c>
      <c r="GD52" s="15">
        <f t="shared" si="92"/>
        <v>5932.1124963400944</v>
      </c>
      <c r="GE52" s="15">
        <f t="shared" si="92"/>
        <v>5872.791371376693</v>
      </c>
      <c r="GF52" s="15">
        <f t="shared" si="92"/>
        <v>5814.0634576629263</v>
      </c>
      <c r="GG52" s="15">
        <f t="shared" si="92"/>
        <v>5755.9228230862973</v>
      </c>
      <c r="GH52" s="15">
        <f t="shared" si="92"/>
        <v>5698.3635948554347</v>
      </c>
      <c r="GI52" s="15">
        <f t="shared" si="92"/>
        <v>5641.3799589068803</v>
      </c>
      <c r="GJ52" s="15">
        <f t="shared" si="92"/>
        <v>5584.9661593178116</v>
      </c>
      <c r="GK52" s="15">
        <f t="shared" si="92"/>
        <v>5529.1164977246335</v>
      </c>
      <c r="GL52" s="15">
        <f t="shared" si="92"/>
        <v>5473.8253327473867</v>
      </c>
      <c r="GM52" s="15">
        <f t="shared" si="92"/>
        <v>5419.0870794199127</v>
      </c>
      <c r="GN52" s="15">
        <f t="shared" si="92"/>
        <v>5364.8962086257134</v>
      </c>
      <c r="GO52" s="15">
        <f t="shared" si="92"/>
        <v>5311.2472465394558</v>
      </c>
      <c r="GP52" s="15">
        <f t="shared" si="92"/>
        <v>5258.1347740740612</v>
      </c>
      <c r="GQ52" s="15">
        <f t="shared" si="92"/>
        <v>5205.5534263333202</v>
      </c>
    </row>
    <row r="53" spans="2:199" s="14" customFormat="1" x14ac:dyDescent="0.2">
      <c r="B53" s="14" t="s">
        <v>15</v>
      </c>
      <c r="C53" s="3"/>
      <c r="D53" s="3"/>
      <c r="E53" s="3"/>
      <c r="F53" s="3"/>
      <c r="G53" s="3">
        <f>G52/G54</f>
        <v>0.60311526479750777</v>
      </c>
      <c r="H53" s="3"/>
      <c r="I53" s="3">
        <f>I52/I54</f>
        <v>0.74465408805031441</v>
      </c>
      <c r="J53" s="3"/>
      <c r="K53" s="3"/>
      <c r="L53" s="3">
        <f>L52/L54</f>
        <v>0.83022388059701491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>
        <f t="shared" ref="AC53" si="93">AC52/AC54</f>
        <v>2.1485148514851486</v>
      </c>
      <c r="AD53" s="3">
        <f t="shared" ref="AD53:AH53" si="94">AD52/AD54</f>
        <v>1.9131016042780749</v>
      </c>
      <c r="AE53" s="3" t="e">
        <f t="shared" si="94"/>
        <v>#DIV/0!</v>
      </c>
      <c r="AF53" s="3" t="e">
        <f t="shared" si="94"/>
        <v>#DIV/0!</v>
      </c>
      <c r="AG53" s="3">
        <f t="shared" ref="AG53" si="95">AG52/AG54</f>
        <v>2.3385030343897504</v>
      </c>
      <c r="AH53" s="3">
        <f t="shared" si="94"/>
        <v>2.2181818181818183</v>
      </c>
      <c r="AI53" s="3">
        <f t="shared" ref="AI53:AJ53" si="96">AI52/AI54</f>
        <v>2.4346361185983829</v>
      </c>
      <c r="AJ53" s="3">
        <f t="shared" si="96"/>
        <v>2.3642987249544625</v>
      </c>
      <c r="AK53" s="3">
        <f t="shared" ref="AK53:AQ53" si="97">AK52/AK54</f>
        <v>3.5152198421645999</v>
      </c>
      <c r="AL53" s="3">
        <f t="shared" si="97"/>
        <v>3.6188063063063063</v>
      </c>
      <c r="AM53" s="3">
        <f t="shared" si="97"/>
        <v>2.9532394366197181</v>
      </c>
      <c r="AN53" s="3">
        <f t="shared" si="97"/>
        <v>3.1171171171171173</v>
      </c>
      <c r="AO53" s="3">
        <f t="shared" si="97"/>
        <v>3.3134496342149689</v>
      </c>
      <c r="AP53" s="3">
        <f t="shared" si="97"/>
        <v>3.3278965129358831</v>
      </c>
      <c r="AQ53" s="3">
        <f t="shared" si="97"/>
        <v>3.2699662542182226</v>
      </c>
      <c r="AR53" s="3">
        <f t="shared" ref="AR53:AT53" si="98">AR52/AR54</f>
        <v>3.6418918918918921</v>
      </c>
      <c r="AS53" s="3">
        <f t="shared" si="98"/>
        <v>3.7201576576576576</v>
      </c>
      <c r="AT53" s="3">
        <f t="shared" si="98"/>
        <v>3.4828931869369359</v>
      </c>
      <c r="AU53" s="3">
        <f t="shared" ref="AU53:AX53" si="99">AU52/AU54</f>
        <v>4.275214991554054</v>
      </c>
      <c r="AV53" s="3">
        <f t="shared" si="99"/>
        <v>4.5095586993243248</v>
      </c>
      <c r="AW53" s="3">
        <f t="shared" si="99"/>
        <v>4.4888885275900909</v>
      </c>
      <c r="AX53" s="3">
        <f t="shared" si="99"/>
        <v>4.3220571155686933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>
        <f>+BK52/BK54</f>
        <v>12.712074303405572</v>
      </c>
      <c r="BL53" s="3">
        <f>+BL52/BL54</f>
        <v>14.114617675204059</v>
      </c>
      <c r="BM53" s="3">
        <f>+BM52/BM54</f>
        <v>14.146472598086122</v>
      </c>
      <c r="BN53" s="3">
        <f t="shared" ref="BN53:BT53" si="100">+BN52/BN54</f>
        <v>14.246751816937795</v>
      </c>
      <c r="BO53" s="3">
        <f t="shared" si="100"/>
        <v>14.69443070363493</v>
      </c>
      <c r="BP53" s="3">
        <f t="shared" si="100"/>
        <v>14.313516630013714</v>
      </c>
      <c r="BQ53" s="3">
        <f t="shared" si="100"/>
        <v>14.07082542315249</v>
      </c>
      <c r="BR53" s="3">
        <f t="shared" si="100"/>
        <v>13.469063908242751</v>
      </c>
      <c r="BS53" s="3">
        <f t="shared" si="100"/>
        <v>13.297136325878457</v>
      </c>
      <c r="BT53" s="3">
        <f t="shared" si="100"/>
        <v>10.501032012464842</v>
      </c>
    </row>
    <row r="54" spans="2:199" s="15" customFormat="1" x14ac:dyDescent="0.2">
      <c r="B54" s="15" t="s">
        <v>14</v>
      </c>
      <c r="C54" s="16"/>
      <c r="D54" s="16"/>
      <c r="E54" s="16"/>
      <c r="F54" s="16"/>
      <c r="G54" s="16">
        <v>1605</v>
      </c>
      <c r="H54" s="16"/>
      <c r="I54" s="16">
        <v>1590</v>
      </c>
      <c r="J54" s="16"/>
      <c r="K54" s="16"/>
      <c r="L54" s="16">
        <v>1608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>
        <v>1515</v>
      </c>
      <c r="AD54" s="16">
        <v>1496</v>
      </c>
      <c r="AE54" s="16"/>
      <c r="AF54" s="16"/>
      <c r="AG54" s="16">
        <v>1483</v>
      </c>
      <c r="AH54" s="16">
        <v>1485</v>
      </c>
      <c r="AI54" s="16">
        <v>1484</v>
      </c>
      <c r="AJ54" s="16">
        <v>1647</v>
      </c>
      <c r="AK54" s="16">
        <v>1774</v>
      </c>
      <c r="AL54" s="16">
        <v>1776</v>
      </c>
      <c r="AM54" s="16">
        <v>1775</v>
      </c>
      <c r="AN54" s="16">
        <v>1776</v>
      </c>
      <c r="AO54" s="16">
        <v>1777</v>
      </c>
      <c r="AP54" s="16">
        <v>1778</v>
      </c>
      <c r="AQ54" s="16">
        <v>1778</v>
      </c>
      <c r="AR54" s="16">
        <v>1776</v>
      </c>
      <c r="AS54" s="16">
        <v>1776</v>
      </c>
      <c r="AT54" s="16">
        <f>+AS54</f>
        <v>1776</v>
      </c>
      <c r="AU54" s="16">
        <f t="shared" ref="AU54:AX54" si="101">+AT54</f>
        <v>1776</v>
      </c>
      <c r="AV54" s="16">
        <f t="shared" si="101"/>
        <v>1776</v>
      </c>
      <c r="AW54" s="16">
        <f t="shared" si="101"/>
        <v>1776</v>
      </c>
      <c r="AX54" s="16">
        <f t="shared" si="101"/>
        <v>1776</v>
      </c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>
        <f>AVERAGE(AM54:AP54)</f>
        <v>1776.5</v>
      </c>
      <c r="BL54" s="16">
        <f>AVERAGE(AQ54:AT54)</f>
        <v>1776.5</v>
      </c>
      <c r="BM54" s="16">
        <f>BL54</f>
        <v>1776.5</v>
      </c>
      <c r="BN54" s="16">
        <f t="shared" ref="BN54:BT54" si="102">BM54</f>
        <v>1776.5</v>
      </c>
      <c r="BO54" s="16">
        <f t="shared" si="102"/>
        <v>1776.5</v>
      </c>
      <c r="BP54" s="16">
        <f t="shared" si="102"/>
        <v>1776.5</v>
      </c>
      <c r="BQ54" s="16">
        <f t="shared" si="102"/>
        <v>1776.5</v>
      </c>
      <c r="BR54" s="16">
        <f t="shared" si="102"/>
        <v>1776.5</v>
      </c>
      <c r="BS54" s="16">
        <f t="shared" si="102"/>
        <v>1776.5</v>
      </c>
      <c r="BT54" s="16">
        <f t="shared" si="102"/>
        <v>1776.5</v>
      </c>
      <c r="BV54" s="49" t="s">
        <v>258</v>
      </c>
      <c r="BW54" s="29">
        <v>0.06</v>
      </c>
    </row>
    <row r="55" spans="2:199" x14ac:dyDescent="0.2">
      <c r="BV55" s="46" t="s">
        <v>259</v>
      </c>
      <c r="BW55" s="29">
        <v>-0.01</v>
      </c>
    </row>
    <row r="56" spans="2:199" s="32" customFormat="1" x14ac:dyDescent="0.2">
      <c r="B56" s="32" t="s">
        <v>161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>
        <f t="shared" ref="AG56:AK56" si="103">+AG42/AC42-1</f>
        <v>2.9504613890237952E-2</v>
      </c>
      <c r="AH56" s="33">
        <f t="shared" si="103"/>
        <v>4.8043347381095725E-2</v>
      </c>
      <c r="AI56" s="33">
        <f t="shared" si="103"/>
        <v>0.10104752171691356</v>
      </c>
      <c r="AJ56" s="33">
        <f t="shared" si="103"/>
        <v>0.26287098728043601</v>
      </c>
      <c r="AK56" s="33">
        <f t="shared" si="103"/>
        <v>0.51928293430829098</v>
      </c>
      <c r="AL56" s="33">
        <f t="shared" ref="AL56:AQ56" si="104">+AL42/AH42-1</f>
        <v>0.59214154411764697</v>
      </c>
      <c r="AM56" s="33">
        <f t="shared" si="104"/>
        <v>0.50075414781297134</v>
      </c>
      <c r="AN56" s="33">
        <f t="shared" si="104"/>
        <v>0.3389928057553957</v>
      </c>
      <c r="AO56" s="33">
        <f t="shared" si="104"/>
        <v>0.11333643844123586</v>
      </c>
      <c r="AP56" s="33">
        <f t="shared" si="104"/>
        <v>7.4180978496175554E-2</v>
      </c>
      <c r="AQ56" s="33">
        <f t="shared" si="104"/>
        <v>4.6617703904135999E-2</v>
      </c>
      <c r="AR56" s="33">
        <f t="shared" ref="AR56" si="105">+AR42/AN42-1</f>
        <v>4.4702342574683085E-2</v>
      </c>
      <c r="AS56" s="33">
        <f>+AS42/AO42-1</f>
        <v>3.2770882722074957E-2</v>
      </c>
      <c r="AT56" s="33">
        <f t="shared" ref="AT56" si="106">+AT42/AP42-1</f>
        <v>1.2419723229880164E-2</v>
      </c>
      <c r="AU56" s="33">
        <f t="shared" ref="AU56" si="107">+AU42/AQ42-1</f>
        <v>1.1712956123504092E-2</v>
      </c>
      <c r="AV56" s="33">
        <f t="shared" ref="AV56" si="108">+AV42/AR42-1</f>
        <v>-3.1200713159157401E-3</v>
      </c>
      <c r="AW56" s="33">
        <f t="shared" ref="AW56" si="109">+AW42/AS42-1</f>
        <v>-2.1962597893599778E-2</v>
      </c>
      <c r="AX56" s="33">
        <f t="shared" ref="AX56" si="110">+AX42/AT42-1</f>
        <v>-4.7354626936183974E-2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>
        <f>+BL42/BK42-1</f>
        <v>3.353194825558603E-2</v>
      </c>
      <c r="BM56" s="33">
        <f t="shared" ref="BM56:BT56" si="111">+BM42/BL42-1</f>
        <v>-0.18259771242889278</v>
      </c>
      <c r="BN56" s="33">
        <f t="shared" si="111"/>
        <v>-2.933871693704182E-3</v>
      </c>
      <c r="BO56" s="33">
        <f t="shared" si="111"/>
        <v>2.0686502390134365E-2</v>
      </c>
      <c r="BP56" s="33">
        <f t="shared" si="111"/>
        <v>-3.4948755742566839E-2</v>
      </c>
      <c r="BQ56" s="33">
        <f t="shared" si="111"/>
        <v>-2.6669903239573634E-2</v>
      </c>
      <c r="BR56" s="33">
        <f t="shared" si="111"/>
        <v>-5.2874414025637639E-2</v>
      </c>
      <c r="BS56" s="33">
        <f t="shared" si="111"/>
        <v>-2.3629866270163724E-2</v>
      </c>
      <c r="BT56" s="33">
        <f t="shared" si="111"/>
        <v>-0.22552048783261269</v>
      </c>
      <c r="BV56" s="52" t="s">
        <v>261</v>
      </c>
      <c r="BW56" s="33" t="s">
        <v>213</v>
      </c>
    </row>
    <row r="57" spans="2:199" s="32" customFormat="1" x14ac:dyDescent="0.2">
      <c r="B57" s="32" t="s">
        <v>266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>
        <v>5.3999999999999999E-2</v>
      </c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V57" s="52"/>
      <c r="BW57" s="33"/>
    </row>
    <row r="58" spans="2:199" s="29" customFormat="1" x14ac:dyDescent="0.2">
      <c r="B58" s="31" t="s">
        <v>160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>
        <f t="shared" ref="AK58" si="112">+AK5/AG5-1</f>
        <v>4.1329011345218714E-2</v>
      </c>
      <c r="AL58" s="30">
        <f t="shared" ref="AL58:AT58" si="113">+AL5/AH5-1</f>
        <v>4.7793369941020902E-2</v>
      </c>
      <c r="AM58" s="30">
        <f t="shared" si="113"/>
        <v>3.4871358707208255E-2</v>
      </c>
      <c r="AN58" s="30">
        <f t="shared" si="113"/>
        <v>4.7756874095513657E-2</v>
      </c>
      <c r="AO58" s="30">
        <f t="shared" si="113"/>
        <v>5.5447470817120648E-2</v>
      </c>
      <c r="AP58" s="30">
        <f t="shared" si="113"/>
        <v>3.5326086956521729E-2</v>
      </c>
      <c r="AQ58" s="30">
        <f t="shared" si="113"/>
        <v>-2.6915964659954827E-2</v>
      </c>
      <c r="AR58" s="30">
        <f t="shared" si="113"/>
        <v>5.8208366219415941E-2</v>
      </c>
      <c r="AS58" s="30">
        <f>+AS5/AO5-1</f>
        <v>2.4700460829493176E-2</v>
      </c>
      <c r="AT58" s="30">
        <f t="shared" si="113"/>
        <v>-2.0000000000000018E-2</v>
      </c>
      <c r="AU58" s="30">
        <f t="shared" ref="AU58" si="114">+AU5/AQ5-1</f>
        <v>-5.0000000000000044E-2</v>
      </c>
      <c r="AV58" s="30">
        <f t="shared" ref="AV58" si="115">+AV5/AR5-1</f>
        <v>-0.10000000000000009</v>
      </c>
      <c r="AW58" s="30">
        <f t="shared" ref="AW58" si="116">+AW5/AS5-1</f>
        <v>-0.15000000000000002</v>
      </c>
      <c r="AX58" s="30">
        <f t="shared" ref="AX58" si="117">+AX5/AT5-1</f>
        <v>-0.19999999999999996</v>
      </c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V58" s="32" t="s">
        <v>260</v>
      </c>
      <c r="BW58" s="17">
        <f>NPV(BW54,BM52:GQ52)+Main!K5-Main!K6</f>
        <v>259268.95468547632</v>
      </c>
    </row>
    <row r="59" spans="2:199" s="29" customFormat="1" x14ac:dyDescent="0.2">
      <c r="B59" s="31" t="s">
        <v>162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>
        <f t="shared" ref="AK59" si="118">+AK7/AG7-1</f>
        <v>8.9896579156722334E-2</v>
      </c>
      <c r="AL59" s="30">
        <f t="shared" ref="AL59:AT60" si="119">+AL7/AH7-1</f>
        <v>9.8765432098765427E-2</v>
      </c>
      <c r="AM59" s="30">
        <f t="shared" si="119"/>
        <v>2.9220779220779258E-2</v>
      </c>
      <c r="AN59" s="30">
        <f t="shared" si="119"/>
        <v>7.2204968944099335E-2</v>
      </c>
      <c r="AO59" s="30">
        <f t="shared" si="119"/>
        <v>2.9197080291971655E-3</v>
      </c>
      <c r="AP59" s="30">
        <f t="shared" si="119"/>
        <v>-2.73876404494382E-2</v>
      </c>
      <c r="AQ59" s="30">
        <f t="shared" si="119"/>
        <v>-7.4921135646687675E-2</v>
      </c>
      <c r="AR59" s="30">
        <f t="shared" si="119"/>
        <v>-0.17089065894279509</v>
      </c>
      <c r="AS59" s="30">
        <f>+AS7/AO7-1</f>
        <v>-0.17394468704512378</v>
      </c>
      <c r="AT59" s="30">
        <f t="shared" si="119"/>
        <v>-9.9999999999999978E-2</v>
      </c>
      <c r="AU59" s="30">
        <f t="shared" ref="AU59:AU60" si="120">+AU7/AQ7-1</f>
        <v>-9.9999999999999978E-2</v>
      </c>
      <c r="AV59" s="30">
        <f t="shared" ref="AV59:AV60" si="121">+AV7/AR7-1</f>
        <v>-9.9999999999999978E-2</v>
      </c>
      <c r="AW59" s="30">
        <f t="shared" ref="AW59:AW60" si="122">+AW7/AS7-1</f>
        <v>-9.9999999999999978E-2</v>
      </c>
      <c r="AX59" s="30">
        <f t="shared" ref="AX59:AX60" si="123">+AX7/AT7-1</f>
        <v>-9.9999999999999867E-2</v>
      </c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V59" s="52" t="s">
        <v>262</v>
      </c>
      <c r="BW59" s="14">
        <f>BW58/Main!K3</f>
        <v>146.60549184038635</v>
      </c>
    </row>
    <row r="60" spans="2:199" s="29" customFormat="1" x14ac:dyDescent="0.2">
      <c r="B60" s="31" t="s">
        <v>159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>
        <f t="shared" ref="AK60" si="124">+AK8/AG8-1</f>
        <v>3.7802197802197801</v>
      </c>
      <c r="AL60" s="30">
        <f t="shared" si="119"/>
        <v>1.4305555555555554</v>
      </c>
      <c r="AM60" s="30">
        <f t="shared" si="119"/>
        <v>0.91333333333333333</v>
      </c>
      <c r="AN60" s="30">
        <f t="shared" si="119"/>
        <v>1.0424242424242425</v>
      </c>
      <c r="AO60" s="30">
        <f t="shared" si="119"/>
        <v>0.8298850574712644</v>
      </c>
      <c r="AP60" s="30">
        <f t="shared" si="119"/>
        <v>0.7047619047619047</v>
      </c>
      <c r="AQ60" s="30">
        <f t="shared" si="119"/>
        <v>0.63763066202090601</v>
      </c>
      <c r="AR60" s="30">
        <f t="shared" si="119"/>
        <v>0.85756676557863498</v>
      </c>
      <c r="AS60" s="30">
        <f>+AS8/AO8-1</f>
        <v>0.75502512562814061</v>
      </c>
      <c r="AT60" s="30">
        <f t="shared" si="119"/>
        <v>0.64999999999999991</v>
      </c>
      <c r="AU60" s="30">
        <f t="shared" si="120"/>
        <v>0.64999999999999991</v>
      </c>
      <c r="AV60" s="30">
        <f t="shared" si="121"/>
        <v>0.5</v>
      </c>
      <c r="AW60" s="30">
        <f t="shared" si="122"/>
        <v>0.39999999999999991</v>
      </c>
      <c r="AX60" s="30">
        <f t="shared" si="123"/>
        <v>0.30000000000000004</v>
      </c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</row>
    <row r="61" spans="2:199" s="29" customFormat="1" x14ac:dyDescent="0.2">
      <c r="B61" s="44" t="s">
        <v>122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51" t="s">
        <v>213</v>
      </c>
      <c r="AG61" s="51" t="s">
        <v>213</v>
      </c>
      <c r="AH61" s="51" t="s">
        <v>213</v>
      </c>
      <c r="AI61" s="51" t="s">
        <v>213</v>
      </c>
      <c r="AJ61" s="51" t="s">
        <v>213</v>
      </c>
      <c r="AK61" s="51" t="s">
        <v>213</v>
      </c>
      <c r="AL61" s="51" t="s">
        <v>213</v>
      </c>
      <c r="AM61" s="51" t="s">
        <v>213</v>
      </c>
      <c r="AN61" s="30">
        <f t="shared" ref="AN61:AT62" si="125">AN9/AJ9-1</f>
        <v>1.584070796460177</v>
      </c>
      <c r="AO61" s="30">
        <f t="shared" si="125"/>
        <v>0.38676844783715003</v>
      </c>
      <c r="AP61" s="30">
        <f t="shared" si="125"/>
        <v>0.26977687626774838</v>
      </c>
      <c r="AQ61" s="30">
        <f t="shared" si="125"/>
        <v>0.34381551362683438</v>
      </c>
      <c r="AR61" s="30">
        <f t="shared" si="125"/>
        <v>0.19006849315068486</v>
      </c>
      <c r="AS61" s="30">
        <f>AS9/AO9-1</f>
        <v>0.16880733944954129</v>
      </c>
      <c r="AT61" s="30">
        <f t="shared" si="125"/>
        <v>0.14999999999999991</v>
      </c>
      <c r="AU61" s="30">
        <f t="shared" ref="AU61:AU62" si="126">AU9/AQ9-1</f>
        <v>3.0000000000000027E-2</v>
      </c>
      <c r="AV61" s="30">
        <f t="shared" ref="AV61:AV62" si="127">AV9/AR9-1</f>
        <v>3.0000000000000027E-2</v>
      </c>
      <c r="AW61" s="30">
        <f t="shared" ref="AW61:AW62" si="128">AW9/AS9-1</f>
        <v>3.0000000000000027E-2</v>
      </c>
      <c r="AX61" s="30">
        <f t="shared" ref="AX61:AX62" si="129">AX9/AT9-1</f>
        <v>3.0000000000000027E-2</v>
      </c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</row>
    <row r="62" spans="2:199" s="29" customFormat="1" x14ac:dyDescent="0.2">
      <c r="B62" s="44" t="s">
        <v>125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51" t="s">
        <v>213</v>
      </c>
      <c r="AG62" s="51" t="s">
        <v>213</v>
      </c>
      <c r="AH62" s="51" t="s">
        <v>213</v>
      </c>
      <c r="AI62" s="51" t="s">
        <v>213</v>
      </c>
      <c r="AJ62" s="51" t="s">
        <v>213</v>
      </c>
      <c r="AK62" s="51" t="s">
        <v>213</v>
      </c>
      <c r="AL62" s="51" t="s">
        <v>213</v>
      </c>
      <c r="AM62" s="51" t="s">
        <v>213</v>
      </c>
      <c r="AN62" s="30">
        <f t="shared" si="125"/>
        <v>1.0303030303030303</v>
      </c>
      <c r="AO62" s="30">
        <f t="shared" si="125"/>
        <v>0.23326959847036322</v>
      </c>
      <c r="AP62" s="30">
        <f t="shared" si="125"/>
        <v>0.18342151675485008</v>
      </c>
      <c r="AQ62" s="30">
        <f t="shared" si="125"/>
        <v>0.15413533834586457</v>
      </c>
      <c r="AR62" s="30">
        <f t="shared" si="125"/>
        <v>0.12437810945273631</v>
      </c>
      <c r="AS62" s="30">
        <f>AS10/AO10-1</f>
        <v>8.3720930232558111E-2</v>
      </c>
      <c r="AT62" s="30">
        <f t="shared" si="125"/>
        <v>0.14999999999999991</v>
      </c>
      <c r="AU62" s="30">
        <f t="shared" si="126"/>
        <v>3.0000000000000027E-2</v>
      </c>
      <c r="AV62" s="30">
        <f t="shared" si="127"/>
        <v>3.0000000000000027E-2</v>
      </c>
      <c r="AW62" s="30">
        <f t="shared" si="128"/>
        <v>3.0000000000000027E-2</v>
      </c>
      <c r="AX62" s="30">
        <f t="shared" si="129"/>
        <v>3.0000000000000027E-2</v>
      </c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</row>
    <row r="63" spans="2:199" s="29" customFormat="1" x14ac:dyDescent="0.2">
      <c r="B63" s="54" t="s">
        <v>264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51"/>
      <c r="AG63" s="55" t="s">
        <v>213</v>
      </c>
      <c r="AH63" s="55" t="s">
        <v>213</v>
      </c>
      <c r="AI63" s="55" t="s">
        <v>213</v>
      </c>
      <c r="AJ63" s="55" t="s">
        <v>213</v>
      </c>
      <c r="AK63" s="30">
        <f t="shared" ref="AK63:AT63" si="130">AK12/AG12-1</f>
        <v>14.357142857142858</v>
      </c>
      <c r="AL63" s="30">
        <f t="shared" si="130"/>
        <v>7.5151515151515156</v>
      </c>
      <c r="AM63" s="30">
        <f t="shared" si="130"/>
        <v>2.5232558139534884</v>
      </c>
      <c r="AN63" s="30">
        <f t="shared" si="130"/>
        <v>1.5369127516778525</v>
      </c>
      <c r="AO63" s="30">
        <f t="shared" si="130"/>
        <v>1.1069767441860465</v>
      </c>
      <c r="AP63" s="30">
        <f t="shared" si="130"/>
        <v>0.83985765124555156</v>
      </c>
      <c r="AQ63" s="30">
        <f t="shared" si="130"/>
        <v>0.53465346534653468</v>
      </c>
      <c r="AR63" s="30">
        <f t="shared" si="130"/>
        <v>0.56613756613756605</v>
      </c>
      <c r="AS63" s="30">
        <f t="shared" si="130"/>
        <v>0.53421633554083892</v>
      </c>
      <c r="AT63" s="30">
        <f t="shared" si="130"/>
        <v>0.19999999999999996</v>
      </c>
      <c r="AU63" s="30">
        <f t="shared" ref="AU63" si="131">AU12/AQ12-1</f>
        <v>0.19999999999999996</v>
      </c>
      <c r="AV63" s="30">
        <f t="shared" ref="AV63" si="132">AV12/AR12-1</f>
        <v>0.19999999999999996</v>
      </c>
      <c r="AW63" s="30">
        <f t="shared" ref="AW63" si="133">AW12/AS12-1</f>
        <v>0.19999999999999996</v>
      </c>
      <c r="AX63" s="30">
        <f t="shared" ref="AX63" si="134">AX12/AT12-1</f>
        <v>0.19999999999999996</v>
      </c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</row>
    <row r="64" spans="2:199" s="29" customFormat="1" x14ac:dyDescent="0.2">
      <c r="B64" s="44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</row>
    <row r="65" spans="2:71" s="29" customFormat="1" x14ac:dyDescent="0.2">
      <c r="B65" s="44" t="s">
        <v>214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>
        <f>+AH44/AH42</f>
        <v>0.81560202205882348</v>
      </c>
      <c r="AI65" s="30">
        <f>+AI44/AI42</f>
        <v>0.82666202575704839</v>
      </c>
      <c r="AJ65" s="30">
        <f>+AJ44/AJ42</f>
        <v>0.82772182254196647</v>
      </c>
      <c r="AK65" s="30">
        <f>+AK44/AK42</f>
        <v>0.81664337835739786</v>
      </c>
      <c r="AL65" s="30">
        <f t="shared" ref="AL65:AT65" si="135">+AL44/AL42</f>
        <v>0.81793909655072883</v>
      </c>
      <c r="AM65" s="30">
        <f t="shared" si="135"/>
        <v>0.83880943177425593</v>
      </c>
      <c r="AN65" s="30">
        <f t="shared" si="135"/>
        <v>0.82240848198295002</v>
      </c>
      <c r="AO65" s="30">
        <f t="shared" si="135"/>
        <v>0.83175289359921911</v>
      </c>
      <c r="AP65" s="30">
        <f t="shared" si="135"/>
        <v>0.83555018137847648</v>
      </c>
      <c r="AQ65" s="30">
        <f t="shared" si="135"/>
        <v>0.84465947702762589</v>
      </c>
      <c r="AR65" s="30">
        <f t="shared" si="135"/>
        <v>0.85140231776726327</v>
      </c>
      <c r="AS65" s="30">
        <f t="shared" si="135"/>
        <v>0.85369970294355924</v>
      </c>
      <c r="AT65" s="30">
        <f t="shared" si="135"/>
        <v>0.85</v>
      </c>
      <c r="AU65" s="30">
        <f t="shared" ref="AU65:AX65" si="136">+AU44/AU42</f>
        <v>0.85</v>
      </c>
      <c r="AV65" s="30">
        <f t="shared" si="136"/>
        <v>0.85</v>
      </c>
      <c r="AW65" s="30">
        <f t="shared" si="136"/>
        <v>0.85</v>
      </c>
      <c r="AX65" s="30">
        <f t="shared" si="136"/>
        <v>0.85</v>
      </c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>
        <f>+BK44/BK42</f>
        <v>0.8320622928619793</v>
      </c>
      <c r="BL65" s="30">
        <f>+BL44/BL42</f>
        <v>0.85005085866669616</v>
      </c>
      <c r="BM65" s="30"/>
      <c r="BN65" s="30"/>
      <c r="BO65" s="30"/>
      <c r="BP65" s="30"/>
      <c r="BQ65" s="30"/>
      <c r="BR65" s="30"/>
      <c r="BS65" s="30"/>
    </row>
    <row r="66" spans="2:71" s="29" customFormat="1" x14ac:dyDescent="0.2">
      <c r="B66" s="44" t="s">
        <v>215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>
        <f>+AH51/AH50</f>
        <v>8.8544548976203646E-2</v>
      </c>
      <c r="AI66" s="30">
        <f>+AI51/AI50</f>
        <v>9.7426929802648013E-2</v>
      </c>
      <c r="AJ66" s="30">
        <f>+AJ51/AJ50</f>
        <v>0.11399317406143344</v>
      </c>
      <c r="AK66" s="30">
        <f>+AK51/AK50</f>
        <v>9.6755504055619931E-2</v>
      </c>
      <c r="AL66" s="30">
        <f t="shared" ref="AL66:AT66" si="137">+AL51/AL50</f>
        <v>9.6443132292984679E-2</v>
      </c>
      <c r="AM66" s="30">
        <f t="shared" si="137"/>
        <v>0.1234113712374582</v>
      </c>
      <c r="AN66" s="30">
        <f t="shared" si="137"/>
        <v>0.12653834017040075</v>
      </c>
      <c r="AO66" s="30">
        <f t="shared" si="137"/>
        <v>0.12783291364242336</v>
      </c>
      <c r="AP66" s="30">
        <f t="shared" si="137"/>
        <v>0.12496302868973676</v>
      </c>
      <c r="AQ66" s="30">
        <f t="shared" si="137"/>
        <v>0.11802184466019418</v>
      </c>
      <c r="AR66" s="30">
        <f t="shared" si="137"/>
        <v>0.12982644961657475</v>
      </c>
      <c r="AS66" s="30">
        <f t="shared" si="137"/>
        <v>0.1274432118330692</v>
      </c>
      <c r="AT66" s="30">
        <f t="shared" si="137"/>
        <v>0.15</v>
      </c>
      <c r="AU66" s="30">
        <f t="shared" ref="AU66:AX66" si="138">+AU51/AU50</f>
        <v>0.15</v>
      </c>
      <c r="AV66" s="30">
        <f t="shared" si="138"/>
        <v>0.15</v>
      </c>
      <c r="AW66" s="30">
        <f t="shared" si="138"/>
        <v>0.15</v>
      </c>
      <c r="AX66" s="30">
        <f t="shared" si="138"/>
        <v>0.15</v>
      </c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</row>
    <row r="68" spans="2:71" x14ac:dyDescent="0.2">
      <c r="B68" s="25" t="s">
        <v>149</v>
      </c>
      <c r="AQ68" s="16">
        <f>AQ69-AQ78</f>
        <v>-65642</v>
      </c>
      <c r="AR68" s="16">
        <f>AR69-AR78</f>
        <v>-62727</v>
      </c>
    </row>
    <row r="69" spans="2:71" s="15" customFormat="1" x14ac:dyDescent="0.2">
      <c r="B69" s="23" t="s">
        <v>53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f>6098+1474+260</f>
        <v>7832</v>
      </c>
      <c r="AR69" s="16">
        <f>8521+1440+244</f>
        <v>10205</v>
      </c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</row>
    <row r="70" spans="2:71" s="15" customFormat="1" x14ac:dyDescent="0.2">
      <c r="B70" s="23" t="s">
        <v>139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>
        <v>10733</v>
      </c>
      <c r="AR70" s="16">
        <v>11237</v>
      </c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2:71" s="15" customFormat="1" x14ac:dyDescent="0.2">
      <c r="B71" s="23" t="s">
        <v>140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v>3483</v>
      </c>
      <c r="AR71" s="16">
        <v>3396</v>
      </c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2">
      <c r="B72" s="23" t="s">
        <v>141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4721</v>
      </c>
      <c r="AR72" s="16">
        <v>4506</v>
      </c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2">
      <c r="B73" s="23" t="s">
        <v>142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v>5075</v>
      </c>
      <c r="AR73" s="16">
        <v>4958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2:71" s="15" customFormat="1" x14ac:dyDescent="0.2">
      <c r="B74" s="23" t="s">
        <v>143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f>73986+32298</f>
        <v>106284</v>
      </c>
      <c r="AR74" s="16">
        <f>71823+32028</f>
        <v>103851</v>
      </c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2:71" s="15" customFormat="1" x14ac:dyDescent="0.2">
      <c r="B75" s="23" t="s">
        <v>12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5083</v>
      </c>
      <c r="AR75" s="16">
        <v>5033</v>
      </c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2:71" s="15" customFormat="1" x14ac:dyDescent="0.2">
      <c r="B76" s="23" t="s">
        <v>138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f>SUM(AQ69:AQ75)</f>
        <v>143211</v>
      </c>
      <c r="AR76" s="16">
        <f>SUM(AR69:AR75)</f>
        <v>143186</v>
      </c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8" spans="2:71" s="15" customFormat="1" x14ac:dyDescent="0.2">
      <c r="B78" s="23" t="s">
        <v>54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12+9940+63522</f>
        <v>73474</v>
      </c>
      <c r="AR78" s="16">
        <f>17+61002+11913</f>
        <v>72932</v>
      </c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79" spans="2:71" s="15" customFormat="1" x14ac:dyDescent="0.2">
      <c r="B79" s="23" t="s">
        <v>144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22569</v>
      </c>
      <c r="AR79" s="16">
        <v>22543</v>
      </c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spans="2:71" s="15" customFormat="1" x14ac:dyDescent="0.2">
      <c r="B80" s="23" t="s">
        <v>145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v>2831</v>
      </c>
      <c r="AR80" s="16">
        <v>2255</v>
      </c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2:71" s="15" customFormat="1" x14ac:dyDescent="0.2">
      <c r="B81" s="23" t="s">
        <v>146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>
        <v>28023</v>
      </c>
      <c r="AR81" s="16">
        <v>30768</v>
      </c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2:71" s="15" customFormat="1" x14ac:dyDescent="0.2">
      <c r="B82" s="23" t="s">
        <v>147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v>16314</v>
      </c>
      <c r="AR82" s="16">
        <v>14688</v>
      </c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spans="2:71" s="15" customFormat="1" x14ac:dyDescent="0.2">
      <c r="B83" s="23" t="s">
        <v>148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f>SUM(AQ78:AQ82)</f>
        <v>143211</v>
      </c>
      <c r="AR83" s="16">
        <f>SUM(AR78:AR82)</f>
        <v>143186</v>
      </c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8" bestFit="1" customWidth="1"/>
    <col min="2" max="16384" width="9.140625" style="58"/>
  </cols>
  <sheetData>
    <row r="1" spans="1:5" x14ac:dyDescent="0.2">
      <c r="A1" s="20" t="s">
        <v>78</v>
      </c>
    </row>
    <row r="2" spans="1:5" x14ac:dyDescent="0.2">
      <c r="B2" s="58" t="s">
        <v>151</v>
      </c>
      <c r="C2" s="58" t="s">
        <v>120</v>
      </c>
    </row>
    <row r="3" spans="1:5" x14ac:dyDescent="0.2">
      <c r="B3" s="58" t="s">
        <v>197</v>
      </c>
      <c r="C3" s="58" t="s">
        <v>278</v>
      </c>
    </row>
    <row r="4" spans="1:5" x14ac:dyDescent="0.2">
      <c r="B4" s="58" t="s">
        <v>27</v>
      </c>
      <c r="C4" s="58" t="s">
        <v>279</v>
      </c>
    </row>
    <row r="5" spans="1:5" x14ac:dyDescent="0.2">
      <c r="B5" s="58" t="s">
        <v>33</v>
      </c>
      <c r="C5" s="58" t="s">
        <v>165</v>
      </c>
    </row>
    <row r="6" spans="1:5" x14ac:dyDescent="0.2">
      <c r="B6" s="58" t="s">
        <v>56</v>
      </c>
      <c r="C6" s="58" t="s">
        <v>280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78</v>
      </c>
    </row>
    <row r="2" spans="1:3" x14ac:dyDescent="0.2">
      <c r="B2" s="1" t="s">
        <v>79</v>
      </c>
      <c r="C2" s="1" t="s">
        <v>0</v>
      </c>
    </row>
    <row r="3" spans="1:3" x14ac:dyDescent="0.2">
      <c r="B3" s="1" t="s">
        <v>80</v>
      </c>
      <c r="C3" s="1" t="s">
        <v>81</v>
      </c>
    </row>
    <row r="4" spans="1:3" x14ac:dyDescent="0.2">
      <c r="B4" s="46" t="s">
        <v>241</v>
      </c>
      <c r="C4" s="46" t="s">
        <v>242</v>
      </c>
    </row>
    <row r="5" spans="1:3" x14ac:dyDescent="0.2">
      <c r="B5" s="26" t="s">
        <v>33</v>
      </c>
      <c r="C5" s="26" t="s">
        <v>150</v>
      </c>
    </row>
    <row r="6" spans="1:3" x14ac:dyDescent="0.2">
      <c r="B6" s="46" t="s">
        <v>56</v>
      </c>
      <c r="C6" s="26"/>
    </row>
    <row r="7" spans="1:3" x14ac:dyDescent="0.2">
      <c r="B7" s="46" t="s">
        <v>36</v>
      </c>
      <c r="C7" s="26"/>
    </row>
    <row r="8" spans="1:3" x14ac:dyDescent="0.2">
      <c r="B8" s="46" t="s">
        <v>243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209</v>
      </c>
    </row>
    <row r="3" spans="1:3" x14ac:dyDescent="0.2">
      <c r="B3" s="41" t="s">
        <v>197</v>
      </c>
      <c r="C3" s="41" t="s">
        <v>210</v>
      </c>
    </row>
    <row r="4" spans="1:3" x14ac:dyDescent="0.2">
      <c r="B4" s="41" t="s">
        <v>33</v>
      </c>
      <c r="C4" s="58" t="s">
        <v>270</v>
      </c>
    </row>
    <row r="5" spans="1:3" ht="15" x14ac:dyDescent="0.25">
      <c r="B5" s="41" t="s">
        <v>27</v>
      </c>
      <c r="C5"/>
    </row>
    <row r="6" spans="1:3" x14ac:dyDescent="0.2">
      <c r="C6" s="41" t="s">
        <v>228</v>
      </c>
    </row>
    <row r="7" spans="1:3" x14ac:dyDescent="0.2">
      <c r="C7" s="41" t="s">
        <v>229</v>
      </c>
    </row>
    <row r="8" spans="1:3" x14ac:dyDescent="0.2">
      <c r="C8" s="41" t="s">
        <v>230</v>
      </c>
    </row>
    <row r="9" spans="1:3" x14ac:dyDescent="0.2">
      <c r="C9" s="41" t="s">
        <v>231</v>
      </c>
    </row>
    <row r="10" spans="1:3" x14ac:dyDescent="0.2">
      <c r="C10" s="41" t="s">
        <v>232</v>
      </c>
    </row>
    <row r="12" spans="1:3" x14ac:dyDescent="0.2">
      <c r="C12" s="58" t="s">
        <v>271</v>
      </c>
    </row>
    <row r="13" spans="1:3" x14ac:dyDescent="0.2">
      <c r="C13" s="58" t="s">
        <v>272</v>
      </c>
    </row>
    <row r="14" spans="1:3" x14ac:dyDescent="0.2">
      <c r="C14" s="58" t="s">
        <v>273</v>
      </c>
    </row>
    <row r="15" spans="1:3" x14ac:dyDescent="0.2">
      <c r="C15" s="58" t="s">
        <v>277</v>
      </c>
    </row>
    <row r="16" spans="1:3" x14ac:dyDescent="0.2">
      <c r="C16" s="58" t="s">
        <v>276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236</v>
      </c>
    </row>
    <row r="3" spans="1:3" x14ac:dyDescent="0.2">
      <c r="B3" s="41" t="s">
        <v>197</v>
      </c>
      <c r="C3" s="41" t="s">
        <v>233</v>
      </c>
    </row>
    <row r="4" spans="1:3" x14ac:dyDescent="0.2">
      <c r="B4" s="41" t="s">
        <v>33</v>
      </c>
      <c r="C4" s="41" t="s">
        <v>237</v>
      </c>
    </row>
    <row r="5" spans="1:3" x14ac:dyDescent="0.2">
      <c r="B5" s="41" t="s">
        <v>27</v>
      </c>
      <c r="C5" s="41" t="s">
        <v>238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Model</vt:lpstr>
      <vt:lpstr>Imbruvica</vt:lpstr>
      <vt:lpstr>Humira</vt:lpstr>
      <vt:lpstr>Rinvoq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2023-01-03T07:15:20Z</dcterms:modified>
</cp:coreProperties>
</file>