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9477F16B-6BFF-4CD3-B50C-63EBC19D7F66}" xr6:coauthVersionLast="47" xr6:coauthVersionMax="47" xr10:uidLastSave="{00000000-0000-0000-0000-000000000000}"/>
  <bookViews>
    <workbookView xWindow="-42450" yWindow="915" windowWidth="38700" windowHeight="15345" xr2:uid="{3FB16939-449F-4D82-9510-64D6014B28F9}"/>
  </bookViews>
  <sheets>
    <sheet name="Main" sheetId="1" r:id="rId1"/>
    <sheet name="Model" sheetId="2" r:id="rId2"/>
    <sheet name="Broke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3" l="1"/>
  <c r="G3" i="3"/>
  <c r="G2" i="3"/>
  <c r="L5" i="2"/>
  <c r="C7" i="3"/>
  <c r="D3" i="3" s="1"/>
  <c r="J57" i="2" l="1"/>
  <c r="F25" i="2"/>
  <c r="F18" i="2"/>
  <c r="F20" i="2" s="1"/>
  <c r="J27" i="2"/>
  <c r="J25" i="2"/>
  <c r="J18" i="2"/>
  <c r="J20" i="2" s="1"/>
  <c r="K56" i="2"/>
  <c r="L57" i="2"/>
  <c r="H57" i="2"/>
  <c r="G56" i="2"/>
  <c r="I56" i="2" s="1"/>
  <c r="K55" i="2"/>
  <c r="G55" i="2"/>
  <c r="L7" i="1"/>
  <c r="H25" i="2"/>
  <c r="L25" i="2"/>
  <c r="H18" i="2"/>
  <c r="H20" i="2" s="1"/>
  <c r="L18" i="2"/>
  <c r="L20" i="2" s="1"/>
  <c r="L49" i="2"/>
  <c r="L53" i="2" s="1"/>
  <c r="L41" i="2"/>
  <c r="L38" i="2"/>
  <c r="L44" i="2"/>
  <c r="L39" i="2"/>
  <c r="L4" i="1"/>
  <c r="L3" i="1"/>
  <c r="G57" i="2" l="1"/>
  <c r="K57" i="2"/>
  <c r="I55" i="2"/>
  <c r="I57" i="2" s="1"/>
  <c r="F26" i="2"/>
  <c r="F28" i="2" s="1"/>
  <c r="F30" i="2" s="1"/>
  <c r="F31" i="2" s="1"/>
  <c r="J34" i="2"/>
  <c r="J26" i="2"/>
  <c r="J28" i="2" s="1"/>
  <c r="J30" i="2" s="1"/>
  <c r="J31" i="2" s="1"/>
  <c r="L10" i="2"/>
  <c r="L34" i="2"/>
  <c r="L26" i="2"/>
  <c r="L28" i="2" s="1"/>
  <c r="L30" i="2" s="1"/>
  <c r="L31" i="2" s="1"/>
  <c r="H26" i="2"/>
  <c r="H28" i="2" s="1"/>
  <c r="H30" i="2" s="1"/>
  <c r="H31" i="2" s="1"/>
  <c r="L46" i="2"/>
</calcChain>
</file>

<file path=xl/sharedStrings.xml><?xml version="1.0" encoding="utf-8"?>
<sst xmlns="http://schemas.openxmlformats.org/spreadsheetml/2006/main" count="77" uniqueCount="69">
  <si>
    <t>Price</t>
  </si>
  <si>
    <t>Shares</t>
  </si>
  <si>
    <t>MC</t>
  </si>
  <si>
    <t>Cash</t>
  </si>
  <si>
    <t>Debt</t>
  </si>
  <si>
    <t>EV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</si>
  <si>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</si>
  <si>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</si>
  <si>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</si>
  <si>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</si>
  <si>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</si>
  <si>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</si>
  <si>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</si>
  <si>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</si>
  <si>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</si>
  <si>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</si>
  <si>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</si>
  <si>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</si>
  <si>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</si>
  <si>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</si>
  <si>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Match Incentives</t>
  </si>
  <si>
    <t>User Assets</t>
  </si>
  <si>
    <t>Prepaids</t>
  </si>
  <si>
    <t>PP&amp;E</t>
  </si>
  <si>
    <t>OCA</t>
  </si>
  <si>
    <t>Goodwill</t>
  </si>
  <si>
    <t>Assets</t>
  </si>
  <si>
    <t>ONCA</t>
  </si>
  <si>
    <t>AP</t>
  </si>
  <si>
    <t>Payable to Users</t>
  </si>
  <si>
    <t>SE</t>
  </si>
  <si>
    <t>L+SE</t>
  </si>
  <si>
    <t>OCL</t>
  </si>
  <si>
    <t>ONCL</t>
  </si>
  <si>
    <t>Transactions</t>
  </si>
  <si>
    <t>Net Interest</t>
  </si>
  <si>
    <t>Other</t>
  </si>
  <si>
    <t>Gross Margin</t>
  </si>
  <si>
    <t>COGS</t>
  </si>
  <si>
    <t>G&amp;A</t>
  </si>
  <si>
    <t>Marketing</t>
  </si>
  <si>
    <t>Operations</t>
  </si>
  <si>
    <t>Tech</t>
  </si>
  <si>
    <t>Revenue Growth</t>
  </si>
  <si>
    <t>Operating Income</t>
  </si>
  <si>
    <t>Operating Expenses</t>
  </si>
  <si>
    <t>Other Income</t>
  </si>
  <si>
    <t>Pretax Income</t>
  </si>
  <si>
    <t>Taxes</t>
  </si>
  <si>
    <t>Net Income</t>
  </si>
  <si>
    <t>EPS</t>
  </si>
  <si>
    <t>ARPU</t>
  </si>
  <si>
    <t>Options</t>
  </si>
  <si>
    <t>Crypto</t>
  </si>
  <si>
    <t>Equities</t>
  </si>
  <si>
    <t>Gold</t>
  </si>
  <si>
    <t>Funded Customers</t>
  </si>
  <si>
    <t>Net Deposits Additions</t>
  </si>
  <si>
    <t>AUC</t>
  </si>
  <si>
    <t>Options Contracts</t>
  </si>
  <si>
    <t>CFFO</t>
  </si>
  <si>
    <t>CFFO+Gold</t>
  </si>
  <si>
    <t>Schwab</t>
  </si>
  <si>
    <t>MoStan</t>
  </si>
  <si>
    <t>IBKR</t>
  </si>
  <si>
    <t>Total</t>
  </si>
  <si>
    <t>RH</t>
  </si>
  <si>
    <t>Fidelity</t>
  </si>
  <si>
    <t>Average Client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</si>
</sst>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3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right"/>
    </xf>
    <xf numFmtId="3" fontId="1" fillId="0" borderId="0" xfId="0" applyNumberFormat="1" applyFont="1" applyAlignment="1">
      <alignment horizontal="right"/>
    </xf>
    <xf numFmtId="164" fontId="0" fillId="0" borderId="0" xfId="0" applyNumberFormat="1"/>
    <xf numFmtId="0" fontId="2" fillId="0" borderId="0" xfId="1"/>
    <xf numFmtId="4" fontId="0" fillId="0" borderId="0" xfId="0" applyNumberFormat="1"/>
    <xf numFmtId="4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3BAB74A1-E664-493A-BE86-2AC079AD33A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BC131-65E5-4554-BA3F-A5B9C678BFFF}">
  <dimension ref="D2:M7"/>
  <sheetViews>
    <sheetView tabSelected="1" zoomScale="175" zoomScaleNormal="175" workbookViewId="0">
      <selection activeCell="H1" sqref="H1"/>
    </sheetView>
  </sheetViews>
  <sheetFormatPr defaultRowHeight="12.75" x14ac:dyDescent="0.2"/>
  <sheetData>
    <row r="2" spans="4:13" x14ac:dyDescent="0.2">
      <c r="D2" s="3"/>
      <c r="F2" s="13"/>
      <c r="K2" t="s">
        <v>0</v>
      </c>
      <c r="L2" s="13">
        <v>22</v>
      </c>
    </row>
    <row r="3" spans="4:13" x14ac:dyDescent="0.2">
      <c r="D3" s="3"/>
      <c r="F3" s="13"/>
      <c r="K3" t="s">
        <v>1</v>
      </c>
      <c r="L3" s="1">
        <f>123+761.554</f>
        <v>884.55399999999997</v>
      </c>
      <c r="M3" s="2" t="s">
        <v>17</v>
      </c>
    </row>
    <row r="4" spans="4:13" x14ac:dyDescent="0.2">
      <c r="D4" s="14"/>
      <c r="F4" s="13"/>
      <c r="K4" t="s">
        <v>2</v>
      </c>
      <c r="L4" s="1">
        <f>+L2*L3</f>
        <v>19460.187999999998</v>
      </c>
    </row>
    <row r="5" spans="4:13" x14ac:dyDescent="0.2">
      <c r="K5" t="s">
        <v>3</v>
      </c>
      <c r="L5" s="1">
        <v>7251</v>
      </c>
      <c r="M5" s="2" t="s">
        <v>17</v>
      </c>
    </row>
    <row r="6" spans="4:13" x14ac:dyDescent="0.2">
      <c r="F6" s="13"/>
      <c r="K6" t="s">
        <v>4</v>
      </c>
      <c r="L6" s="1">
        <v>0</v>
      </c>
      <c r="M6" s="2" t="s">
        <v>17</v>
      </c>
    </row>
    <row r="7" spans="4:13" x14ac:dyDescent="0.2">
      <c r="K7" t="s">
        <v>5</v>
      </c>
      <c r="L7" s="1">
        <f>+L4-L5+L6</f>
        <v>12209.187999999998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EE4B3-2E71-46B2-9456-ABE3E00C7E5B}">
  <dimension ref="A1:N57"/>
  <sheetViews>
    <sheetView zoomScale="205" zoomScaleNormal="20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11" sqref="L11"/>
    </sheetView>
  </sheetViews>
  <sheetFormatPr defaultRowHeight="12.75" x14ac:dyDescent="0.2"/>
  <cols>
    <col min="1" max="1" width="5" bestFit="1" customWidth="1"/>
    <col min="2" max="2" width="20.7109375" bestFit="1" customWidth="1"/>
    <col min="3" max="14" width="9.140625" style="2"/>
  </cols>
  <sheetData>
    <row r="1" spans="1:14" x14ac:dyDescent="0.2">
      <c r="A1" t="s">
        <v>6</v>
      </c>
    </row>
    <row r="2" spans="1:14" x14ac:dyDescent="0.2"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L2" s="2" t="s">
        <v>17</v>
      </c>
      <c r="M2" s="2" t="s">
        <v>18</v>
      </c>
      <c r="N2" s="2" t="s">
        <v>19</v>
      </c>
    </row>
    <row r="3" spans="1:14" x14ac:dyDescent="0.2">
      <c r="L3" s="2">
        <v>11.8</v>
      </c>
    </row>
    <row r="4" spans="1:14" x14ac:dyDescent="0.2">
      <c r="B4" t="s">
        <v>59</v>
      </c>
      <c r="L4" s="2">
        <v>389.7</v>
      </c>
    </row>
    <row r="5" spans="1:14" x14ac:dyDescent="0.2">
      <c r="B5" t="s">
        <v>68</v>
      </c>
      <c r="L5" s="5">
        <f>+L6/L9*1000</f>
        <v>5772.7272727272721</v>
      </c>
    </row>
    <row r="6" spans="1:14" x14ac:dyDescent="0.2">
      <c r="B6" t="s">
        <v>58</v>
      </c>
      <c r="J6" s="5">
        <v>102600</v>
      </c>
      <c r="K6" s="5"/>
      <c r="L6" s="5">
        <v>139700</v>
      </c>
    </row>
    <row r="7" spans="1:14" s="1" customFormat="1" x14ac:dyDescent="0.2">
      <c r="B7" s="1" t="s">
        <v>57</v>
      </c>
      <c r="C7" s="5"/>
      <c r="D7" s="5"/>
      <c r="E7" s="5"/>
      <c r="F7" s="5"/>
      <c r="G7" s="5"/>
      <c r="H7" s="5"/>
      <c r="I7" s="5"/>
      <c r="J7" s="5">
        <v>4600</v>
      </c>
      <c r="K7" s="5"/>
      <c r="L7" s="5">
        <v>13200</v>
      </c>
      <c r="M7" s="5"/>
      <c r="N7" s="5"/>
    </row>
    <row r="8" spans="1:14" s="1" customFormat="1" x14ac:dyDescent="0.2">
      <c r="B8" s="1" t="s">
        <v>55</v>
      </c>
      <c r="C8" s="5"/>
      <c r="D8" s="5"/>
      <c r="E8" s="5"/>
      <c r="F8" s="5"/>
      <c r="G8" s="5"/>
      <c r="H8" s="5"/>
      <c r="I8" s="5"/>
      <c r="J8" s="5">
        <v>1420</v>
      </c>
      <c r="K8" s="5"/>
      <c r="L8" s="5">
        <v>2000</v>
      </c>
      <c r="M8" s="5"/>
      <c r="N8" s="5"/>
    </row>
    <row r="9" spans="1:14" x14ac:dyDescent="0.2">
      <c r="B9" t="s">
        <v>56</v>
      </c>
      <c r="J9" s="5">
        <v>23400</v>
      </c>
      <c r="K9" s="5"/>
      <c r="L9" s="5">
        <v>24200</v>
      </c>
    </row>
    <row r="10" spans="1:14" x14ac:dyDescent="0.2">
      <c r="B10" t="s">
        <v>51</v>
      </c>
      <c r="L10" s="7">
        <f>+L18*1000/L9</f>
        <v>28.181818181818183</v>
      </c>
    </row>
    <row r="12" spans="1:14" x14ac:dyDescent="0.2">
      <c r="B12" t="s">
        <v>54</v>
      </c>
      <c r="L12" s="2">
        <v>40</v>
      </c>
    </row>
    <row r="13" spans="1:14" x14ac:dyDescent="0.2">
      <c r="B13" t="s">
        <v>53</v>
      </c>
      <c r="L13" s="2">
        <v>81</v>
      </c>
    </row>
    <row r="14" spans="1:14" x14ac:dyDescent="0.2">
      <c r="B14" t="s">
        <v>52</v>
      </c>
      <c r="L14" s="2">
        <v>182</v>
      </c>
    </row>
    <row r="15" spans="1:14" x14ac:dyDescent="0.2">
      <c r="B15" t="s">
        <v>34</v>
      </c>
      <c r="F15" s="2">
        <v>186</v>
      </c>
      <c r="H15" s="2">
        <v>193</v>
      </c>
      <c r="J15" s="2">
        <v>200</v>
      </c>
      <c r="L15" s="2">
        <v>327</v>
      </c>
    </row>
    <row r="16" spans="1:14" x14ac:dyDescent="0.2">
      <c r="B16" t="s">
        <v>35</v>
      </c>
      <c r="F16" s="2">
        <v>167</v>
      </c>
      <c r="H16" s="2">
        <v>234</v>
      </c>
      <c r="J16" s="2">
        <v>236</v>
      </c>
      <c r="L16" s="2">
        <v>285</v>
      </c>
    </row>
    <row r="17" spans="2:14" x14ac:dyDescent="0.2">
      <c r="B17" t="s">
        <v>36</v>
      </c>
      <c r="F17" s="2">
        <v>27</v>
      </c>
      <c r="H17" s="2">
        <v>59</v>
      </c>
      <c r="J17" s="2">
        <v>35</v>
      </c>
      <c r="L17" s="2">
        <v>70</v>
      </c>
    </row>
    <row r="18" spans="2:14" s="3" customFormat="1" x14ac:dyDescent="0.2">
      <c r="B18" s="3" t="s">
        <v>7</v>
      </c>
      <c r="C18" s="4"/>
      <c r="D18" s="4"/>
      <c r="E18" s="4"/>
      <c r="F18" s="4">
        <f>SUM(F15:F17)</f>
        <v>380</v>
      </c>
      <c r="G18" s="4"/>
      <c r="H18" s="4">
        <f>SUM(H15:H17)</f>
        <v>486</v>
      </c>
      <c r="I18" s="4"/>
      <c r="J18" s="4">
        <f>SUM(J15:J17)</f>
        <v>471</v>
      </c>
      <c r="K18" s="4"/>
      <c r="L18" s="4">
        <f>SUM(L15:L17)</f>
        <v>682</v>
      </c>
      <c r="M18" s="4"/>
      <c r="N18" s="4"/>
    </row>
    <row r="19" spans="2:14" x14ac:dyDescent="0.2">
      <c r="B19" t="s">
        <v>38</v>
      </c>
      <c r="F19" s="2">
        <v>85</v>
      </c>
      <c r="H19" s="2">
        <v>39</v>
      </c>
      <c r="J19" s="2">
        <v>32</v>
      </c>
      <c r="L19" s="2">
        <v>40</v>
      </c>
    </row>
    <row r="20" spans="2:14" x14ac:dyDescent="0.2">
      <c r="B20" t="s">
        <v>37</v>
      </c>
      <c r="F20" s="2">
        <f>+F18-F19</f>
        <v>295</v>
      </c>
      <c r="H20" s="2">
        <f>+H18-H19</f>
        <v>447</v>
      </c>
      <c r="J20" s="2">
        <f>+J18-J19</f>
        <v>439</v>
      </c>
      <c r="L20" s="2">
        <f>+L18-L19</f>
        <v>642</v>
      </c>
    </row>
    <row r="21" spans="2:14" x14ac:dyDescent="0.2">
      <c r="B21" t="s">
        <v>42</v>
      </c>
      <c r="F21" s="2">
        <v>180</v>
      </c>
      <c r="H21" s="2">
        <v>207</v>
      </c>
      <c r="J21" s="2">
        <v>197</v>
      </c>
      <c r="L21" s="2">
        <v>209</v>
      </c>
    </row>
    <row r="22" spans="2:14" x14ac:dyDescent="0.2">
      <c r="B22" t="s">
        <v>41</v>
      </c>
      <c r="F22" s="2">
        <v>43</v>
      </c>
      <c r="H22" s="2">
        <v>36</v>
      </c>
      <c r="J22" s="2">
        <v>40</v>
      </c>
      <c r="L22" s="2">
        <v>46</v>
      </c>
    </row>
    <row r="23" spans="2:14" x14ac:dyDescent="0.2">
      <c r="B23" t="s">
        <v>40</v>
      </c>
      <c r="F23" s="2">
        <v>29</v>
      </c>
      <c r="H23" s="2">
        <v>25</v>
      </c>
      <c r="J23" s="2">
        <v>43</v>
      </c>
      <c r="L23" s="2">
        <v>64</v>
      </c>
    </row>
    <row r="24" spans="2:14" x14ac:dyDescent="0.2">
      <c r="B24" t="s">
        <v>39</v>
      </c>
      <c r="F24" s="2">
        <v>197</v>
      </c>
      <c r="H24" s="2">
        <v>159</v>
      </c>
      <c r="J24" s="2">
        <v>133</v>
      </c>
      <c r="L24" s="2">
        <v>134</v>
      </c>
    </row>
    <row r="25" spans="2:14" x14ac:dyDescent="0.2">
      <c r="B25" t="s">
        <v>45</v>
      </c>
      <c r="F25" s="2">
        <f>SUM(F21:F24)</f>
        <v>449</v>
      </c>
      <c r="H25" s="2">
        <f>SUM(H21:H24)</f>
        <v>427</v>
      </c>
      <c r="J25" s="2">
        <f>SUM(J21:J24)</f>
        <v>413</v>
      </c>
      <c r="L25" s="2">
        <f>SUM(L21:L24)</f>
        <v>453</v>
      </c>
    </row>
    <row r="26" spans="2:14" x14ac:dyDescent="0.2">
      <c r="B26" t="s">
        <v>44</v>
      </c>
      <c r="F26" s="2">
        <f>F20-F25</f>
        <v>-154</v>
      </c>
      <c r="H26" s="2">
        <f>H20-H25</f>
        <v>20</v>
      </c>
      <c r="J26" s="2">
        <f>J20-J25</f>
        <v>26</v>
      </c>
      <c r="L26" s="2">
        <f>L20-L25</f>
        <v>189</v>
      </c>
    </row>
    <row r="27" spans="2:14" x14ac:dyDescent="0.2">
      <c r="B27" t="s">
        <v>46</v>
      </c>
      <c r="F27" s="2">
        <v>-14</v>
      </c>
      <c r="H27" s="2">
        <v>2</v>
      </c>
      <c r="J27" s="2">
        <f>3</f>
        <v>3</v>
      </c>
      <c r="L27" s="2">
        <v>2</v>
      </c>
    </row>
    <row r="28" spans="2:14" x14ac:dyDescent="0.2">
      <c r="B28" t="s">
        <v>47</v>
      </c>
      <c r="F28" s="2">
        <f>+F26+F27</f>
        <v>-168</v>
      </c>
      <c r="H28" s="2">
        <f>+H26+H27</f>
        <v>22</v>
      </c>
      <c r="J28" s="2">
        <f>+J26+J27</f>
        <v>29</v>
      </c>
      <c r="L28" s="2">
        <f>+L26+L27</f>
        <v>191</v>
      </c>
    </row>
    <row r="29" spans="2:14" x14ac:dyDescent="0.2">
      <c r="B29" t="s">
        <v>48</v>
      </c>
      <c r="F29" s="2">
        <v>-2</v>
      </c>
      <c r="H29" s="2">
        <v>-3</v>
      </c>
      <c r="J29" s="2">
        <v>-1</v>
      </c>
      <c r="L29" s="2">
        <v>3</v>
      </c>
    </row>
    <row r="30" spans="2:14" x14ac:dyDescent="0.2">
      <c r="B30" t="s">
        <v>49</v>
      </c>
      <c r="F30" s="2">
        <f>+F28-F29</f>
        <v>-166</v>
      </c>
      <c r="H30" s="2">
        <f>+H28-H29</f>
        <v>25</v>
      </c>
      <c r="J30" s="2">
        <f>+J28-J29</f>
        <v>30</v>
      </c>
      <c r="L30" s="2">
        <f>+L28-L29</f>
        <v>188</v>
      </c>
    </row>
    <row r="31" spans="2:14" s="8" customFormat="1" x14ac:dyDescent="0.2">
      <c r="B31" s="8" t="s">
        <v>50</v>
      </c>
      <c r="C31" s="9"/>
      <c r="D31" s="9"/>
      <c r="E31" s="9"/>
      <c r="F31" s="9">
        <f>+F30/F32</f>
        <v>-0.18667634012965359</v>
      </c>
      <c r="G31" s="9"/>
      <c r="H31" s="9">
        <f>+H30/H32</f>
        <v>2.713646033329159E-2</v>
      </c>
      <c r="I31" s="9"/>
      <c r="J31" s="9">
        <f>+J30/J32</f>
        <v>3.3966315742807542E-2</v>
      </c>
      <c r="K31" s="9"/>
      <c r="L31" s="9">
        <f>+L30/L32</f>
        <v>0.20785180721596289</v>
      </c>
      <c r="M31" s="9"/>
      <c r="N31" s="9"/>
    </row>
    <row r="32" spans="2:14" s="1" customFormat="1" x14ac:dyDescent="0.2">
      <c r="B32" s="1" t="s">
        <v>1</v>
      </c>
      <c r="C32" s="5"/>
      <c r="D32" s="5"/>
      <c r="E32" s="5"/>
      <c r="F32" s="5">
        <v>889.23963200000003</v>
      </c>
      <c r="G32" s="5"/>
      <c r="H32" s="5">
        <v>921.26974900000005</v>
      </c>
      <c r="I32" s="5"/>
      <c r="J32" s="5">
        <v>883.22796700000004</v>
      </c>
      <c r="K32" s="5"/>
      <c r="L32" s="5">
        <v>904.49057200000004</v>
      </c>
      <c r="M32" s="5"/>
      <c r="N32" s="5"/>
    </row>
    <row r="34" spans="2:14" s="3" customFormat="1" x14ac:dyDescent="0.2">
      <c r="B34" s="3" t="s">
        <v>43</v>
      </c>
      <c r="C34" s="4"/>
      <c r="D34" s="4"/>
      <c r="E34" s="4"/>
      <c r="F34" s="4"/>
      <c r="G34" s="4"/>
      <c r="H34" s="4"/>
      <c r="I34" s="4"/>
      <c r="J34" s="6">
        <f>+J18/F18-1</f>
        <v>0.23947368421052628</v>
      </c>
      <c r="K34" s="4"/>
      <c r="L34" s="6">
        <f>+L18/H18-1</f>
        <v>0.40329218106995879</v>
      </c>
      <c r="M34" s="4"/>
      <c r="N34" s="4"/>
    </row>
    <row r="38" spans="2:14" s="1" customFormat="1" x14ac:dyDescent="0.2">
      <c r="B38" s="1" t="s">
        <v>3</v>
      </c>
      <c r="C38" s="5"/>
      <c r="D38" s="5"/>
      <c r="E38" s="5"/>
      <c r="F38" s="5"/>
      <c r="G38" s="5"/>
      <c r="H38" s="5"/>
      <c r="I38" s="5"/>
      <c r="J38" s="5"/>
      <c r="K38" s="5"/>
      <c r="L38" s="5">
        <f>4835+338+1592+413+73</f>
        <v>7251</v>
      </c>
      <c r="M38" s="5"/>
      <c r="N38" s="5"/>
    </row>
    <row r="39" spans="2:14" s="1" customFormat="1" x14ac:dyDescent="0.2">
      <c r="B39" s="1" t="s">
        <v>21</v>
      </c>
      <c r="C39" s="5"/>
      <c r="D39" s="5"/>
      <c r="E39" s="5"/>
      <c r="F39" s="5"/>
      <c r="G39" s="5"/>
      <c r="H39" s="5"/>
      <c r="I39" s="5"/>
      <c r="J39" s="5"/>
      <c r="K39" s="5"/>
      <c r="L39" s="5">
        <f>4448+3495+89+1602+14708</f>
        <v>24342</v>
      </c>
      <c r="M39" s="5"/>
      <c r="N39" s="5"/>
    </row>
    <row r="40" spans="2:14" s="1" customFormat="1" x14ac:dyDescent="0.2">
      <c r="B40" s="1" t="s">
        <v>22</v>
      </c>
      <c r="C40" s="5"/>
      <c r="D40" s="5"/>
      <c r="E40" s="5"/>
      <c r="F40" s="5"/>
      <c r="G40" s="5"/>
      <c r="H40" s="5"/>
      <c r="I40" s="5"/>
      <c r="J40" s="5"/>
      <c r="K40" s="5"/>
      <c r="L40" s="5">
        <v>63</v>
      </c>
      <c r="M40" s="5"/>
      <c r="N40" s="5"/>
    </row>
    <row r="41" spans="2:14" s="1" customFormat="1" x14ac:dyDescent="0.2">
      <c r="B41" s="1" t="s">
        <v>20</v>
      </c>
      <c r="C41" s="5"/>
      <c r="D41" s="5"/>
      <c r="E41" s="5"/>
      <c r="F41" s="5"/>
      <c r="G41" s="5"/>
      <c r="H41" s="5"/>
      <c r="I41" s="5"/>
      <c r="J41" s="5"/>
      <c r="K41" s="5"/>
      <c r="L41" s="5">
        <f>11+19</f>
        <v>30</v>
      </c>
      <c r="M41" s="5"/>
      <c r="N41" s="5"/>
    </row>
    <row r="42" spans="2:14" s="1" customFormat="1" x14ac:dyDescent="0.2">
      <c r="B42" s="1" t="s">
        <v>24</v>
      </c>
      <c r="C42" s="5"/>
      <c r="D42" s="5"/>
      <c r="E42" s="5"/>
      <c r="F42" s="5"/>
      <c r="G42" s="5"/>
      <c r="H42" s="5"/>
      <c r="I42" s="5"/>
      <c r="J42" s="5"/>
      <c r="K42" s="5"/>
      <c r="L42" s="5">
        <v>196</v>
      </c>
      <c r="M42" s="5"/>
      <c r="N42" s="5"/>
    </row>
    <row r="43" spans="2:14" s="1" customFormat="1" x14ac:dyDescent="0.2">
      <c r="B43" s="1" t="s">
        <v>23</v>
      </c>
      <c r="C43" s="5"/>
      <c r="D43" s="5"/>
      <c r="E43" s="5"/>
      <c r="F43" s="5"/>
      <c r="G43" s="5"/>
      <c r="H43" s="5"/>
      <c r="I43" s="5"/>
      <c r="J43" s="5"/>
      <c r="K43" s="5"/>
      <c r="L43" s="5">
        <v>120</v>
      </c>
      <c r="M43" s="5"/>
      <c r="N43" s="5"/>
    </row>
    <row r="44" spans="2:14" s="1" customFormat="1" x14ac:dyDescent="0.2">
      <c r="B44" s="1" t="s">
        <v>25</v>
      </c>
      <c r="C44" s="5"/>
      <c r="D44" s="5"/>
      <c r="E44" s="5"/>
      <c r="F44" s="5"/>
      <c r="G44" s="5"/>
      <c r="H44" s="5"/>
      <c r="I44" s="5"/>
      <c r="J44" s="5"/>
      <c r="K44" s="5"/>
      <c r="L44" s="5">
        <f>175+48</f>
        <v>223</v>
      </c>
      <c r="M44" s="5"/>
      <c r="N44" s="5"/>
    </row>
    <row r="45" spans="2:14" s="1" customFormat="1" x14ac:dyDescent="0.2">
      <c r="B45" s="1" t="s">
        <v>27</v>
      </c>
      <c r="C45" s="5"/>
      <c r="D45" s="5"/>
      <c r="E45" s="5"/>
      <c r="F45" s="5"/>
      <c r="G45" s="5"/>
      <c r="H45" s="5"/>
      <c r="I45" s="5"/>
      <c r="J45" s="5"/>
      <c r="K45" s="5"/>
      <c r="L45" s="5">
        <v>107</v>
      </c>
      <c r="M45" s="5"/>
      <c r="N45" s="5"/>
    </row>
    <row r="46" spans="2:14" s="1" customFormat="1" x14ac:dyDescent="0.2">
      <c r="B46" s="1" t="s">
        <v>26</v>
      </c>
      <c r="C46" s="5"/>
      <c r="D46" s="5"/>
      <c r="E46" s="5"/>
      <c r="F46" s="5"/>
      <c r="G46" s="5"/>
      <c r="H46" s="5"/>
      <c r="I46" s="5"/>
      <c r="J46" s="5"/>
      <c r="K46" s="5"/>
      <c r="L46" s="5">
        <f>SUM(L38:L45)</f>
        <v>32332</v>
      </c>
      <c r="M46" s="5"/>
      <c r="N46" s="5"/>
    </row>
    <row r="47" spans="2:14" s="1" customFormat="1" x14ac:dyDescent="0.2"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</row>
    <row r="48" spans="2:14" s="1" customFormat="1" x14ac:dyDescent="0.2">
      <c r="B48" s="1" t="s">
        <v>28</v>
      </c>
      <c r="C48" s="5"/>
      <c r="D48" s="5"/>
      <c r="E48" s="5"/>
      <c r="F48" s="5"/>
      <c r="G48" s="5"/>
      <c r="H48" s="5"/>
      <c r="I48" s="5"/>
      <c r="J48" s="5"/>
      <c r="K48" s="5"/>
      <c r="L48" s="5">
        <v>384</v>
      </c>
      <c r="M48" s="5"/>
      <c r="N48" s="5"/>
    </row>
    <row r="49" spans="2:14" s="1" customFormat="1" x14ac:dyDescent="0.2">
      <c r="B49" s="1" t="s">
        <v>29</v>
      </c>
      <c r="C49" s="5"/>
      <c r="D49" s="5"/>
      <c r="E49" s="5"/>
      <c r="F49" s="5"/>
      <c r="G49" s="5"/>
      <c r="H49" s="5"/>
      <c r="I49" s="5"/>
      <c r="J49" s="5"/>
      <c r="K49" s="5"/>
      <c r="L49" s="5">
        <f>5097+3547+14708+1592</f>
        <v>24944</v>
      </c>
      <c r="M49" s="5"/>
      <c r="N49" s="5"/>
    </row>
    <row r="50" spans="2:14" s="1" customFormat="1" x14ac:dyDescent="0.2">
      <c r="B50" s="1" t="s">
        <v>32</v>
      </c>
      <c r="C50" s="5"/>
      <c r="D50" s="5"/>
      <c r="E50" s="5"/>
      <c r="F50" s="5"/>
      <c r="G50" s="5"/>
      <c r="H50" s="5"/>
      <c r="I50" s="5"/>
      <c r="J50" s="5"/>
      <c r="K50" s="5"/>
      <c r="L50" s="5">
        <v>217</v>
      </c>
      <c r="M50" s="5"/>
      <c r="N50" s="5"/>
    </row>
    <row r="51" spans="2:14" s="1" customFormat="1" x14ac:dyDescent="0.2">
      <c r="B51" s="1" t="s">
        <v>33</v>
      </c>
      <c r="C51" s="5"/>
      <c r="D51" s="5"/>
      <c r="E51" s="5"/>
      <c r="F51" s="5"/>
      <c r="G51" s="5"/>
      <c r="H51" s="5"/>
      <c r="I51" s="5"/>
      <c r="J51" s="5"/>
      <c r="K51" s="5"/>
      <c r="L51" s="5">
        <v>91</v>
      </c>
      <c r="M51" s="5"/>
      <c r="N51" s="5"/>
    </row>
    <row r="52" spans="2:14" s="1" customFormat="1" x14ac:dyDescent="0.2">
      <c r="B52" s="1" t="s">
        <v>30</v>
      </c>
      <c r="C52" s="5"/>
      <c r="D52" s="5"/>
      <c r="E52" s="5"/>
      <c r="F52" s="5"/>
      <c r="G52" s="5"/>
      <c r="H52" s="5"/>
      <c r="I52" s="5"/>
      <c r="J52" s="5"/>
      <c r="K52" s="5"/>
      <c r="L52" s="5">
        <v>6696</v>
      </c>
      <c r="M52" s="5"/>
      <c r="N52" s="5"/>
    </row>
    <row r="53" spans="2:14" s="1" customFormat="1" x14ac:dyDescent="0.2">
      <c r="B53" s="1" t="s">
        <v>31</v>
      </c>
      <c r="C53" s="5"/>
      <c r="D53" s="5"/>
      <c r="E53" s="5"/>
      <c r="F53" s="5"/>
      <c r="G53" s="5"/>
      <c r="H53" s="5"/>
      <c r="I53" s="5"/>
      <c r="J53" s="5"/>
      <c r="K53" s="5"/>
      <c r="L53" s="5">
        <f>SUM(L48:L52)</f>
        <v>32332</v>
      </c>
      <c r="M53" s="5"/>
      <c r="N53" s="5"/>
    </row>
    <row r="55" spans="2:14" x14ac:dyDescent="0.2">
      <c r="B55" s="1" t="s">
        <v>60</v>
      </c>
      <c r="F55" s="2">
        <v>181</v>
      </c>
      <c r="G55" s="10">
        <f>1198-H55</f>
        <v>828</v>
      </c>
      <c r="H55" s="10">
        <v>370</v>
      </c>
      <c r="I55" s="10">
        <f>1181-J55-H55-G55</f>
        <v>-977</v>
      </c>
      <c r="J55" s="10">
        <v>960</v>
      </c>
      <c r="K55" s="5">
        <f>-569-L55</f>
        <v>-623</v>
      </c>
      <c r="L55" s="5">
        <v>54</v>
      </c>
    </row>
    <row r="56" spans="2:14" x14ac:dyDescent="0.2">
      <c r="B56" s="1" t="s">
        <v>55</v>
      </c>
      <c r="G56" s="5">
        <f>111-H56</f>
        <v>-57</v>
      </c>
      <c r="H56" s="5">
        <v>168</v>
      </c>
      <c r="I56" s="5">
        <f>-298-J56-H56-G56</f>
        <v>-613</v>
      </c>
      <c r="J56" s="5">
        <v>204</v>
      </c>
      <c r="K56" s="5">
        <f>1538-L56</f>
        <v>796</v>
      </c>
      <c r="L56" s="5">
        <v>742</v>
      </c>
    </row>
    <row r="57" spans="2:14" x14ac:dyDescent="0.2">
      <c r="B57" s="1" t="s">
        <v>61</v>
      </c>
      <c r="G57" s="5">
        <f t="shared" ref="G57:L57" si="0">+G55+G56</f>
        <v>771</v>
      </c>
      <c r="H57" s="5">
        <f t="shared" si="0"/>
        <v>538</v>
      </c>
      <c r="I57" s="5">
        <f t="shared" si="0"/>
        <v>-1590</v>
      </c>
      <c r="J57" s="5">
        <f t="shared" si="0"/>
        <v>1164</v>
      </c>
      <c r="K57" s="5">
        <f t="shared" si="0"/>
        <v>173</v>
      </c>
      <c r="L57" s="5">
        <f t="shared" si="0"/>
        <v>796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3A23F-CF23-49C6-AFEF-C2894782E58F}">
  <dimension ref="A1:G7"/>
  <sheetViews>
    <sheetView zoomScale="280" zoomScaleNormal="280" workbookViewId="0">
      <selection activeCell="F1" sqref="F1"/>
    </sheetView>
  </sheetViews>
  <sheetFormatPr defaultRowHeight="12.75" x14ac:dyDescent="0.2"/>
  <cols>
    <col min="1" max="1" width="5" bestFit="1" customWidth="1"/>
  </cols>
  <sheetData>
    <row r="1" spans="1:7" x14ac:dyDescent="0.2">
      <c r="A1" s="12" t="s">
        <v>6</v>
      </c>
      <c r="F1" s="2" t="s">
        <v>2</v>
      </c>
    </row>
    <row r="2" spans="1:7" x14ac:dyDescent="0.2">
      <c r="B2" t="s">
        <v>62</v>
      </c>
      <c r="C2" s="1">
        <v>9400</v>
      </c>
      <c r="F2" s="1">
        <v>116000</v>
      </c>
      <c r="G2" s="13">
        <f>+F2/C2</f>
        <v>12.340425531914894</v>
      </c>
    </row>
    <row r="3" spans="1:7" x14ac:dyDescent="0.2">
      <c r="B3" t="s">
        <v>66</v>
      </c>
      <c r="C3" s="1">
        <v>139.69999999999999</v>
      </c>
      <c r="D3" s="11">
        <f>+C3/C7</f>
        <v>6.8357415825451261E-3</v>
      </c>
      <c r="F3" s="1">
        <v>19000</v>
      </c>
      <c r="G3" s="13">
        <f>+F3/C3</f>
        <v>136.00572655690766</v>
      </c>
    </row>
    <row r="4" spans="1:7" x14ac:dyDescent="0.2">
      <c r="B4" t="s">
        <v>63</v>
      </c>
      <c r="C4" s="1">
        <v>4900</v>
      </c>
      <c r="F4" s="1"/>
      <c r="G4" s="13"/>
    </row>
    <row r="5" spans="1:7" x14ac:dyDescent="0.2">
      <c r="B5" t="s">
        <v>67</v>
      </c>
      <c r="C5" s="1">
        <v>5500</v>
      </c>
      <c r="F5" s="1"/>
      <c r="G5" s="13"/>
    </row>
    <row r="6" spans="1:7" x14ac:dyDescent="0.2">
      <c r="B6" t="s">
        <v>64</v>
      </c>
      <c r="C6">
        <v>497</v>
      </c>
      <c r="F6" s="1">
        <v>14000</v>
      </c>
      <c r="G6" s="13">
        <f>+F6/C6</f>
        <v>28.169014084507044</v>
      </c>
    </row>
    <row r="7" spans="1:7" x14ac:dyDescent="0.2">
      <c r="B7" t="s">
        <v>65</v>
      </c>
      <c r="C7" s="1">
        <f>SUM(C2:C6)</f>
        <v>20436.7</v>
      </c>
    </row>
  </sheetData>
  <hyperlinks>
    <hyperlink ref="A1" location="Main!A1" display="Main" xr:uid="{048F4088-CE91-46E9-941D-EA4BB62BB7B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Brokers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2024-09-22T17:37:00Z</dcterms:created>
  <dcterms:modified xsi:type="dcterms:W3CDTF">2024-09-22T18:32:53Z</dcterms:modified>
</cp:coreProperties>
</file>