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3EBEDC1-F631-4E5D-B269-3311FF70CA1F}" xr6:coauthVersionLast="47" xr6:coauthVersionMax="47" xr10:uidLastSave="{00000000-0000-0000-0000-000000000000}"/>
  <bookViews>
    <workbookView xWindow="-24450" yWindow="2355" windowWidth="22350" windowHeight="16050" activeTab="1" xr2:uid="{1F39B899-BCCD-45D4-944D-9521F6C1B47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2" l="1"/>
  <c r="AC3" i="2" s="1"/>
  <c r="AD3" i="2" s="1"/>
  <c r="AE3" i="2" s="1"/>
  <c r="AF3" i="2" s="1"/>
  <c r="AA3" i="2"/>
  <c r="Z3" i="2"/>
  <c r="W4" i="2"/>
  <c r="X4" i="2" s="1"/>
  <c r="Y4" i="2" s="1"/>
  <c r="Z4" i="2" s="1"/>
  <c r="AA4" i="2" s="1"/>
  <c r="AB4" i="2" s="1"/>
  <c r="AC4" i="2" s="1"/>
  <c r="AD4" i="2" s="1"/>
  <c r="AE4" i="2" s="1"/>
  <c r="AF4" i="2" s="1"/>
  <c r="V4" i="2"/>
  <c r="W13" i="2"/>
  <c r="V13" i="2"/>
  <c r="U14" i="2"/>
  <c r="U15" i="2" s="1"/>
  <c r="U16" i="2" s="1"/>
  <c r="AF10" i="2"/>
  <c r="AF9" i="2"/>
  <c r="AF8" i="2"/>
  <c r="AF11" i="2" s="1"/>
  <c r="AE11" i="2"/>
  <c r="AD11" i="2"/>
  <c r="AC11" i="2"/>
  <c r="AB11" i="2"/>
  <c r="AA11" i="2"/>
  <c r="Z11" i="2"/>
  <c r="Y11" i="2"/>
  <c r="X11" i="2"/>
  <c r="W11" i="2"/>
  <c r="V11" i="2"/>
  <c r="U12" i="2"/>
  <c r="V10" i="2"/>
  <c r="W10" i="2" s="1"/>
  <c r="X10" i="2" s="1"/>
  <c r="Y10" i="2" s="1"/>
  <c r="Z10" i="2" s="1"/>
  <c r="AA10" i="2" s="1"/>
  <c r="AB10" i="2" s="1"/>
  <c r="AC10" i="2" s="1"/>
  <c r="AD10" i="2" s="1"/>
  <c r="AE10" i="2" s="1"/>
  <c r="V9" i="2"/>
  <c r="W9" i="2" s="1"/>
  <c r="X9" i="2" s="1"/>
  <c r="Y9" i="2" s="1"/>
  <c r="Z9" i="2" s="1"/>
  <c r="AA9" i="2" s="1"/>
  <c r="AB9" i="2" s="1"/>
  <c r="AC9" i="2" s="1"/>
  <c r="AD9" i="2" s="1"/>
  <c r="AE9" i="2" s="1"/>
  <c r="W8" i="2"/>
  <c r="X8" i="2" s="1"/>
  <c r="Y8" i="2" s="1"/>
  <c r="Z8" i="2" s="1"/>
  <c r="AA8" i="2" s="1"/>
  <c r="AB8" i="2" s="1"/>
  <c r="AC8" i="2" s="1"/>
  <c r="AD8" i="2" s="1"/>
  <c r="AE8" i="2" s="1"/>
  <c r="V8" i="2"/>
  <c r="U9" i="2"/>
  <c r="U11" i="2"/>
  <c r="U10" i="2"/>
  <c r="U7" i="2"/>
  <c r="U6" i="2"/>
  <c r="Y3" i="2"/>
  <c r="W5" i="2"/>
  <c r="V5" i="2"/>
  <c r="V6" i="2" s="1"/>
  <c r="X3" i="2"/>
  <c r="W3" i="2"/>
  <c r="V3" i="2"/>
  <c r="U4" i="2"/>
  <c r="U3" i="2"/>
  <c r="N4" i="2"/>
  <c r="N5" i="2" s="1"/>
  <c r="N3" i="2"/>
  <c r="AD2" i="2"/>
  <c r="AE2" i="2" s="1"/>
  <c r="AF2" i="2" s="1"/>
  <c r="W2" i="2"/>
  <c r="X2" i="2" s="1"/>
  <c r="Y2" i="2" s="1"/>
  <c r="Z2" i="2" s="1"/>
  <c r="AA2" i="2" s="1"/>
  <c r="AB2" i="2" s="1"/>
  <c r="AC2" i="2" s="1"/>
  <c r="V2" i="2"/>
  <c r="F13" i="2"/>
  <c r="F14" i="2" s="1"/>
  <c r="F16" i="2" s="1"/>
  <c r="J19" i="2"/>
  <c r="F7" i="2"/>
  <c r="F5" i="2"/>
  <c r="L19" i="2"/>
  <c r="K19" i="2"/>
  <c r="M19" i="2"/>
  <c r="J13" i="2"/>
  <c r="J7" i="2"/>
  <c r="G16" i="2"/>
  <c r="G14" i="2"/>
  <c r="G13" i="2"/>
  <c r="G7" i="2"/>
  <c r="G5" i="2"/>
  <c r="K13" i="2"/>
  <c r="K7" i="2"/>
  <c r="L13" i="2"/>
  <c r="H13" i="2"/>
  <c r="H14" i="2" s="1"/>
  <c r="H16" i="2" s="1"/>
  <c r="I11" i="2"/>
  <c r="H7" i="2"/>
  <c r="L7" i="2"/>
  <c r="H5" i="2"/>
  <c r="L21" i="2"/>
  <c r="M6" i="1"/>
  <c r="I13" i="2"/>
  <c r="M16" i="2"/>
  <c r="M14" i="2"/>
  <c r="M13" i="2"/>
  <c r="I5" i="2"/>
  <c r="I7" i="2" s="1"/>
  <c r="J5" i="2"/>
  <c r="L11" i="2"/>
  <c r="L12" i="2" s="1"/>
  <c r="K11" i="2"/>
  <c r="K12" i="2" s="1"/>
  <c r="K14" i="2" s="1"/>
  <c r="K16" i="2" s="1"/>
  <c r="J11" i="2"/>
  <c r="J12" i="2" s="1"/>
  <c r="H11" i="2"/>
  <c r="H12" i="2" s="1"/>
  <c r="G11" i="2"/>
  <c r="G12" i="2" s="1"/>
  <c r="F11" i="2"/>
  <c r="F12" i="2" s="1"/>
  <c r="E11" i="2"/>
  <c r="E12" i="2" s="1"/>
  <c r="D11" i="2"/>
  <c r="D12" i="2" s="1"/>
  <c r="C11" i="2"/>
  <c r="C12" i="2" s="1"/>
  <c r="M12" i="2"/>
  <c r="M11" i="2"/>
  <c r="M7" i="2"/>
  <c r="K3" i="2"/>
  <c r="K5" i="2" s="1"/>
  <c r="K4" i="2"/>
  <c r="M5" i="2"/>
  <c r="L5" i="2"/>
  <c r="M4" i="1"/>
  <c r="X5" i="2" l="1"/>
  <c r="AA5" i="2"/>
  <c r="W6" i="2"/>
  <c r="W7" i="2" s="1"/>
  <c r="W12" i="2" s="1"/>
  <c r="W14" i="2" s="1"/>
  <c r="W15" i="2" s="1"/>
  <c r="W16" i="2" s="1"/>
  <c r="V7" i="2"/>
  <c r="V12" i="2" s="1"/>
  <c r="V14" i="2" s="1"/>
  <c r="V15" i="2" s="1"/>
  <c r="V16" i="2" s="1"/>
  <c r="Y5" i="2"/>
  <c r="Z5" i="2"/>
  <c r="X13" i="2"/>
  <c r="J14" i="2"/>
  <c r="J16" i="2" s="1"/>
  <c r="L14" i="2"/>
  <c r="L16" i="2" s="1"/>
  <c r="M7" i="1"/>
  <c r="I12" i="2"/>
  <c r="I14" i="2" s="1"/>
  <c r="I16" i="2" s="1"/>
  <c r="U5" i="2"/>
  <c r="Z6" i="2" l="1"/>
  <c r="Z7" i="2" s="1"/>
  <c r="Z12" i="2" s="1"/>
  <c r="Y6" i="2"/>
  <c r="Y7" i="2"/>
  <c r="Y12" i="2" s="1"/>
  <c r="AA6" i="2"/>
  <c r="AA7" i="2" s="1"/>
  <c r="AA12" i="2" s="1"/>
  <c r="X6" i="2"/>
  <c r="X7" i="2" s="1"/>
  <c r="X12" i="2" s="1"/>
  <c r="X14" i="2" s="1"/>
  <c r="AB5" i="2"/>
  <c r="Y13" i="2"/>
  <c r="AB6" i="2" l="1"/>
  <c r="AB7" i="2"/>
  <c r="AB12" i="2" s="1"/>
  <c r="AC5" i="2"/>
  <c r="X15" i="2"/>
  <c r="X16" i="2" s="1"/>
  <c r="Z13" i="2"/>
  <c r="Y14" i="2"/>
  <c r="AC6" i="2" l="1"/>
  <c r="AC7" i="2" s="1"/>
  <c r="AC12" i="2" s="1"/>
  <c r="AD5" i="2"/>
  <c r="Y15" i="2"/>
  <c r="Y16" i="2" s="1"/>
  <c r="AA13" i="2"/>
  <c r="Z14" i="2"/>
  <c r="AF5" i="2" l="1"/>
  <c r="AE5" i="2"/>
  <c r="AD6" i="2"/>
  <c r="AD7" i="2" s="1"/>
  <c r="AD12" i="2" s="1"/>
  <c r="Z15" i="2"/>
  <c r="Z16" i="2"/>
  <c r="AA14" i="2"/>
  <c r="AB13" i="2"/>
  <c r="AE6" i="2" l="1"/>
  <c r="AE7" i="2" s="1"/>
  <c r="AE12" i="2" s="1"/>
  <c r="AF6" i="2"/>
  <c r="AF7" i="2" s="1"/>
  <c r="AF12" i="2" s="1"/>
  <c r="AB14" i="2"/>
  <c r="AC13" i="2"/>
  <c r="AA15" i="2"/>
  <c r="AA16" i="2"/>
  <c r="AC14" i="2" l="1"/>
  <c r="AD13" i="2"/>
  <c r="AB15" i="2"/>
  <c r="AB16" i="2"/>
  <c r="AD14" i="2" l="1"/>
  <c r="AE13" i="2"/>
  <c r="AC15" i="2"/>
  <c r="AC16" i="2"/>
  <c r="AF13" i="2" l="1"/>
  <c r="AF14" i="2" s="1"/>
  <c r="AE14" i="2"/>
  <c r="AD15" i="2"/>
  <c r="AD16" i="2" s="1"/>
  <c r="AE15" i="2" l="1"/>
  <c r="AE16" i="2" s="1"/>
  <c r="AF15" i="2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l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AI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tc={FE63A9D1-EA28-4BB6-A48B-5A1CEDAE3893}</author>
  </authors>
  <commentList>
    <comment ref="M3" authorId="0" shapeId="0" xr:uid="{FE63A9D1-EA28-4BB6-A48B-5A1CEDAE3893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conversion of 62.4m shares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tc={CCFBD79E-1E99-4018-91FA-661E157BB15C}</author>
    <author>tc={D593BBF9-6197-47BA-9A52-4952C6DAD563}</author>
  </authors>
  <commentList>
    <comment ref="AC3" authorId="0" shapeId="0" xr:uid="{CCFBD79E-1E99-4018-91FA-661E157BB15C}">
      <text>
        <t>[Threaded comment]
Your version of Excel allows you to read this threaded comment; however, any edits to it will get removed if the file is opened in a newer version of Excel. Learn more: https://go.microsoft.com/fwlink/?linkid=870924
Comment:
    8653092 expires</t>
      </text>
    </comment>
    <comment ref="U5" authorId="1" shapeId="0" xr:uid="{D593BBF9-6197-47BA-9A52-4952C6DAD563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280-295m guidance</t>
      </text>
    </comment>
  </commentList>
</comments>
</file>

<file path=xl/sharedStrings.xml><?xml version="1.0" encoding="utf-8"?>
<sst xmlns="http://schemas.openxmlformats.org/spreadsheetml/2006/main" count="49" uniqueCount="46">
  <si>
    <t>Price</t>
  </si>
  <si>
    <t>Shares</t>
  </si>
  <si>
    <t>MC</t>
  </si>
  <si>
    <t>Cash</t>
  </si>
  <si>
    <t>Debt</t>
  </si>
  <si>
    <t>EV</t>
  </si>
  <si>
    <t>Name</t>
  </si>
  <si>
    <t>Ruconest</t>
  </si>
  <si>
    <t>Joenja (leniolisib)</t>
  </si>
  <si>
    <t>Ruconest (conestat)</t>
  </si>
  <si>
    <t>Indication</t>
  </si>
  <si>
    <t>HAE</t>
  </si>
  <si>
    <t>APDS</t>
  </si>
  <si>
    <t>Main</t>
  </si>
  <si>
    <t>Joenja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</si>
  <si>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</si>
  <si>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</si>
  <si>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</si>
  <si>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</si>
  <si>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</si>
  <si>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</si>
  <si>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</si>
  <si>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</si>
  <si>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</si>
  <si>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</si>
  <si>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</si>
  <si>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</si>
  <si>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</si>
  <si>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CEO: Sijmen de Vries</t>
  </si>
  <si>
    <t>Operating Income</t>
  </si>
  <si>
    <t>Operating Expenses</t>
  </si>
  <si>
    <t>COGS</t>
  </si>
  <si>
    <t>Gross Profit</t>
  </si>
  <si>
    <t>S&amp;M</t>
  </si>
  <si>
    <t>G&amp;A</t>
  </si>
  <si>
    <t>R&amp;D</t>
  </si>
  <si>
    <t>Net Income</t>
  </si>
  <si>
    <t>Taxes</t>
  </si>
  <si>
    <t>Pretax Income</t>
  </si>
  <si>
    <t>Interest Income</t>
  </si>
  <si>
    <t>CFFO</t>
  </si>
  <si>
    <t>$USD</t>
  </si>
  <si>
    <t>Revenue y/y</t>
  </si>
  <si>
    <t>Maturity</t>
  </si>
  <si>
    <t>Discount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</si>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</sst>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3" fillId="0" borderId="0" xfId="1"/>
    <xf numFmtId="9" fontId="1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2F0C33A-4358-4C7B-B997-A96C825081B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7185EF72-4A3A-427A-A3B9-3EC57267879F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" dT="2024-11-12T17:01:33.56" personId="{7185EF72-4A3A-427A-A3B9-3EC57267879F}" id="{FE63A9D1-EA28-4BB6-A48B-5A1CEDAE3893}">
    <text>assuming conversion of 62.4m shares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C3" dT="2025-02-07T14:53:25.20" personId="{7185EF72-4A3A-427A-A3B9-3EC57267879F}" id="{CCFBD79E-1E99-4018-91FA-661E157BB15C}">
    <text>8653092 expires</text>
  </threadedComment>
  <threadedComment ref="U5" dT="2024-11-12T16:46:00.73" personId="{7185EF72-4A3A-427A-A3B9-3EC57267879F}" id="{D593BBF9-6197-47BA-9A52-4952C6DAD563}">
    <text>Q224: 280-295m guidance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4DC2-CF17-4B3B-B50C-E6A887B03323}">
  <dimension ref="B2:N10"/>
  <sheetViews>
    <sheetView zoomScale="145" zoomScaleNormal="145" workbookViewId="0">
      <selection activeCell="B3" sqref="B3"/>
    </sheetView>
  </sheetViews>
  <sheetFormatPr defaultRowHeight="12.75" x14ac:dyDescent="0.2"/>
  <cols>
    <col min="1" max="1" width="1.7109375" customWidth="1"/>
    <col min="2" max="2" width="18" bestFit="1" customWidth="1"/>
  </cols>
  <sheetData>
    <row r="2" spans="2:14" x14ac:dyDescent="0.2">
      <c r="B2" s="7" t="s">
        <v>6</v>
      </c>
      <c r="C2" s="8" t="s">
        <v>10</v>
      </c>
      <c r="D2" s="8"/>
      <c r="E2" s="8"/>
      <c r="F2" s="8"/>
      <c r="G2" s="8"/>
      <c r="H2" s="8"/>
      <c r="I2" s="8"/>
      <c r="J2" s="9"/>
      <c r="L2" t="s">
        <v>0</v>
      </c>
      <c r="M2" s="1">
        <v>8.85</v>
      </c>
    </row>
    <row r="3" spans="2:14" x14ac:dyDescent="0.2">
      <c r="B3" s="2" t="s">
        <v>9</v>
      </c>
      <c r="C3" t="s">
        <v>11</v>
      </c>
      <c r="J3" s="3"/>
      <c r="L3" t="s">
        <v>1</v>
      </c>
      <c r="M3" s="11">
        <v>785.51099999999997</v>
      </c>
      <c r="N3" s="10" t="s">
        <v>24</v>
      </c>
    </row>
    <row r="4" spans="2:14" x14ac:dyDescent="0.2">
      <c r="B4" s="2" t="s">
        <v>8</v>
      </c>
      <c r="C4" t="s">
        <v>12</v>
      </c>
      <c r="J4" s="3"/>
      <c r="L4" t="s">
        <v>2</v>
      </c>
      <c r="M4" s="11">
        <f>+M2*M3/10</f>
        <v>695.17723499999988</v>
      </c>
      <c r="N4" s="10"/>
    </row>
    <row r="5" spans="2:14" x14ac:dyDescent="0.2">
      <c r="B5" s="2"/>
      <c r="J5" s="3"/>
      <c r="L5" t="s">
        <v>3</v>
      </c>
      <c r="M5" s="11">
        <v>173.3</v>
      </c>
      <c r="N5" s="10" t="s">
        <v>25</v>
      </c>
    </row>
    <row r="6" spans="2:14" x14ac:dyDescent="0.2">
      <c r="B6" s="2"/>
      <c r="J6" s="3"/>
      <c r="L6" t="s">
        <v>4</v>
      </c>
      <c r="M6" s="11">
        <f>92.099+3.319</f>
        <v>95.418000000000006</v>
      </c>
      <c r="N6" s="10" t="s">
        <v>25</v>
      </c>
    </row>
    <row r="7" spans="2:14" x14ac:dyDescent="0.2">
      <c r="B7" s="2"/>
      <c r="J7" s="3"/>
      <c r="L7" t="s">
        <v>5</v>
      </c>
      <c r="M7" s="11">
        <f>+M4-M5+M6</f>
        <v>617.29523499999993</v>
      </c>
    </row>
    <row r="8" spans="2:14" x14ac:dyDescent="0.2">
      <c r="B8" s="4"/>
      <c r="C8" s="5"/>
      <c r="D8" s="5"/>
      <c r="E8" s="5"/>
      <c r="F8" s="5"/>
      <c r="G8" s="5"/>
      <c r="H8" s="5"/>
      <c r="I8" s="5"/>
      <c r="J8" s="6"/>
    </row>
    <row r="10" spans="2:14" x14ac:dyDescent="0.2">
      <c r="L10" t="s">
        <v>28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7877-43DE-4D20-9D9E-BB366D1DE553}">
  <dimension ref="A1:CZ22"/>
  <sheetViews>
    <sheetView tabSelected="1" zoomScale="160" zoomScaleNormal="160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Z4" sqref="Z4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10"/>
  </cols>
  <sheetData>
    <row r="1" spans="1:104" x14ac:dyDescent="0.2">
      <c r="A1" s="19" t="s">
        <v>13</v>
      </c>
    </row>
    <row r="2" spans="1:104" x14ac:dyDescent="0.2">
      <c r="B2" t="s">
        <v>41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0" t="s">
        <v>25</v>
      </c>
      <c r="N2" s="10" t="s">
        <v>26</v>
      </c>
      <c r="U2">
        <v>2024</v>
      </c>
      <c r="V2">
        <f>+U2+1</f>
        <v>2025</v>
      </c>
      <c r="W2">
        <f t="shared" ref="W2:AF2" si="0">+V2+1</f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  <c r="AB2">
        <f t="shared" si="0"/>
        <v>2031</v>
      </c>
      <c r="AC2">
        <f t="shared" si="0"/>
        <v>2032</v>
      </c>
      <c r="AD2">
        <f t="shared" si="0"/>
        <v>2033</v>
      </c>
      <c r="AE2">
        <f t="shared" si="0"/>
        <v>2034</v>
      </c>
      <c r="AF2">
        <f t="shared" si="0"/>
        <v>2035</v>
      </c>
    </row>
    <row r="3" spans="1:104" s="14" customFormat="1" x14ac:dyDescent="0.2">
      <c r="B3" s="14" t="s">
        <v>14</v>
      </c>
      <c r="C3" s="15"/>
      <c r="D3" s="15"/>
      <c r="E3" s="15"/>
      <c r="F3" s="15">
        <v>0</v>
      </c>
      <c r="G3" s="15">
        <v>0</v>
      </c>
      <c r="H3" s="15">
        <v>3.8</v>
      </c>
      <c r="I3" s="15">
        <v>6.5</v>
      </c>
      <c r="J3" s="15">
        <v>7.9</v>
      </c>
      <c r="K3" s="15">
        <f>31.9-L3-M3</f>
        <v>9.5999999999999979</v>
      </c>
      <c r="L3" s="15">
        <v>11.1</v>
      </c>
      <c r="M3" s="15">
        <v>11.2</v>
      </c>
      <c r="N3" s="15">
        <f>+J3*1.5</f>
        <v>11.850000000000001</v>
      </c>
      <c r="U3" s="14">
        <f>SUM(K3:N3)</f>
        <v>43.75</v>
      </c>
      <c r="V3" s="14">
        <f>+U3*1.5</f>
        <v>65.625</v>
      </c>
      <c r="W3" s="14">
        <f>+V3*1.3</f>
        <v>85.3125</v>
      </c>
      <c r="X3" s="14">
        <f>+W3*1.2</f>
        <v>102.375</v>
      </c>
      <c r="Y3" s="14">
        <f>+X3*1.3</f>
        <v>133.08750000000001</v>
      </c>
      <c r="Z3" s="14">
        <f>+Y3*1.2</f>
        <v>159.70500000000001</v>
      </c>
      <c r="AA3" s="14">
        <f>+Z3*1.2</f>
        <v>191.64600000000002</v>
      </c>
      <c r="AB3" s="14">
        <f>+AA3*1.1</f>
        <v>210.81060000000002</v>
      </c>
      <c r="AC3" s="14">
        <f>+AB3*0.1</f>
        <v>21.081060000000004</v>
      </c>
      <c r="AD3" s="14">
        <f>+AC3*0.1</f>
        <v>2.1081060000000007</v>
      </c>
      <c r="AE3" s="14">
        <f>+AD3*0.1</f>
        <v>0.21081060000000007</v>
      </c>
      <c r="AF3" s="14">
        <f>+AE3*0.1</f>
        <v>2.1081060000000009E-2</v>
      </c>
    </row>
    <row r="4" spans="1:104" s="14" customFormat="1" x14ac:dyDescent="0.2">
      <c r="B4" s="14" t="s">
        <v>7</v>
      </c>
      <c r="C4" s="15"/>
      <c r="D4" s="15"/>
      <c r="E4" s="15"/>
      <c r="F4" s="15">
        <v>54.6</v>
      </c>
      <c r="G4" s="15">
        <v>42.5</v>
      </c>
      <c r="H4" s="15">
        <v>51.1</v>
      </c>
      <c r="I4" s="15">
        <v>60.2</v>
      </c>
      <c r="J4" s="15">
        <v>73.3</v>
      </c>
      <c r="K4" s="15">
        <f>172.6-L4-M4</f>
        <v>45.999999999999993</v>
      </c>
      <c r="L4" s="15">
        <v>63</v>
      </c>
      <c r="M4" s="15">
        <v>63.6</v>
      </c>
      <c r="N4" s="15">
        <f>+J4*1.1</f>
        <v>80.63000000000001</v>
      </c>
      <c r="U4" s="14">
        <f>SUM(K4:N4)</f>
        <v>253.23000000000002</v>
      </c>
      <c r="V4" s="14">
        <f>+U4*1.01</f>
        <v>255.76230000000001</v>
      </c>
      <c r="W4" s="14">
        <f t="shared" ref="W4:AF4" si="1">+V4*1.01</f>
        <v>258.31992300000002</v>
      </c>
      <c r="X4" s="14">
        <f t="shared" si="1"/>
        <v>260.90312223000001</v>
      </c>
      <c r="Y4" s="14">
        <f t="shared" si="1"/>
        <v>263.51215345230003</v>
      </c>
      <c r="Z4" s="14">
        <f t="shared" si="1"/>
        <v>266.14727498682305</v>
      </c>
      <c r="AA4" s="14">
        <f t="shared" si="1"/>
        <v>268.80874773669126</v>
      </c>
      <c r="AB4" s="14">
        <f t="shared" si="1"/>
        <v>271.49683521405819</v>
      </c>
      <c r="AC4" s="14">
        <f t="shared" si="1"/>
        <v>274.2118035661988</v>
      </c>
      <c r="AD4" s="14">
        <f t="shared" si="1"/>
        <v>276.95392160186077</v>
      </c>
      <c r="AE4" s="14">
        <f t="shared" si="1"/>
        <v>279.72346081787936</v>
      </c>
      <c r="AF4" s="14">
        <f t="shared" si="1"/>
        <v>282.52069542605813</v>
      </c>
    </row>
    <row r="5" spans="1:104" s="16" customFormat="1" x14ac:dyDescent="0.2">
      <c r="B5" s="16" t="s">
        <v>27</v>
      </c>
      <c r="C5" s="17"/>
      <c r="D5" s="17"/>
      <c r="E5" s="17"/>
      <c r="F5" s="17">
        <f t="shared" ref="F5:N5" si="2">+F3+F4</f>
        <v>54.6</v>
      </c>
      <c r="G5" s="17">
        <f t="shared" si="2"/>
        <v>42.5</v>
      </c>
      <c r="H5" s="17">
        <f t="shared" si="2"/>
        <v>54.9</v>
      </c>
      <c r="I5" s="17">
        <f t="shared" si="2"/>
        <v>66.7</v>
      </c>
      <c r="J5" s="17">
        <f t="shared" si="2"/>
        <v>81.2</v>
      </c>
      <c r="K5" s="17">
        <f t="shared" si="2"/>
        <v>55.599999999999994</v>
      </c>
      <c r="L5" s="17">
        <f t="shared" si="2"/>
        <v>74.099999999999994</v>
      </c>
      <c r="M5" s="17">
        <f t="shared" si="2"/>
        <v>74.8</v>
      </c>
      <c r="N5" s="17">
        <f t="shared" si="2"/>
        <v>92.480000000000018</v>
      </c>
      <c r="U5" s="16">
        <f>+U4+U3</f>
        <v>296.98</v>
      </c>
      <c r="V5" s="16">
        <f>+V3+V4</f>
        <v>321.38729999999998</v>
      </c>
      <c r="W5" s="16">
        <f t="shared" ref="W5:AF5" si="3">+W3+W4</f>
        <v>343.63242300000002</v>
      </c>
      <c r="X5" s="16">
        <f t="shared" si="3"/>
        <v>363.27812223000001</v>
      </c>
      <c r="Y5" s="16">
        <f t="shared" si="3"/>
        <v>396.5996534523</v>
      </c>
      <c r="Z5" s="16">
        <f t="shared" si="3"/>
        <v>425.85227498682309</v>
      </c>
      <c r="AA5" s="16">
        <f t="shared" si="3"/>
        <v>460.45474773669127</v>
      </c>
      <c r="AB5" s="16">
        <f t="shared" si="3"/>
        <v>482.30743521405822</v>
      </c>
      <c r="AC5" s="16">
        <f t="shared" si="3"/>
        <v>295.29286356619878</v>
      </c>
      <c r="AD5" s="16">
        <f t="shared" si="3"/>
        <v>279.06202760186079</v>
      </c>
      <c r="AE5" s="16">
        <f t="shared" si="3"/>
        <v>279.93427141787936</v>
      </c>
      <c r="AF5" s="16">
        <f t="shared" si="3"/>
        <v>282.5417764860581</v>
      </c>
    </row>
    <row r="6" spans="1:104" s="14" customFormat="1" x14ac:dyDescent="0.2">
      <c r="B6" s="14" t="s">
        <v>31</v>
      </c>
      <c r="C6" s="15"/>
      <c r="D6" s="15"/>
      <c r="E6" s="15"/>
      <c r="F6" s="15">
        <v>6.3</v>
      </c>
      <c r="G6" s="15">
        <v>4</v>
      </c>
      <c r="H6" s="15">
        <v>5.7</v>
      </c>
      <c r="I6" s="15">
        <v>8.3000000000000007</v>
      </c>
      <c r="J6" s="15">
        <v>7.1</v>
      </c>
      <c r="K6" s="15">
        <v>8.4</v>
      </c>
      <c r="L6" s="15">
        <v>8</v>
      </c>
      <c r="M6" s="15">
        <v>6.8</v>
      </c>
      <c r="N6" s="15"/>
      <c r="U6" s="14">
        <f>+U5*0.1</f>
        <v>29.698000000000004</v>
      </c>
      <c r="V6" s="14">
        <f>+V5*0.1</f>
        <v>32.138730000000002</v>
      </c>
      <c r="W6" s="14">
        <f t="shared" ref="W6:AF6" si="4">+W5*0.1</f>
        <v>34.363242300000003</v>
      </c>
      <c r="X6" s="14">
        <f t="shared" si="4"/>
        <v>36.327812223000002</v>
      </c>
      <c r="Y6" s="14">
        <f t="shared" si="4"/>
        <v>39.659965345230006</v>
      </c>
      <c r="Z6" s="14">
        <f t="shared" si="4"/>
        <v>42.585227498682315</v>
      </c>
      <c r="AA6" s="14">
        <f t="shared" si="4"/>
        <v>46.045474773669127</v>
      </c>
      <c r="AB6" s="14">
        <f t="shared" si="4"/>
        <v>48.230743521405827</v>
      </c>
      <c r="AC6" s="14">
        <f t="shared" si="4"/>
        <v>29.529286356619878</v>
      </c>
      <c r="AD6" s="14">
        <f t="shared" si="4"/>
        <v>27.90620276018608</v>
      </c>
      <c r="AE6" s="14">
        <f t="shared" si="4"/>
        <v>27.993427141787937</v>
      </c>
      <c r="AF6" s="14">
        <f t="shared" si="4"/>
        <v>28.254177648605811</v>
      </c>
    </row>
    <row r="7" spans="1:104" s="14" customFormat="1" x14ac:dyDescent="0.2">
      <c r="B7" s="14" t="s">
        <v>32</v>
      </c>
      <c r="C7" s="15"/>
      <c r="D7" s="15"/>
      <c r="E7" s="15"/>
      <c r="F7" s="15">
        <f t="shared" ref="F7:M7" si="5">+F5-F6</f>
        <v>48.300000000000004</v>
      </c>
      <c r="G7" s="15">
        <f t="shared" si="5"/>
        <v>38.5</v>
      </c>
      <c r="H7" s="15">
        <f t="shared" si="5"/>
        <v>49.199999999999996</v>
      </c>
      <c r="I7" s="15">
        <f t="shared" si="5"/>
        <v>58.400000000000006</v>
      </c>
      <c r="J7" s="15">
        <f t="shared" si="5"/>
        <v>74.100000000000009</v>
      </c>
      <c r="K7" s="15">
        <f t="shared" si="5"/>
        <v>47.199999999999996</v>
      </c>
      <c r="L7" s="15">
        <f t="shared" si="5"/>
        <v>66.099999999999994</v>
      </c>
      <c r="M7" s="15">
        <f t="shared" si="5"/>
        <v>68</v>
      </c>
      <c r="N7" s="15"/>
      <c r="U7" s="14">
        <f>+U5-U6</f>
        <v>267.28200000000004</v>
      </c>
      <c r="V7" s="14">
        <f t="shared" ref="V7:AE7" si="6">+V5-V6</f>
        <v>289.24856999999997</v>
      </c>
      <c r="W7" s="14">
        <f t="shared" si="6"/>
        <v>309.26918069999999</v>
      </c>
      <c r="X7" s="14">
        <f t="shared" si="6"/>
        <v>326.95031000699998</v>
      </c>
      <c r="Y7" s="14">
        <f t="shared" si="6"/>
        <v>356.93968810706997</v>
      </c>
      <c r="Z7" s="14">
        <f t="shared" si="6"/>
        <v>383.26704748814075</v>
      </c>
      <c r="AA7" s="14">
        <f t="shared" si="6"/>
        <v>414.40927296302215</v>
      </c>
      <c r="AB7" s="14">
        <f t="shared" si="6"/>
        <v>434.07669169265239</v>
      </c>
      <c r="AC7" s="14">
        <f t="shared" si="6"/>
        <v>265.7635772095789</v>
      </c>
      <c r="AD7" s="14">
        <f t="shared" si="6"/>
        <v>251.1558248416747</v>
      </c>
      <c r="AE7" s="14">
        <f t="shared" si="6"/>
        <v>251.94084427609141</v>
      </c>
      <c r="AF7" s="14">
        <f t="shared" ref="AF7" si="7">+AF5-AF6</f>
        <v>254.28759883745229</v>
      </c>
    </row>
    <row r="8" spans="1:104" s="14" customFormat="1" x14ac:dyDescent="0.2">
      <c r="B8" s="14" t="s">
        <v>35</v>
      </c>
      <c r="C8" s="15"/>
      <c r="D8" s="15"/>
      <c r="E8" s="15"/>
      <c r="F8" s="15">
        <v>10.9</v>
      </c>
      <c r="G8" s="15">
        <v>15.6</v>
      </c>
      <c r="H8" s="15">
        <v>20.9</v>
      </c>
      <c r="I8" s="15">
        <v>20.8</v>
      </c>
      <c r="J8" s="15">
        <v>11.6</v>
      </c>
      <c r="K8" s="15">
        <v>18.5</v>
      </c>
      <c r="L8" s="15">
        <v>21.6</v>
      </c>
      <c r="M8" s="15">
        <v>20.7</v>
      </c>
      <c r="N8" s="15"/>
      <c r="U8" s="14">
        <v>0</v>
      </c>
      <c r="V8" s="14">
        <f>+U8*1.01</f>
        <v>0</v>
      </c>
      <c r="W8" s="14">
        <f t="shared" ref="W8:AE8" si="8">+V8*1.01</f>
        <v>0</v>
      </c>
      <c r="X8" s="14">
        <f t="shared" si="8"/>
        <v>0</v>
      </c>
      <c r="Y8" s="14">
        <f t="shared" si="8"/>
        <v>0</v>
      </c>
      <c r="Z8" s="14">
        <f t="shared" si="8"/>
        <v>0</v>
      </c>
      <c r="AA8" s="14">
        <f t="shared" si="8"/>
        <v>0</v>
      </c>
      <c r="AB8" s="14">
        <f t="shared" si="8"/>
        <v>0</v>
      </c>
      <c r="AC8" s="14">
        <f t="shared" si="8"/>
        <v>0</v>
      </c>
      <c r="AD8" s="14">
        <f t="shared" si="8"/>
        <v>0</v>
      </c>
      <c r="AE8" s="14">
        <f t="shared" si="8"/>
        <v>0</v>
      </c>
      <c r="AF8" s="14">
        <f t="shared" ref="AF8" si="9">+AE8*1.01</f>
        <v>0</v>
      </c>
    </row>
    <row r="9" spans="1:104" s="14" customFormat="1" x14ac:dyDescent="0.2">
      <c r="B9" s="14" t="s">
        <v>34</v>
      </c>
      <c r="C9" s="15"/>
      <c r="D9" s="15"/>
      <c r="E9" s="15"/>
      <c r="F9" s="15">
        <v>17.600000000000001</v>
      </c>
      <c r="G9" s="15">
        <v>10.1</v>
      </c>
      <c r="H9" s="15">
        <v>11</v>
      </c>
      <c r="I9" s="15">
        <v>10.9</v>
      </c>
      <c r="J9" s="15">
        <v>24</v>
      </c>
      <c r="K9" s="15">
        <v>15.1</v>
      </c>
      <c r="L9" s="15">
        <v>15.6</v>
      </c>
      <c r="M9" s="15">
        <v>15.3</v>
      </c>
      <c r="N9" s="15"/>
      <c r="U9" s="14">
        <f>SUM(K9:N9)</f>
        <v>46</v>
      </c>
      <c r="V9" s="14">
        <f t="shared" ref="V9:AE9" si="10">+U9*1.01</f>
        <v>46.46</v>
      </c>
      <c r="W9" s="14">
        <f t="shared" si="10"/>
        <v>46.924599999999998</v>
      </c>
      <c r="X9" s="14">
        <f t="shared" si="10"/>
        <v>47.393845999999996</v>
      </c>
      <c r="Y9" s="14">
        <f t="shared" si="10"/>
        <v>47.867784459999996</v>
      </c>
      <c r="Z9" s="14">
        <f t="shared" si="10"/>
        <v>48.346462304599996</v>
      </c>
      <c r="AA9" s="14">
        <f t="shared" si="10"/>
        <v>48.829926927646</v>
      </c>
      <c r="AB9" s="14">
        <f t="shared" si="10"/>
        <v>49.31822619692246</v>
      </c>
      <c r="AC9" s="14">
        <f t="shared" si="10"/>
        <v>49.811408458891684</v>
      </c>
      <c r="AD9" s="14">
        <f t="shared" si="10"/>
        <v>50.309522543480604</v>
      </c>
      <c r="AE9" s="14">
        <f t="shared" si="10"/>
        <v>50.812617768915409</v>
      </c>
      <c r="AF9" s="14">
        <f t="shared" ref="AF9" si="11">+AE9*1.01</f>
        <v>51.320743946604566</v>
      </c>
    </row>
    <row r="10" spans="1:104" s="14" customFormat="1" x14ac:dyDescent="0.2">
      <c r="B10" s="14" t="s">
        <v>33</v>
      </c>
      <c r="C10" s="15"/>
      <c r="D10" s="15"/>
      <c r="E10" s="15"/>
      <c r="F10" s="15">
        <v>29</v>
      </c>
      <c r="G10" s="15">
        <v>27.1</v>
      </c>
      <c r="H10" s="15">
        <v>33.9</v>
      </c>
      <c r="I10" s="15">
        <v>25.1</v>
      </c>
      <c r="J10" s="15">
        <v>37.9</v>
      </c>
      <c r="K10" s="15">
        <v>30.2</v>
      </c>
      <c r="L10" s="15">
        <v>32.9</v>
      </c>
      <c r="M10" s="15">
        <v>28.7</v>
      </c>
      <c r="N10" s="15"/>
      <c r="U10" s="14">
        <f>SUM(K10:N10)</f>
        <v>91.8</v>
      </c>
      <c r="V10" s="14">
        <f t="shared" ref="V10:AE10" si="12">+U10*1.01</f>
        <v>92.718000000000004</v>
      </c>
      <c r="W10" s="14">
        <f t="shared" si="12"/>
        <v>93.645180000000011</v>
      </c>
      <c r="X10" s="14">
        <f t="shared" si="12"/>
        <v>94.581631800000011</v>
      </c>
      <c r="Y10" s="14">
        <f t="shared" si="12"/>
        <v>95.527448118000009</v>
      </c>
      <c r="Z10" s="14">
        <f t="shared" si="12"/>
        <v>96.482722599180008</v>
      </c>
      <c r="AA10" s="14">
        <f t="shared" si="12"/>
        <v>97.447549825171805</v>
      </c>
      <c r="AB10" s="14">
        <f t="shared" si="12"/>
        <v>98.422025323423526</v>
      </c>
      <c r="AC10" s="14">
        <f t="shared" si="12"/>
        <v>99.406245576657767</v>
      </c>
      <c r="AD10" s="14">
        <f t="shared" si="12"/>
        <v>100.40030803242435</v>
      </c>
      <c r="AE10" s="14">
        <f t="shared" si="12"/>
        <v>101.40431111274859</v>
      </c>
      <c r="AF10" s="14">
        <f t="shared" ref="AF10" si="13">+AE10*1.01</f>
        <v>102.41835422387608</v>
      </c>
    </row>
    <row r="11" spans="1:104" s="14" customFormat="1" x14ac:dyDescent="0.2">
      <c r="B11" s="14" t="s">
        <v>30</v>
      </c>
      <c r="C11" s="15">
        <f t="shared" ref="C11:L11" si="14">SUM(C8:C10)</f>
        <v>0</v>
      </c>
      <c r="D11" s="15">
        <f t="shared" si="14"/>
        <v>0</v>
      </c>
      <c r="E11" s="15">
        <f t="shared" si="14"/>
        <v>0</v>
      </c>
      <c r="F11" s="15">
        <f t="shared" si="14"/>
        <v>57.5</v>
      </c>
      <c r="G11" s="15">
        <f t="shared" si="14"/>
        <v>52.8</v>
      </c>
      <c r="H11" s="15">
        <f t="shared" si="14"/>
        <v>65.8</v>
      </c>
      <c r="I11" s="15">
        <f>SUM(I8:I10)</f>
        <v>56.800000000000004</v>
      </c>
      <c r="J11" s="15">
        <f t="shared" si="14"/>
        <v>73.5</v>
      </c>
      <c r="K11" s="15">
        <f t="shared" si="14"/>
        <v>63.8</v>
      </c>
      <c r="L11" s="15">
        <f t="shared" si="14"/>
        <v>70.099999999999994</v>
      </c>
      <c r="M11" s="15">
        <f>SUM(M8:M10)</f>
        <v>64.7</v>
      </c>
      <c r="N11" s="15"/>
      <c r="U11" s="14">
        <f>SUM(U8:U10)</f>
        <v>137.80000000000001</v>
      </c>
      <c r="V11" s="14">
        <f t="shared" ref="V11:AE11" si="15">SUM(V8:V10)</f>
        <v>139.178</v>
      </c>
      <c r="W11" s="14">
        <f t="shared" si="15"/>
        <v>140.56978000000001</v>
      </c>
      <c r="X11" s="14">
        <f t="shared" si="15"/>
        <v>141.97547780000002</v>
      </c>
      <c r="Y11" s="14">
        <f t="shared" si="15"/>
        <v>143.39523257799999</v>
      </c>
      <c r="Z11" s="14">
        <f t="shared" si="15"/>
        <v>144.82918490378</v>
      </c>
      <c r="AA11" s="14">
        <f t="shared" si="15"/>
        <v>146.27747675281779</v>
      </c>
      <c r="AB11" s="14">
        <f t="shared" si="15"/>
        <v>147.74025152034599</v>
      </c>
      <c r="AC11" s="14">
        <f t="shared" si="15"/>
        <v>149.21765403554946</v>
      </c>
      <c r="AD11" s="14">
        <f t="shared" si="15"/>
        <v>150.70983057590496</v>
      </c>
      <c r="AE11" s="14">
        <f t="shared" si="15"/>
        <v>152.21692888166399</v>
      </c>
      <c r="AF11" s="14">
        <f t="shared" ref="AF11" si="16">SUM(AF8:AF10)</f>
        <v>153.73909817048064</v>
      </c>
    </row>
    <row r="12" spans="1:104" x14ac:dyDescent="0.2">
      <c r="B12" t="s">
        <v>29</v>
      </c>
      <c r="C12" s="15">
        <f t="shared" ref="C12:L12" si="17">C7-C11</f>
        <v>0</v>
      </c>
      <c r="D12" s="15">
        <f t="shared" si="17"/>
        <v>0</v>
      </c>
      <c r="E12" s="15">
        <f t="shared" si="17"/>
        <v>0</v>
      </c>
      <c r="F12" s="15">
        <f t="shared" si="17"/>
        <v>-9.1999999999999957</v>
      </c>
      <c r="G12" s="15">
        <f t="shared" si="17"/>
        <v>-14.299999999999997</v>
      </c>
      <c r="H12" s="15">
        <f t="shared" si="17"/>
        <v>-16.600000000000001</v>
      </c>
      <c r="I12" s="15">
        <f t="shared" si="17"/>
        <v>1.6000000000000014</v>
      </c>
      <c r="J12" s="15">
        <f t="shared" si="17"/>
        <v>0.60000000000000853</v>
      </c>
      <c r="K12" s="15">
        <f t="shared" si="17"/>
        <v>-16.600000000000001</v>
      </c>
      <c r="L12" s="15">
        <f t="shared" si="17"/>
        <v>-4</v>
      </c>
      <c r="M12" s="15">
        <f>M7-M11</f>
        <v>3.2999999999999972</v>
      </c>
      <c r="U12" s="14">
        <f>+U7-U11</f>
        <v>129.48200000000003</v>
      </c>
      <c r="V12" s="14">
        <f t="shared" ref="V12:AE12" si="18">+V7-V11</f>
        <v>150.07056999999998</v>
      </c>
      <c r="W12" s="14">
        <f t="shared" si="18"/>
        <v>168.69940069999998</v>
      </c>
      <c r="X12" s="14">
        <f t="shared" si="18"/>
        <v>184.97483220699996</v>
      </c>
      <c r="Y12" s="14">
        <f t="shared" si="18"/>
        <v>213.54445552906998</v>
      </c>
      <c r="Z12" s="14">
        <f t="shared" si="18"/>
        <v>238.43786258436074</v>
      </c>
      <c r="AA12" s="14">
        <f t="shared" si="18"/>
        <v>268.13179621020436</v>
      </c>
      <c r="AB12" s="14">
        <f t="shared" si="18"/>
        <v>286.33644017230642</v>
      </c>
      <c r="AC12" s="14">
        <f t="shared" si="18"/>
        <v>116.54592317402944</v>
      </c>
      <c r="AD12" s="14">
        <f t="shared" si="18"/>
        <v>100.44599426576974</v>
      </c>
      <c r="AE12" s="14">
        <f t="shared" si="18"/>
        <v>99.723915394427422</v>
      </c>
      <c r="AF12" s="14">
        <f t="shared" ref="AF12" si="19">+AF7-AF11</f>
        <v>100.54850066697165</v>
      </c>
    </row>
    <row r="13" spans="1:104" s="14" customFormat="1" x14ac:dyDescent="0.2">
      <c r="B13" s="14" t="s">
        <v>39</v>
      </c>
      <c r="C13" s="15"/>
      <c r="D13" s="15"/>
      <c r="E13" s="15"/>
      <c r="F13" s="15">
        <f>-1.1-4.5-1.5-0.4</f>
        <v>-7.5</v>
      </c>
      <c r="G13" s="15">
        <f>0.1-2.8-0.3+0.6</f>
        <v>-2.3999999999999995</v>
      </c>
      <c r="H13" s="15">
        <f>0.7-2.5-0.1+21.9</f>
        <v>20</v>
      </c>
      <c r="I13" s="15">
        <f>0.3+1.4</f>
        <v>1.7</v>
      </c>
      <c r="J13" s="15">
        <f>0.5+1.6-4.5+0.7</f>
        <v>-1.7</v>
      </c>
      <c r="K13" s="15">
        <f>1.8-1.6-0.5+0.3</f>
        <v>0</v>
      </c>
      <c r="L13" s="15">
        <f>0.9+1.2-2.9-0.4</f>
        <v>-1.1999999999999997</v>
      </c>
      <c r="M13" s="15">
        <f>0.8-2.6</f>
        <v>-1.8</v>
      </c>
      <c r="N13" s="15"/>
      <c r="U13" s="14">
        <v>1</v>
      </c>
      <c r="V13" s="14">
        <f>+U13+1</f>
        <v>2</v>
      </c>
      <c r="W13" s="14">
        <f t="shared" ref="W13:AF13" si="20">+V13+1</f>
        <v>3</v>
      </c>
      <c r="X13" s="14">
        <f t="shared" si="20"/>
        <v>4</v>
      </c>
      <c r="Y13" s="14">
        <f t="shared" si="20"/>
        <v>5</v>
      </c>
      <c r="Z13" s="14">
        <f t="shared" si="20"/>
        <v>6</v>
      </c>
      <c r="AA13" s="14">
        <f t="shared" si="20"/>
        <v>7</v>
      </c>
      <c r="AB13" s="14">
        <f t="shared" si="20"/>
        <v>8</v>
      </c>
      <c r="AC13" s="14">
        <f t="shared" si="20"/>
        <v>9</v>
      </c>
      <c r="AD13" s="14">
        <f t="shared" si="20"/>
        <v>10</v>
      </c>
      <c r="AE13" s="14">
        <f t="shared" si="20"/>
        <v>11</v>
      </c>
      <c r="AF13" s="14">
        <f t="shared" si="20"/>
        <v>12</v>
      </c>
    </row>
    <row r="14" spans="1:104" s="14" customFormat="1" x14ac:dyDescent="0.2">
      <c r="B14" s="14" t="s">
        <v>38</v>
      </c>
      <c r="C14" s="15"/>
      <c r="D14" s="15"/>
      <c r="E14" s="15"/>
      <c r="F14" s="15">
        <f t="shared" ref="F14:L14" si="21">+F12+F13</f>
        <v>-16.699999999999996</v>
      </c>
      <c r="G14" s="15">
        <f t="shared" si="21"/>
        <v>-16.699999999999996</v>
      </c>
      <c r="H14" s="15">
        <f t="shared" si="21"/>
        <v>3.3999999999999986</v>
      </c>
      <c r="I14" s="15">
        <f t="shared" si="21"/>
        <v>3.3000000000000016</v>
      </c>
      <c r="J14" s="15">
        <f t="shared" si="21"/>
        <v>-1.0999999999999914</v>
      </c>
      <c r="K14" s="15">
        <f t="shared" si="21"/>
        <v>-16.600000000000001</v>
      </c>
      <c r="L14" s="15">
        <f t="shared" si="21"/>
        <v>-5.1999999999999993</v>
      </c>
      <c r="M14" s="15">
        <f>+M12+M13</f>
        <v>1.4999999999999971</v>
      </c>
      <c r="N14" s="15"/>
      <c r="U14" s="14">
        <f>+U12+U13</f>
        <v>130.48200000000003</v>
      </c>
      <c r="V14" s="14">
        <f t="shared" ref="V14" si="22">+V12+V13</f>
        <v>152.07056999999998</v>
      </c>
      <c r="W14" s="14">
        <f t="shared" ref="W14" si="23">+W12+W13</f>
        <v>171.69940069999998</v>
      </c>
      <c r="X14" s="14">
        <f t="shared" ref="X14" si="24">+X12+X13</f>
        <v>188.97483220699996</v>
      </c>
      <c r="Y14" s="14">
        <f t="shared" ref="Y14" si="25">+Y12+Y13</f>
        <v>218.54445552906998</v>
      </c>
      <c r="Z14" s="14">
        <f t="shared" ref="Z14" si="26">+Z12+Z13</f>
        <v>244.43786258436074</v>
      </c>
      <c r="AA14" s="14">
        <f t="shared" ref="AA14" si="27">+AA12+AA13</f>
        <v>275.13179621020436</v>
      </c>
      <c r="AB14" s="14">
        <f t="shared" ref="AB14" si="28">+AB12+AB13</f>
        <v>294.33644017230642</v>
      </c>
      <c r="AC14" s="14">
        <f t="shared" ref="AC14" si="29">+AC12+AC13</f>
        <v>125.54592317402944</v>
      </c>
      <c r="AD14" s="14">
        <f t="shared" ref="AD14" si="30">+AD12+AD13</f>
        <v>110.44599426576974</v>
      </c>
      <c r="AE14" s="14">
        <f t="shared" ref="AE14" si="31">+AE12+AE13</f>
        <v>110.72391539442742</v>
      </c>
      <c r="AF14" s="14">
        <f t="shared" ref="AF14" si="32">+AF12+AF13</f>
        <v>112.54850066697165</v>
      </c>
    </row>
    <row r="15" spans="1:104" s="14" customFormat="1" x14ac:dyDescent="0.2">
      <c r="B15" s="14" t="s">
        <v>37</v>
      </c>
      <c r="C15" s="15"/>
      <c r="D15" s="15"/>
      <c r="E15" s="15"/>
      <c r="F15" s="15">
        <v>-3.5</v>
      </c>
      <c r="G15" s="15">
        <v>-4.5</v>
      </c>
      <c r="H15" s="15">
        <v>2.1</v>
      </c>
      <c r="I15" s="15">
        <v>-0.2</v>
      </c>
      <c r="J15" s="15">
        <v>0.7</v>
      </c>
      <c r="K15" s="15">
        <v>-4.2</v>
      </c>
      <c r="L15" s="15">
        <v>1.1000000000000001</v>
      </c>
      <c r="M15" s="15">
        <v>2.5</v>
      </c>
      <c r="N15" s="15"/>
      <c r="U15" s="14">
        <f>+U14*0.15</f>
        <v>19.572300000000002</v>
      </c>
      <c r="V15" s="14">
        <f t="shared" ref="V15" si="33">+V14*0.15</f>
        <v>22.810585499999995</v>
      </c>
      <c r="W15" s="14">
        <f t="shared" ref="W15" si="34">+W14*0.15</f>
        <v>25.754910104999997</v>
      </c>
      <c r="X15" s="14">
        <f t="shared" ref="X15" si="35">+X14*0.15</f>
        <v>28.346224831049994</v>
      </c>
      <c r="Y15" s="14">
        <f t="shared" ref="Y15" si="36">+Y14*0.15</f>
        <v>32.781668329360492</v>
      </c>
      <c r="Z15" s="14">
        <f t="shared" ref="Z15" si="37">+Z14*0.15</f>
        <v>36.665679387654109</v>
      </c>
      <c r="AA15" s="14">
        <f t="shared" ref="AA15" si="38">+AA14*0.15</f>
        <v>41.269769431530655</v>
      </c>
      <c r="AB15" s="14">
        <f t="shared" ref="AB15" si="39">+AB14*0.15</f>
        <v>44.150466025845965</v>
      </c>
      <c r="AC15" s="14">
        <f t="shared" ref="AC15" si="40">+AC14*0.15</f>
        <v>18.831888476104414</v>
      </c>
      <c r="AD15" s="14">
        <f t="shared" ref="AD15" si="41">+AD14*0.15</f>
        <v>16.566899139865459</v>
      </c>
      <c r="AE15" s="14">
        <f t="shared" ref="AE15" si="42">+AE14*0.15</f>
        <v>16.608587309164111</v>
      </c>
      <c r="AF15" s="14">
        <f t="shared" ref="AF15" si="43">+AF14*0.15</f>
        <v>16.882275100045746</v>
      </c>
    </row>
    <row r="16" spans="1:104" x14ac:dyDescent="0.2">
      <c r="B16" t="s">
        <v>36</v>
      </c>
      <c r="F16" s="15">
        <f t="shared" ref="F16:L16" si="44">+F14-F15</f>
        <v>-13.199999999999996</v>
      </c>
      <c r="G16" s="15">
        <f t="shared" si="44"/>
        <v>-12.199999999999996</v>
      </c>
      <c r="H16" s="15">
        <f t="shared" si="44"/>
        <v>1.2999999999999985</v>
      </c>
      <c r="I16" s="15">
        <f t="shared" si="44"/>
        <v>3.5000000000000018</v>
      </c>
      <c r="J16" s="15">
        <f t="shared" si="44"/>
        <v>-1.7999999999999914</v>
      </c>
      <c r="K16" s="15">
        <f t="shared" si="44"/>
        <v>-12.400000000000002</v>
      </c>
      <c r="L16" s="15">
        <f t="shared" si="44"/>
        <v>-6.2999999999999989</v>
      </c>
      <c r="M16" s="15">
        <f>+M14-M15</f>
        <v>-1.0000000000000029</v>
      </c>
      <c r="U16" s="14">
        <f>+U14-U15</f>
        <v>110.90970000000003</v>
      </c>
      <c r="V16" s="14">
        <f t="shared" ref="V16" si="45">+V14-V15</f>
        <v>129.25998449999997</v>
      </c>
      <c r="W16" s="14">
        <f t="shared" ref="W16" si="46">+W14-W15</f>
        <v>145.94449059499999</v>
      </c>
      <c r="X16" s="14">
        <f t="shared" ref="X16" si="47">+X14-X15</f>
        <v>160.62860737594997</v>
      </c>
      <c r="Y16" s="14">
        <f t="shared" ref="Y16" si="48">+Y14-Y15</f>
        <v>185.76278719970949</v>
      </c>
      <c r="Z16" s="14">
        <f t="shared" ref="Z16" si="49">+Z14-Z15</f>
        <v>207.77218319670664</v>
      </c>
      <c r="AA16" s="14">
        <f t="shared" ref="AA16" si="50">+AA14-AA15</f>
        <v>233.86202677867371</v>
      </c>
      <c r="AB16" s="14">
        <f t="shared" ref="AB16" si="51">+AB14-AB15</f>
        <v>250.18597414646047</v>
      </c>
      <c r="AC16" s="14">
        <f t="shared" ref="AC16" si="52">+AC14-AC15</f>
        <v>106.71403469792503</v>
      </c>
      <c r="AD16" s="14">
        <f t="shared" ref="AD16" si="53">+AD14-AD15</f>
        <v>93.879095125904286</v>
      </c>
      <c r="AE16" s="14">
        <f t="shared" ref="AE16" si="54">+AE14-AE15</f>
        <v>94.115328085263315</v>
      </c>
      <c r="AF16" s="14">
        <f t="shared" ref="AF16" si="55">+AF14-AF15</f>
        <v>95.666225566925903</v>
      </c>
      <c r="AG16" s="14">
        <f>+AF16*(1+$AI$19)</f>
        <v>90.882914288579599</v>
      </c>
      <c r="AH16" s="14">
        <f t="shared" ref="AH16:CS16" si="56">+AG16*(1+$AI$19)</f>
        <v>86.33876857415062</v>
      </c>
      <c r="AI16" s="14">
        <f t="shared" si="56"/>
        <v>82.02183014544309</v>
      </c>
      <c r="AJ16" s="14">
        <f t="shared" si="56"/>
        <v>77.920738638170931</v>
      </c>
      <c r="AK16" s="14">
        <f t="shared" si="56"/>
        <v>74.024701706262377</v>
      </c>
      <c r="AL16" s="14">
        <f t="shared" si="56"/>
        <v>70.323466620949262</v>
      </c>
      <c r="AM16" s="14">
        <f t="shared" si="56"/>
        <v>66.807293289901793</v>
      </c>
      <c r="AN16" s="14">
        <f t="shared" si="56"/>
        <v>63.466928625406702</v>
      </c>
      <c r="AO16" s="14">
        <f t="shared" si="56"/>
        <v>60.293582194136363</v>
      </c>
      <c r="AP16" s="14">
        <f t="shared" si="56"/>
        <v>57.278903084429544</v>
      </c>
      <c r="AQ16" s="14">
        <f t="shared" si="56"/>
        <v>54.414957930208061</v>
      </c>
      <c r="AR16" s="14">
        <f t="shared" si="56"/>
        <v>51.694210033697658</v>
      </c>
      <c r="AS16" s="14">
        <f t="shared" si="56"/>
        <v>49.109499532012769</v>
      </c>
      <c r="AT16" s="14">
        <f t="shared" si="56"/>
        <v>46.654024555412128</v>
      </c>
      <c r="AU16" s="14">
        <f t="shared" si="56"/>
        <v>44.321323327641522</v>
      </c>
      <c r="AV16" s="14">
        <f t="shared" si="56"/>
        <v>42.105257161259445</v>
      </c>
      <c r="AW16" s="14">
        <f t="shared" si="56"/>
        <v>39.999994303196473</v>
      </c>
      <c r="AX16" s="14">
        <f t="shared" si="56"/>
        <v>37.99999458803665</v>
      </c>
      <c r="AY16" s="14">
        <f t="shared" si="56"/>
        <v>36.099994858634815</v>
      </c>
      <c r="AZ16" s="14">
        <f t="shared" si="56"/>
        <v>34.294995115703074</v>
      </c>
      <c r="BA16" s="14">
        <f t="shared" si="56"/>
        <v>32.580245359917917</v>
      </c>
      <c r="BB16" s="14">
        <f t="shared" si="56"/>
        <v>30.95123309192202</v>
      </c>
      <c r="BC16" s="14">
        <f t="shared" si="56"/>
        <v>29.403671437325919</v>
      </c>
      <c r="BD16" s="14">
        <f t="shared" si="56"/>
        <v>27.933487865459622</v>
      </c>
      <c r="BE16" s="14">
        <f t="shared" si="56"/>
        <v>26.53681347218664</v>
      </c>
      <c r="BF16" s="14">
        <f t="shared" si="56"/>
        <v>25.209972798577308</v>
      </c>
      <c r="BG16" s="14">
        <f t="shared" si="56"/>
        <v>23.949474158648442</v>
      </c>
      <c r="BH16" s="14">
        <f t="shared" si="56"/>
        <v>22.752000450716018</v>
      </c>
      <c r="BI16" s="14">
        <f t="shared" si="56"/>
        <v>21.614400428180215</v>
      </c>
      <c r="BJ16" s="14">
        <f t="shared" si="56"/>
        <v>20.533680406771204</v>
      </c>
      <c r="BK16" s="14">
        <f t="shared" si="56"/>
        <v>19.506996386432643</v>
      </c>
      <c r="BL16" s="14">
        <f t="shared" si="56"/>
        <v>18.531646567111011</v>
      </c>
      <c r="BM16" s="14">
        <f t="shared" si="56"/>
        <v>17.60506423875546</v>
      </c>
      <c r="BN16" s="14">
        <f t="shared" si="56"/>
        <v>16.724811026817687</v>
      </c>
      <c r="BO16" s="14">
        <f t="shared" si="56"/>
        <v>15.888570475476801</v>
      </c>
      <c r="BP16" s="14">
        <f t="shared" si="56"/>
        <v>15.09414195170296</v>
      </c>
      <c r="BQ16" s="14">
        <f t="shared" si="56"/>
        <v>14.339434854117812</v>
      </c>
      <c r="BR16" s="14">
        <f t="shared" si="56"/>
        <v>13.622463111411921</v>
      </c>
      <c r="BS16" s="14">
        <f t="shared" si="56"/>
        <v>12.941339955841325</v>
      </c>
      <c r="BT16" s="14">
        <f t="shared" si="56"/>
        <v>12.294272958049259</v>
      </c>
      <c r="BU16" s="14">
        <f t="shared" si="56"/>
        <v>11.679559310146795</v>
      </c>
      <c r="BV16" s="14">
        <f t="shared" si="56"/>
        <v>11.095581344639454</v>
      </c>
      <c r="BW16" s="14">
        <f t="shared" si="56"/>
        <v>10.540802277407481</v>
      </c>
      <c r="BX16" s="14">
        <f t="shared" si="56"/>
        <v>10.013762163537107</v>
      </c>
      <c r="BY16" s="14">
        <f t="shared" si="56"/>
        <v>9.5130740553602511</v>
      </c>
      <c r="BZ16" s="14">
        <f t="shared" si="56"/>
        <v>9.037420352592239</v>
      </c>
      <c r="CA16" s="14">
        <f t="shared" si="56"/>
        <v>8.5855493349626268</v>
      </c>
      <c r="CB16" s="14">
        <f t="shared" si="56"/>
        <v>8.1562718682144943</v>
      </c>
      <c r="CC16" s="14">
        <f t="shared" si="56"/>
        <v>7.7484582748037694</v>
      </c>
      <c r="CD16" s="14">
        <f t="shared" si="56"/>
        <v>7.3610353610635801</v>
      </c>
      <c r="CE16" s="14">
        <f t="shared" si="56"/>
        <v>6.9929835930104005</v>
      </c>
      <c r="CF16" s="14">
        <f t="shared" si="56"/>
        <v>6.64333441335988</v>
      </c>
      <c r="CG16" s="14">
        <f t="shared" si="56"/>
        <v>6.3111676926918854</v>
      </c>
      <c r="CH16" s="14">
        <f t="shared" si="56"/>
        <v>5.9956093080572908</v>
      </c>
      <c r="CI16" s="14">
        <f t="shared" si="56"/>
        <v>5.6958288426544259</v>
      </c>
      <c r="CJ16" s="14">
        <f t="shared" si="56"/>
        <v>5.4110374005217041</v>
      </c>
      <c r="CK16" s="14">
        <f t="shared" si="56"/>
        <v>5.140485530495619</v>
      </c>
      <c r="CL16" s="14">
        <f t="shared" si="56"/>
        <v>4.8834612539708377</v>
      </c>
      <c r="CM16" s="14">
        <f t="shared" si="56"/>
        <v>4.6392881912722954</v>
      </c>
      <c r="CN16" s="14">
        <f t="shared" si="56"/>
        <v>4.4073237817086808</v>
      </c>
      <c r="CO16" s="14">
        <f t="shared" si="56"/>
        <v>4.186957592623247</v>
      </c>
      <c r="CP16" s="14">
        <f t="shared" si="56"/>
        <v>3.9776097129920842</v>
      </c>
      <c r="CQ16" s="14">
        <f t="shared" si="56"/>
        <v>3.7787292273424797</v>
      </c>
      <c r="CR16" s="14">
        <f t="shared" si="56"/>
        <v>3.5897927659753557</v>
      </c>
      <c r="CS16" s="14">
        <f t="shared" si="56"/>
        <v>3.4103031276765878</v>
      </c>
      <c r="CT16" s="14">
        <f t="shared" ref="CT16:CZ16" si="57">+CS16*(1+$AI$19)</f>
        <v>3.2397879712927584</v>
      </c>
      <c r="CU16" s="14">
        <f t="shared" si="57"/>
        <v>3.0777985727281205</v>
      </c>
      <c r="CV16" s="14">
        <f t="shared" si="57"/>
        <v>2.9239086440917141</v>
      </c>
      <c r="CW16" s="14">
        <f t="shared" si="57"/>
        <v>2.7777132118871282</v>
      </c>
      <c r="CX16" s="14">
        <f t="shared" si="57"/>
        <v>2.6388275512927715</v>
      </c>
      <c r="CY16" s="14">
        <f t="shared" si="57"/>
        <v>2.5068861737281329</v>
      </c>
      <c r="CZ16" s="14">
        <f t="shared" si="57"/>
        <v>2.3815418650417262</v>
      </c>
    </row>
    <row r="17" spans="2:35" x14ac:dyDescent="0.2">
      <c r="L17" s="15"/>
    </row>
    <row r="19" spans="2:35" s="12" customFormat="1" x14ac:dyDescent="0.2">
      <c r="B19" s="12" t="s">
        <v>42</v>
      </c>
      <c r="C19" s="13"/>
      <c r="D19" s="13"/>
      <c r="E19" s="13"/>
      <c r="F19" s="13"/>
      <c r="G19" s="13"/>
      <c r="H19" s="13"/>
      <c r="I19" s="13"/>
      <c r="J19" s="18">
        <f t="shared" ref="J19:L19" si="58">+J5/F5-1</f>
        <v>0.48717948717948723</v>
      </c>
      <c r="K19" s="18">
        <f t="shared" si="58"/>
        <v>0.30823529411764694</v>
      </c>
      <c r="L19" s="18">
        <f t="shared" si="58"/>
        <v>0.3497267759562841</v>
      </c>
      <c r="M19" s="18">
        <f>+M5/I5-1</f>
        <v>0.1214392803598201</v>
      </c>
      <c r="N19" s="13"/>
      <c r="AH19" s="12" t="s">
        <v>43</v>
      </c>
      <c r="AI19" s="20">
        <v>-0.05</v>
      </c>
    </row>
    <row r="20" spans="2:35" x14ac:dyDescent="0.2">
      <c r="AH20" t="s">
        <v>44</v>
      </c>
      <c r="AI20" s="21">
        <v>0.1</v>
      </c>
    </row>
    <row r="21" spans="2:35" s="14" customFormat="1" x14ac:dyDescent="0.2">
      <c r="B21" s="14" t="s">
        <v>40</v>
      </c>
      <c r="C21" s="15"/>
      <c r="D21" s="15"/>
      <c r="E21" s="15"/>
      <c r="F21" s="15"/>
      <c r="G21" s="15"/>
      <c r="H21" s="15"/>
      <c r="I21" s="15"/>
      <c r="J21" s="15"/>
      <c r="K21" s="15">
        <v>-7.6470000000000002</v>
      </c>
      <c r="L21" s="15">
        <f>-20.868-K21</f>
        <v>-13.220999999999998</v>
      </c>
      <c r="M21" s="15">
        <v>9.7420000000000009</v>
      </c>
      <c r="N21" s="15"/>
      <c r="AH21" s="14" t="s">
        <v>45</v>
      </c>
      <c r="AI21" s="14">
        <f>NPV(AI20,V16:CE16)+Main!M5-Main!M6</f>
        <v>1324.6235666220546</v>
      </c>
    </row>
    <row r="22" spans="2:35" x14ac:dyDescent="0.2">
      <c r="AI22" s="1"/>
    </row>
  </sheetData>
  <hyperlinks>
    <hyperlink ref="A1" location="Main!A1" display="Main" xr:uid="{B74497A9-EEFF-45E3-90C2-CF1D38767AD8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2024-10-17T18:09:59Z</dcterms:created>
  <dcterms:modified xsi:type="dcterms:W3CDTF">2025-02-07T14:56:17Z</dcterms:modified>
</cp:coreProperties>
</file>