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81ABC27-1319-4AC7-A925-CA895968BCBD}" xr6:coauthVersionLast="47" xr6:coauthVersionMax="47" xr10:uidLastSave="{00000000-0000-0000-0000-000000000000}"/>
  <bookViews>
    <workbookView xWindow="-28305" yWindow="555" windowWidth="28260" windowHeight="20325" xr2:uid="{17641224-F2C3-441B-B85B-BB32567FE633}"/>
  </bookViews>
  <sheets>
    <sheet name="Main" sheetId="1" r:id="rId1"/>
    <sheet name="Industry Model" sheetId="9" r:id="rId2"/>
    <sheet name="Todo" sheetId="8" r:id="rId3"/>
    <sheet name="Launches" sheetId="6" r:id="rId4"/>
    <sheet name="China" sheetId="5" r:id="rId5"/>
    <sheet name="FX" sheetId="2" r:id="rId6"/>
    <sheet name="Private" sheetId="3" r:id="rId7"/>
    <sheet name="Funds" sheetId="10" r:id="rId8"/>
    <sheet name="Acquisitions" sheetId="4" r:id="rId9"/>
    <sheet name="Bankruptcies" sheetId="11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8" i="1" l="1"/>
  <c r="J428" i="1"/>
  <c r="F428" i="1" s="1"/>
  <c r="H428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7" i="1" l="1"/>
  <c r="J87" i="1"/>
  <c r="F87" i="1" s="1"/>
  <c r="G91" i="1"/>
  <c r="J91" i="1"/>
  <c r="F91" i="1" s="1"/>
  <c r="G79" i="1"/>
  <c r="J79" i="1"/>
  <c r="F79" i="1" s="1"/>
  <c r="O48" i="6"/>
  <c r="N48" i="6"/>
  <c r="M48" i="6"/>
  <c r="H87" i="1" l="1"/>
  <c r="H91" i="1"/>
  <c r="H79" i="1"/>
  <c r="G250" i="1"/>
  <c r="J250" i="1"/>
  <c r="F250" i="1" s="1"/>
  <c r="G106" i="1"/>
  <c r="F106" i="1"/>
  <c r="H106" i="1" l="1"/>
  <c r="H250" i="1"/>
  <c r="G99" i="1" l="1"/>
  <c r="J99" i="1"/>
  <c r="F99" i="1" s="1"/>
  <c r="H99" i="1" l="1"/>
  <c r="G244" i="1" l="1"/>
  <c r="J244" i="1"/>
  <c r="F244" i="1" s="1"/>
  <c r="H244" i="1" l="1"/>
  <c r="G98" i="1"/>
  <c r="J98" i="1"/>
  <c r="F98" i="1" s="1"/>
  <c r="H98" i="1" l="1"/>
  <c r="G95" i="1"/>
  <c r="J95" i="1"/>
  <c r="F95" i="1" s="1"/>
  <c r="H95" i="1" l="1"/>
  <c r="G108" i="1"/>
  <c r="J108" i="1"/>
  <c r="F108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4" i="1" l="1"/>
  <c r="H94" i="1" s="1"/>
  <c r="J94" i="1"/>
  <c r="G76" i="1"/>
  <c r="J76" i="1"/>
  <c r="F76" i="1" s="1"/>
  <c r="H76" i="1" l="1"/>
  <c r="G217" i="1" l="1"/>
  <c r="J217" i="1"/>
  <c r="F217" i="1" s="1"/>
  <c r="H217" i="1" l="1"/>
  <c r="G218" i="1"/>
  <c r="J218" i="1"/>
  <c r="F218" i="1" s="1"/>
  <c r="G316" i="1"/>
  <c r="J316" i="1"/>
  <c r="F316" i="1" s="1"/>
  <c r="H218" i="1" l="1"/>
  <c r="H316" i="1"/>
  <c r="G214" i="1"/>
  <c r="J214" i="1"/>
  <c r="F214" i="1" s="1"/>
  <c r="H214" i="1" l="1"/>
  <c r="G426" i="1"/>
  <c r="J426" i="1"/>
  <c r="F426" i="1" s="1"/>
  <c r="H426" i="1" l="1"/>
  <c r="G427" i="1"/>
  <c r="J427" i="1"/>
  <c r="F427" i="1" s="1"/>
  <c r="G317" i="1"/>
  <c r="J317" i="1"/>
  <c r="F317" i="1" s="1"/>
  <c r="G109" i="1"/>
  <c r="J109" i="1"/>
  <c r="F109" i="1" s="1"/>
  <c r="H109" i="1" l="1"/>
  <c r="H317" i="1"/>
  <c r="H427" i="1"/>
  <c r="G73" i="1"/>
  <c r="J73" i="1"/>
  <c r="F73" i="1" s="1"/>
  <c r="H73" i="1" l="1"/>
  <c r="G82" i="1"/>
  <c r="J82" i="1"/>
  <c r="F82" i="1" s="1"/>
  <c r="G69" i="1"/>
  <c r="J69" i="1"/>
  <c r="G74" i="1"/>
  <c r="J74" i="1"/>
  <c r="F74" i="1" s="1"/>
  <c r="H82" i="1" l="1"/>
  <c r="H74" i="1"/>
  <c r="F69" i="1" l="1"/>
  <c r="H69" i="1" s="1"/>
  <c r="G117" i="1" l="1"/>
  <c r="F117" i="1"/>
  <c r="H117" i="1" l="1"/>
  <c r="G324" i="1" l="1"/>
  <c r="J324" i="1"/>
  <c r="F324" i="1" s="1"/>
  <c r="H324" i="1" l="1"/>
  <c r="G63" i="1"/>
  <c r="J63" i="1"/>
  <c r="F63" i="1" s="1"/>
  <c r="I114" i="1"/>
  <c r="K114" i="1"/>
  <c r="H63" i="1" l="1"/>
  <c r="G115" i="1"/>
  <c r="J115" i="1"/>
  <c r="F115" i="1" s="1"/>
  <c r="H108" i="1"/>
  <c r="H115" i="1" l="1"/>
  <c r="G118" i="1"/>
  <c r="J118" i="1"/>
  <c r="F118" i="1" s="1"/>
  <c r="G54" i="1"/>
  <c r="J54" i="1"/>
  <c r="F54" i="1" s="1"/>
  <c r="H118" i="1" l="1"/>
  <c r="H54" i="1"/>
  <c r="G226" i="1"/>
  <c r="J226" i="1"/>
  <c r="F226" i="1" s="1"/>
  <c r="H226" i="1" l="1"/>
  <c r="G322" i="1" l="1"/>
  <c r="J322" i="1"/>
  <c r="F322" i="1" s="1"/>
  <c r="G88" i="1"/>
  <c r="H322" i="1" l="1"/>
  <c r="J88" i="1"/>
  <c r="F88" i="1" s="1"/>
  <c r="H88" i="1" s="1"/>
  <c r="G211" i="1"/>
  <c r="J211" i="1"/>
  <c r="F211" i="1" s="1"/>
  <c r="H211" i="1" l="1"/>
  <c r="G319" i="1" l="1"/>
  <c r="J319" i="1"/>
  <c r="F319" i="1" s="1"/>
  <c r="G84" i="1"/>
  <c r="J84" i="1"/>
  <c r="F84" i="1" s="1"/>
  <c r="H319" i="1" l="1"/>
  <c r="H84" i="1"/>
  <c r="G213" i="1"/>
  <c r="J213" i="1"/>
  <c r="F213" i="1" s="1"/>
  <c r="H213" i="1" l="1"/>
  <c r="G321" i="1" l="1"/>
  <c r="J321" i="1"/>
  <c r="F321" i="1" s="1"/>
  <c r="H321" i="1" l="1"/>
  <c r="G100" i="1"/>
  <c r="J100" i="1"/>
  <c r="F100" i="1" s="1"/>
  <c r="H100" i="1" l="1"/>
  <c r="J119" i="1" l="1"/>
  <c r="F119" i="1" s="1"/>
  <c r="G119" i="1"/>
  <c r="H119" i="1" l="1"/>
  <c r="J102" i="1"/>
  <c r="F102" i="1" s="1"/>
  <c r="G102" i="1"/>
  <c r="G251" i="1"/>
  <c r="J251" i="1"/>
  <c r="F251" i="1" s="1"/>
  <c r="H102" i="1" l="1"/>
  <c r="H251" i="1"/>
  <c r="P5" i="1"/>
  <c r="O5" i="1"/>
  <c r="L5" i="1"/>
  <c r="M5" i="1" s="1"/>
  <c r="G80" i="1" l="1"/>
  <c r="J80" i="1"/>
  <c r="F80" i="1" s="1"/>
  <c r="H80" i="1" l="1"/>
  <c r="G222" i="1"/>
  <c r="J222" i="1"/>
  <c r="F222" i="1" s="1"/>
  <c r="G320" i="1"/>
  <c r="J320" i="1"/>
  <c r="F320" i="1" s="1"/>
  <c r="H222" i="1" l="1"/>
  <c r="H320" i="1"/>
  <c r="G107" i="1"/>
  <c r="J107" i="1"/>
  <c r="F107" i="1" s="1"/>
  <c r="G75" i="1"/>
  <c r="J75" i="1"/>
  <c r="F75" i="1" s="1"/>
  <c r="H107" i="1" l="1"/>
  <c r="H75" i="1"/>
  <c r="G62" i="1" l="1"/>
  <c r="J62" i="1"/>
  <c r="F62" i="1" s="1"/>
  <c r="G53" i="1"/>
  <c r="J53" i="1"/>
  <c r="F53" i="1" s="1"/>
  <c r="H62" i="1" l="1"/>
  <c r="H53" i="1"/>
  <c r="G113" i="1"/>
  <c r="J113" i="1" l="1"/>
  <c r="F113" i="1" s="1"/>
  <c r="H113" i="1" s="1"/>
  <c r="G105" i="1"/>
  <c r="J105" i="1"/>
  <c r="F105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3" i="1"/>
  <c r="J103" i="1"/>
  <c r="F103" i="1" s="1"/>
  <c r="G77" i="1"/>
  <c r="J77" i="1"/>
  <c r="F77" i="1" s="1"/>
  <c r="H105" i="1" l="1"/>
  <c r="H67" i="1"/>
  <c r="H35" i="1"/>
  <c r="H77" i="1"/>
  <c r="H55" i="1"/>
  <c r="H56" i="1"/>
  <c r="H103" i="1"/>
  <c r="J90" i="1" l="1"/>
  <c r="F90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9" i="1" l="1"/>
  <c r="J209" i="1"/>
  <c r="F209" i="1" s="1"/>
  <c r="H209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5" i="1" l="1"/>
  <c r="F425" i="1" s="1"/>
  <c r="G425" i="1"/>
  <c r="H425" i="1" l="1"/>
  <c r="J96" i="1"/>
  <c r="F96" i="1" s="1"/>
  <c r="G96" i="1"/>
  <c r="H96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3" i="1" l="1"/>
  <c r="J93" i="1"/>
  <c r="F93" i="1" s="1"/>
  <c r="G27" i="1"/>
  <c r="H93" i="1" l="1"/>
  <c r="G158" i="1"/>
  <c r="J158" i="1"/>
  <c r="F158" i="1" s="1"/>
  <c r="G157" i="1"/>
  <c r="J157" i="1"/>
  <c r="F157" i="1" s="1"/>
  <c r="H158" i="1" l="1"/>
  <c r="H157" i="1"/>
  <c r="J110" i="1"/>
  <c r="F110" i="1" s="1"/>
  <c r="G110" i="1"/>
  <c r="F12" i="5" a="1"/>
  <c r="F12" i="5" s="1"/>
  <c r="G318" i="1"/>
  <c r="J318" i="1"/>
  <c r="F318" i="1" s="1"/>
  <c r="G323" i="1"/>
  <c r="J323" i="1"/>
  <c r="E323" i="1"/>
  <c r="H110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59" i="1"/>
  <c r="F159" i="1" s="1"/>
  <c r="G159" i="1"/>
  <c r="H159" i="1" l="1"/>
  <c r="G101" i="1"/>
  <c r="J101" i="1"/>
  <c r="F101" i="1" s="1"/>
  <c r="H101" i="1" l="1"/>
  <c r="J89" i="1"/>
  <c r="F89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3" i="1"/>
  <c r="G48" i="1" l="1"/>
  <c r="G47" i="1"/>
  <c r="J48" i="1"/>
  <c r="F48" i="1" s="1"/>
  <c r="J47" i="1"/>
  <c r="F47" i="1" s="1"/>
  <c r="G116" i="1"/>
  <c r="J116" i="1"/>
  <c r="F116" i="1" s="1"/>
  <c r="G66" i="1"/>
  <c r="J66" i="1"/>
  <c r="F66" i="1" s="1"/>
  <c r="G104" i="1"/>
  <c r="J104" i="1"/>
  <c r="F104" i="1" s="1"/>
  <c r="H116" i="1" l="1"/>
  <c r="H48" i="1"/>
  <c r="H47" i="1"/>
  <c r="H66" i="1"/>
  <c r="H104" i="1"/>
  <c r="G51" i="1"/>
  <c r="J51" i="1"/>
  <c r="F51" i="1" s="1"/>
  <c r="J44" i="1"/>
  <c r="F44" i="1" s="1"/>
  <c r="H51" i="1" l="1"/>
  <c r="H44" i="1"/>
  <c r="J71" i="1"/>
  <c r="F71" i="1" s="1"/>
  <c r="G71" i="1"/>
  <c r="H71" i="1" l="1"/>
  <c r="J16" i="1" l="1"/>
  <c r="G112" i="1" l="1"/>
  <c r="J112" i="1"/>
  <c r="F112" i="1" s="1"/>
  <c r="H112" i="1" l="1"/>
  <c r="G212" i="1"/>
  <c r="J212" i="1"/>
  <c r="F212" i="1" s="1"/>
  <c r="H212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0" i="1"/>
  <c r="J32" i="1"/>
  <c r="F32" i="1" s="1" a="1"/>
  <c r="F32" i="1" s="1"/>
  <c r="H32" i="1" s="1"/>
  <c r="F204" i="1"/>
  <c r="H50" i="1" l="1"/>
  <c r="H90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5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6" i="1" l="1"/>
  <c r="J216" i="1"/>
  <c r="F216" i="1" s="1"/>
  <c r="J111" i="1"/>
  <c r="F111" i="1" s="1"/>
  <c r="G111" i="1"/>
  <c r="G156" i="1"/>
  <c r="J156" i="1"/>
  <c r="F156" i="1" s="1"/>
  <c r="H216" i="1" l="1"/>
  <c r="H156" i="1"/>
  <c r="H111" i="1"/>
  <c r="J28" i="1"/>
  <c r="F28" i="1" s="1"/>
  <c r="H28" i="1" s="1"/>
  <c r="J27" i="1"/>
  <c r="F27" i="1" s="1"/>
  <c r="H27" i="1" s="1"/>
  <c r="J24" i="1"/>
  <c r="J25" i="1" s="1"/>
  <c r="G239" i="1" l="1"/>
  <c r="J239" i="1"/>
  <c r="F239" i="1" s="1"/>
  <c r="G92" i="1"/>
  <c r="J92" i="1"/>
  <c r="F92" i="1" s="1"/>
  <c r="H92" i="1" l="1"/>
  <c r="H239" i="1"/>
  <c r="J97" i="1"/>
  <c r="F97" i="1" s="1"/>
  <c r="H97" i="1" s="1"/>
  <c r="B11" i="1" l="1"/>
  <c r="B12" i="1" s="1"/>
  <c r="J59" i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45" i="1"/>
  <c r="J245" i="1"/>
  <c r="F245" i="1" s="1"/>
  <c r="G86" i="1"/>
  <c r="J86" i="1"/>
  <c r="F86" i="1" s="1"/>
  <c r="H86" i="1" l="1"/>
  <c r="H245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2" i="1" l="1"/>
  <c r="J72" i="1"/>
  <c r="F72" i="1" s="1"/>
  <c r="H72" i="1" l="1"/>
  <c r="G215" i="1"/>
  <c r="F215" i="1"/>
  <c r="H215" i="1" l="1"/>
  <c r="H58" i="1" l="1"/>
  <c r="G210" i="1"/>
  <c r="F210" i="1"/>
  <c r="F22" i="1"/>
  <c r="G22" i="1"/>
  <c r="H210" i="1" l="1"/>
  <c r="H22" i="1"/>
  <c r="G241" i="1"/>
  <c r="F241" i="1"/>
  <c r="H37" i="1" l="1"/>
  <c r="H241" i="1"/>
  <c r="G89" i="1"/>
  <c r="H89" i="1" l="1"/>
  <c r="F7" i="1"/>
  <c r="G52" i="1" l="1"/>
  <c r="H52" i="1" l="1"/>
  <c r="G249" i="1"/>
  <c r="F249" i="1"/>
  <c r="G248" i="1"/>
  <c r="F248" i="1"/>
  <c r="G247" i="1"/>
  <c r="F247" i="1"/>
  <c r="G246" i="1"/>
  <c r="F246" i="1"/>
  <c r="G243" i="1"/>
  <c r="F243" i="1"/>
  <c r="G242" i="1"/>
  <c r="F242" i="1"/>
  <c r="G240" i="1"/>
  <c r="F240" i="1"/>
  <c r="G238" i="1"/>
  <c r="F238" i="1"/>
  <c r="H5" i="1"/>
  <c r="H7" i="1"/>
  <c r="F2" i="1" l="1"/>
  <c r="H248" i="1"/>
  <c r="H25" i="1"/>
  <c r="H12" i="1"/>
  <c r="H247" i="1"/>
  <c r="H249" i="1"/>
  <c r="H17" i="1"/>
  <c r="H242" i="1"/>
  <c r="H24" i="1"/>
  <c r="H243" i="1"/>
  <c r="H15" i="1"/>
  <c r="H238" i="1"/>
  <c r="H240" i="1"/>
  <c r="H14" i="1"/>
  <c r="H19" i="1"/>
  <c r="H246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l="1"/>
  <c r="B69" i="1" s="1"/>
  <c r="B70" i="1" s="1"/>
  <c r="B71" i="1" s="1"/>
  <c r="B72" i="1" s="1"/>
  <c r="B73" i="1" s="1"/>
  <c r="B4" i="5"/>
  <c r="B8" i="5" l="1"/>
  <c r="B9" i="5" s="1"/>
  <c r="B74" i="1" l="1"/>
  <c r="B75" i="1" s="1"/>
  <c r="B76" i="1" s="1"/>
  <c r="B77" i="1" s="1"/>
  <c r="B78" i="1" s="1"/>
  <c r="B79" i="1" s="1"/>
  <c r="B80" i="1" s="1"/>
  <c r="B81" i="1" s="1"/>
  <c r="B82" i="1" s="1"/>
  <c r="B83" i="1" l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l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l="1"/>
  <c r="B136" i="1" s="1"/>
  <c r="B10" i="5"/>
  <c r="B137" i="1" l="1"/>
  <c r="B138" i="1" l="1"/>
  <c r="B139" i="1" s="1"/>
  <c r="B141" i="1" l="1"/>
  <c r="B142" i="1" s="1"/>
  <c r="B143" i="1" s="1"/>
  <c r="B140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18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1" i="1" s="1"/>
  <c r="B144" i="1"/>
  <c r="B240" i="1" l="1"/>
  <c r="B241" i="1" s="1"/>
  <c r="B242" i="1" s="1"/>
  <c r="B243" i="1" s="1"/>
  <c r="B245" i="1" s="1"/>
  <c r="B246" i="1" s="1"/>
  <c r="B247" i="1" s="1"/>
  <c r="B248" i="1" s="1"/>
  <c r="B249" i="1" s="1"/>
  <c r="B250" i="1" s="1"/>
  <c r="B251" i="1" s="1"/>
  <c r="B252" i="1" s="1"/>
  <c r="B253" i="1" s="1"/>
  <c r="A28" i="6"/>
  <c r="A29" i="6" s="1"/>
  <c r="A31" i="6" s="1"/>
  <c r="A32" i="6" s="1"/>
  <c r="A33" i="6" s="1"/>
  <c r="A34" i="6" s="1"/>
  <c r="A36" i="6" s="1"/>
  <c r="A30" i="6"/>
  <c r="B254" i="1" l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244" i="1"/>
  <c r="A35" i="6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B399" i="1" l="1"/>
  <c r="B400" i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9" i="1" s="1"/>
  <c r="B430" i="1" s="1"/>
  <c r="B431" i="1" s="1"/>
  <c r="B432" i="1" s="1"/>
  <c r="B433" i="1" s="1"/>
  <c r="B434" i="1" s="1"/>
  <c r="B428" i="1" s="1"/>
  <c r="A52" i="6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<sst xmlns="http://schemas.openxmlformats.org/spreadsheetml/2006/main" count="2052" uniqueCount="1440">
  <si>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</si>
  <si>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</si>
  <si>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</si>
  <si>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</si>
  <si>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</si>
  <si>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</si>
  <si>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</si>
  <si>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</si>
  <si>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</si>
  <si>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</si>
  <si>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</si>
  <si>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</si>
  <si>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</si>
  <si>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</si>
  <si>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</si>
  <si>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</si>
  <si>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</si>
  <si>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</si>
  <si>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</si>
  <si>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</si>
  <si>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</si>
  <si>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</si>
  <si>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</si>
  <si>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</si>
  <si>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</si>
  <si>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</si>
  <si>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</si>
  <si>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</si>
  <si>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</si>
  <si>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</si>
  <si>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</si>
  <si>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</si>
  <si>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</si>
  <si>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</si>
  <si>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</si>
  <si>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</si>
  <si>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</si>
  <si>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</si>
  <si>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</si>
  <si>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</si>
  <si>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</si>
  <si>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</si>
  <si>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</si>
  <si>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</si>
  <si>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</si>
  <si>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</si>
  <si>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</si>
  <si>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</si>
  <si>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</si>
  <si>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</si>
  <si>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</si>
  <si>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</si>
  <si>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</si>
  <si>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</si>
  <si>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</si>
  <si>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</si>
  <si>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</si>
  <si>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</si>
  <si>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</si>
  <si>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</si>
  <si>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</si>
  <si>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</si>
  <si>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</si>
  <si>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</si>
  <si>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</si>
  <si>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</si>
  <si>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</si>
  <si>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</si>
  <si>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</si>
  <si>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</si>
  <si>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</si>
  <si>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</si>
  <si>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</si>
  <si>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</si>
  <si>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</si>
  <si>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</si>
  <si>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</si>
  <si>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</si>
  <si>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</si>
  <si>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</si>
  <si>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</si>
  <si>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</si>
  <si>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</si>
  <si>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</si>
  <si>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</si>
  <si>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</si>
  <si>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</si>
  <si>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</si>
  <si>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</si>
  <si>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</si>
  <si>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</si>
  <si>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</si>
  <si>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</si>
  <si>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</si>
  <si>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</si>
  <si>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</si>
  <si>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</si>
  <si>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</si>
  <si>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</si>
  <si>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</si>
  <si>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</si>
  <si>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</si>
  <si>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</si>
  <si>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</si>
  <si>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</si>
  <si>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</si>
  <si>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</si>
  <si>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</si>
  <si>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</si>
  <si>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</si>
  <si>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</si>
  <si>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</si>
  <si>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</si>
  <si>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</si>
  <si>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</si>
  <si>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</si>
  <si>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</si>
  <si>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</si>
  <si>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</si>
  <si>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</si>
  <si>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</si>
  <si>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</si>
  <si>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</si>
  <si>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</si>
  <si>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</si>
  <si>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</si>
  <si>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</si>
  <si>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</si>
  <si>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</si>
  <si>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</si>
  <si>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</si>
  <si>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</si>
  <si>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</si>
  <si>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</si>
  <si>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</si>
  <si>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</si>
  <si>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</si>
  <si>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</si>
  <si>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</si>
  <si>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</si>
  <si>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</si>
  <si>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</si>
  <si>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</si>
  <si>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</si>
  <si>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</si>
  <si>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</si>
  <si>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</si>
  <si>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</si>
  <si>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</si>
  <si>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</si>
  <si>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</si>
  <si>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</si>
  <si>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</si>
  <si>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</si>
  <si>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</si>
  <si>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</si>
  <si>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</si>
  <si>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</si>
  <si>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</si>
  <si>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</si>
  <si>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</si>
  <si>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</si>
  <si>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</si>
  <si>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</si>
  <si>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</si>
  <si>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</si>
  <si>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</si>
  <si>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</si>
  <si>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</si>
  <si>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</si>
  <si>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</si>
  <si>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</si>
  <si>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</si>
  <si>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</si>
  <si>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</si>
  <si>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</si>
  <si>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</si>
  <si>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</si>
  <si>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</si>
  <si>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</si>
  <si>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</si>
  <si>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</si>
  <si>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</si>
  <si>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</si>
  <si>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</si>
  <si>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</si>
  <si>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</si>
  <si>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</si>
  <si>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</si>
  <si>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</si>
  <si>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</si>
  <si>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</si>
  <si>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</si>
  <si>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</si>
  <si>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</si>
  <si>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</si>
  <si>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</si>
  <si>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</si>
  <si>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</si>
  <si>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</si>
  <si>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</si>
  <si>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</si>
  <si>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</si>
  <si>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</si>
  <si>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</si>
  <si>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</si>
  <si>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</si>
  <si>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</si>
  <si>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</si>
  <si>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</si>
  <si>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</si>
  <si>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</si>
  <si>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</si>
  <si>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</si>
  <si>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</si>
  <si>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</si>
  <si>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</si>
  <si>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</si>
  <si>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</si>
  <si>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</si>
  <si>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</si>
  <si>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</si>
  <si>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</si>
  <si>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</si>
  <si>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</si>
  <si>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</si>
  <si>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</si>
  <si>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</si>
  <si>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</si>
  <si>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</si>
  <si>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</si>
  <si>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</si>
  <si>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</si>
  <si>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</si>
  <si>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</si>
  <si>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</si>
  <si>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</si>
  <si>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</si>
  <si>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</si>
  <si>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</si>
  <si>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</si>
  <si>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</si>
  <si>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</si>
  <si>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</si>
  <si>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</si>
  <si>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</si>
  <si>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</si>
  <si>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</si>
  <si>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</si>
  <si>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</si>
  <si>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</si>
  <si>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</si>
  <si>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</si>
  <si>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</si>
  <si>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</si>
  <si>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</si>
  <si>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</si>
  <si>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</si>
  <si>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</si>
  <si>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</si>
  <si>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</si>
  <si>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</si>
  <si>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</si>
  <si>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</si>
  <si>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</si>
  <si>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</si>
  <si>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</si>
  <si>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</si>
  <si>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</si>
  <si>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</si>
  <si>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</si>
  <si>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</si>
  <si>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</si>
  <si>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</si>
  <si>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</si>
  <si>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</si>
  <si>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</si>
  <si>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</si>
  <si>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</si>
  <si>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</si>
  <si>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</si>
  <si>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</si>
  <si>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</si>
  <si>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</si>
  <si>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</si>
  <si>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</si>
  <si>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</si>
  <si>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</si>
  <si>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</si>
  <si>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</si>
  <si>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</si>
  <si>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</si>
  <si>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</si>
  <si>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</si>
  <si>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</si>
  <si>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</si>
  <si>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</si>
  <si>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</si>
  <si>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</si>
  <si>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</si>
  <si>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</si>
  <si>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</si>
  <si>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</si>
  <si>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</si>
  <si>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</si>
  <si>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</si>
  <si>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</si>
  <si>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</si>
  <si>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</si>
  <si>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</si>
  <si>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</si>
  <si>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</si>
  <si>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</si>
  <si>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</si>
  <si>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</si>
  <si>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</si>
  <si>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</si>
  <si>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</si>
  <si>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</si>
  <si>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</si>
  <si>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</si>
  <si>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</si>
  <si>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</si>
  <si>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</si>
  <si>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</si>
  <si>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</si>
  <si>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</si>
  <si>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</si>
  <si>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</si>
  <si>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</si>
  <si>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</si>
  <si>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</si>
  <si>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</si>
  <si>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</si>
  <si>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</si>
  <si>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</si>
  <si>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</si>
  <si>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</si>
  <si>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</si>
  <si>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</si>
  <si>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</si>
  <si>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</si>
  <si>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</si>
  <si>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</si>
  <si>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</si>
  <si>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</si>
  <si>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</si>
  <si>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</si>
  <si>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</si>
  <si>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</si>
  <si>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</si>
  <si>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</si>
  <si>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</si>
  <si>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</si>
  <si>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</si>
  <si>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</si>
  <si>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</si>
  <si>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</si>
  <si>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</si>
  <si>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</si>
  <si>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</si>
  <si>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</si>
  <si>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</si>
  <si>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</si>
  <si>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</si>
  <si>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</si>
  <si>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</si>
  <si>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</si>
  <si>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</si>
  <si>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</si>
  <si>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</si>
  <si>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</si>
  <si>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</si>
  <si>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</si>
  <si>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</si>
  <si>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</si>
  <si>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</si>
  <si>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</si>
  <si>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</si>
  <si>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</si>
  <si>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</si>
  <si>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</si>
  <si>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</si>
  <si>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</si>
  <si>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</si>
  <si>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</si>
  <si>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</si>
  <si>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</si>
  <si>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</si>
  <si>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</si>
  <si>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</si>
  <si>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</si>
  <si>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</si>
  <si>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</si>
  <si>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</si>
  <si>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</si>
  <si>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</si>
  <si>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</si>
  <si>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</si>
  <si>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</si>
  <si>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</si>
  <si>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</si>
  <si>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</si>
  <si>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</si>
  <si>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</si>
  <si>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</si>
  <si>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</si>
  <si>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</si>
  <si>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</si>
  <si>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</si>
  <si>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</si>
  <si>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</si>
  <si>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</si>
  <si>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</si>
  <si>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</si>
  <si>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</si>
  <si>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</si>
  <si>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</si>
  <si>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</si>
  <si>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</si>
  <si>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</si>
  <si>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</si>
  <si>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</si>
  <si>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</si>
  <si>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</si>
  <si>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</si>
  <si>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</si>
  <si>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</si>
  <si>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</si>
  <si>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</si>
  <si>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</si>
  <si>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</si>
  <si>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</si>
  <si>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</si>
  <si>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</si>
  <si>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</si>
  <si>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</si>
  <si>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</si>
  <si>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</si>
  <si>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</si>
  <si>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</si>
  <si>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</si>
  <si>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</si>
  <si>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</si>
  <si>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</si>
  <si>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</si>
  <si>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</si>
  <si>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</si>
  <si>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</si>
  <si>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</si>
  <si>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</si>
  <si>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</si>
  <si>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</si>
  <si>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</si>
  <si>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</si>
  <si>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</si>
  <si>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</si>
  <si>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</si>
  <si>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</si>
  <si>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</si>
  <si>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</si>
  <si>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</si>
  <si>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</si>
  <si>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</si>
  <si>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</si>
  <si>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</si>
  <si>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</si>
  <si>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</si>
  <si>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</si>
  <si>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</si>
  <si>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</si>
  <si>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</si>
  <si>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</si>
  <si>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</si>
  <si>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</si>
  <si>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</si>
  <si>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</si>
  <si>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</si>
  <si>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</si>
  <si>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</si>
  <si>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</si>
  <si>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</si>
  <si>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</si>
  <si>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</si>
  <si>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</si>
  <si>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</si>
  <si>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</si>
  <si>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</si>
  <si>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</si>
  <si>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</si>
  <si>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</si>
  <si>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</si>
  <si>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</si>
  <si>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</si>
  <si>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</si>
  <si>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</si>
  <si>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</si>
  <si>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</si>
  <si>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</si>
  <si>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</si>
  <si>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</si>
  <si>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</si>
  <si>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</si>
  <si>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</si>
  <si>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</si>
  <si>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</si>
  <si>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</si>
  <si>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</si>
  <si>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</si>
  <si>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</si>
  <si>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</si>
  <si>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</si>
  <si>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</si>
  <si>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</si>
  <si>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</si>
  <si>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</si>
  <si>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</si>
  <si>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</si>
  <si>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</si>
  <si>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</si>
  <si>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</si>
  <si>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</si>
  <si>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</si>
  <si>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</si>
  <si>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</si>
  <si>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</si>
  <si>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</si>
  <si>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</si>
  <si>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</si>
  <si>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</si>
  <si>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</si>
  <si>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</si>
  <si>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</si>
  <si>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</si>
  <si>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</si>
  <si>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</si>
  <si>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</si>
  <si>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</si>
  <si>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</si>
  <si>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</si>
  <si>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</si>
  <si>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</si>
  <si>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</si>
  <si>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</si>
  <si>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</si>
  <si>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</si>
  <si>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</si>
  <si>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</si>
  <si>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</si>
  <si>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</si>
  <si>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</si>
  <si>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</si>
  <si>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</si>
  <si>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</si>
  <si>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</si>
  <si>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</si>
  <si>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</si>
  <si>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</si>
  <si>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</si>
  <si>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</si>
  <si>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</si>
  <si>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</si>
  <si>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</si>
  <si>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</si>
  <si>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</si>
  <si>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</si>
  <si>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</si>
  <si>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</si>
  <si>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</si>
  <si>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</si>
  <si>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</si>
  <si>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</si>
  <si>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</si>
  <si>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</si>
  <si>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</si>
  <si>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</si>
  <si>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</si>
  <si>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</si>
  <si>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</si>
  <si>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</si>
  <si>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</si>
  <si>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</si>
  <si>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</si>
  <si>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</si>
  <si>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</si>
  <si>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</si>
  <si>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</si>
  <si>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</si>
  <si>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</si>
  <si>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</si>
  <si>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</si>
  <si>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</si>
  <si>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</si>
  <si>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</si>
  <si>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</si>
  <si>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</si>
  <si>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</si>
  <si>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</si>
  <si>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</si>
  <si>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</si>
  <si>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</si>
  <si>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</si>
  <si>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</si>
  <si>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</si>
  <si>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</si>
  <si>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</si>
  <si>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</si>
  <si>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</si>
  <si>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</si>
  <si>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</si>
  <si>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</si>
  <si>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</si>
  <si>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</si>
  <si>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</si>
  <si>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</si>
  <si>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</si>
  <si>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</si>
  <si>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</si>
  <si>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</si>
  <si>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</si>
  <si>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</si>
  <si>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</si>
  <si>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</si>
  <si>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</si>
  <si>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</si>
  <si>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</si>
  <si>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</si>
  <si>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</si>
  <si>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</si>
  <si>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</si>
  <si>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</si>
  <si>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</si>
  <si>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</si>
  <si>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</si>
  <si>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</si>
  <si>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</si>
  <si>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</si>
  <si>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</si>
  <si>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</si>
  <si>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</si>
  <si>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</si>
  <si>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</si>
  <si>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</si>
  <si>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</si>
  <si>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</si>
  <si>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</si>
  <si>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</si>
  <si>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</si>
  <si>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</si>
  <si>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</si>
  <si>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</si>
  <si>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</si>
  <si>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</si>
  <si>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</si>
  <si>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</si>
  <si>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</si>
  <si>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</si>
  <si>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</si>
  <si>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</si>
  <si>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</si>
  <si>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</si>
  <si>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</si>
  <si>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</si>
  <si>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</si>
  <si>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</si>
  <si>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</si>
  <si>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</si>
  <si>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</si>
  <si>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</si>
  <si>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</si>
  <si>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</si>
  <si>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</si>
  <si>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</si>
  <si>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</si>
  <si>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</si>
  <si>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</si>
  <si>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</si>
  <si>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</si>
  <si>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</si>
  <si>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</si>
  <si>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</si>
  <si>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</si>
  <si>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</si>
  <si>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</si>
  <si>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</si>
  <si>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</si>
  <si>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</si>
  <si>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</si>
  <si>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</si>
  <si>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</si>
  <si>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</si>
  <si>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</si>
  <si>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</si>
  <si>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</si>
  <si>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</si>
  <si>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</si>
  <si>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</si>
  <si>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</si>
  <si>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</si>
  <si>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</si>
  <si>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</si>
  <si>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</si>
  <si>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</si>
  <si>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</si>
  <si>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</si>
  <si>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</si>
  <si>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</si>
  <si>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</si>
  <si>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</si>
  <si>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</si>
  <si>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</si>
  <si>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</si>
  <si>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</si>
  <si>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</si>
  <si>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</si>
  <si>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</si>
  <si>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</si>
  <si>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</si>
  <si>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</si>
  <si>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</si>
  <si>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</si>
  <si>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</si>
  <si>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</si>
  <si>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</si>
  <si>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</si>
  <si>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</si>
  <si>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</si>
  <si>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</si>
  <si>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</si>
  <si>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</si>
  <si>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</si>
  <si>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</si>
  <si>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</si>
  <si>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</si>
  <si>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</si>
  <si>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</si>
  <si>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</si>
  <si>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</si>
  <si>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</si>
  <si>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</si>
  <si>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</si>
  <si>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</si>
  <si>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</si>
  <si>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</si>
  <si>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</si>
  <si>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</si>
  <si>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</si>
  <si>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</si>
  <si>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</si>
  <si>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</si>
  <si>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</si>
  <si>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</si>
  <si>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</si>
  <si>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</si>
  <si>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</si>
  <si>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</si>
  <si>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</si>
  <si>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</si>
  <si>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</si>
  <si>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</si>
  <si>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</si>
  <si>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</si>
  <si>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</si>
  <si>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</si>
  <si>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</si>
  <si>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</si>
  <si>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</si>
  <si>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</si>
  <si>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</si>
  <si>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</si>
  <si>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</si>
  <si>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</si>
  <si>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</si>
  <si>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</si>
  <si>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</si>
  <si>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</si>
  <si>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</si>
  <si>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</si>
  <si>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</si>
  <si>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</si>
  <si>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</si>
  <si>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</si>
  <si>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</si>
  <si>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</si>
  <si>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</si>
  <si>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</si>
  <si>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</si>
  <si>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</si>
  <si>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</si>
  <si>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</si>
  <si>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</si>
  <si>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</si>
  <si>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</si>
  <si>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</si>
  <si>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</si>
  <si>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</si>
  <si>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</si>
  <si>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</si>
  <si>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</si>
  <si>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</si>
  <si>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</si>
  <si>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</si>
  <si>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</si>
  <si>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</si>
  <si>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</si>
  <si>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</si>
  <si>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</si>
  <si>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</si>
  <si>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</si>
  <si>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</si>
  <si>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</si>
  <si>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</si>
  <si>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</si>
  <si>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</si>
  <si>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</si>
  <si>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</si>
  <si>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</si>
  <si>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</si>
  <si>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</si>
  <si>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</si>
  <si>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</si>
  <si>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</si>
  <si>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</si>
  <si>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</si>
  <si>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</si>
  <si>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</si>
  <si>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</si>
  <si>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</si>
  <si>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</si>
  <si>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</si>
  <si>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</si>
  <si>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</si>
  <si>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</si>
  <si>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</si>
  <si>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</si>
  <si>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</si>
  <si>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</si>
  <si>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</si>
  <si>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</si>
  <si>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</si>
  <si>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</si>
  <si>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</si>
  <si>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</si>
  <si>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</si>
  <si>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</si>
  <si>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</si>
  <si>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</si>
  <si>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</si>
  <si>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</si>
  <si>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</si>
  <si>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</si>
  <si>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</si>
  <si>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</si>
  <si>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</si>
  <si>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</si>
  <si>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</si>
  <si>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</si>
  <si>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</si>
  <si>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</si>
  <si>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</si>
  <si>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</si>
  <si>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</si>
  <si>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</si>
  <si>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</si>
  <si>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</si>
  <si>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</si>
  <si>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</si>
  <si>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</si>
  <si>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</si>
  <si>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</si>
  <si>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</si>
  <si>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</si>
  <si>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</si>
  <si>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</si>
  <si>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</si>
  <si>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</si>
  <si>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</si>
  <si>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</si>
  <si>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</si>
  <si>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</si>
  <si>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</si>
  <si>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</si>
  <si>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</si>
  <si>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</si>
  <si>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</si>
  <si>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</si>
  <si>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</si>
  <si>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</si>
  <si>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</si>
  <si>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</si>
  <si>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</si>
  <si>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</si>
  <si>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</si>
  <si>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</si>
  <si>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</si>
  <si>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</si>
  <si>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</si>
  <si>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</si>
  <si>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</si>
  <si>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</si>
  <si>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</si>
  <si>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</si>
  <si>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</si>
  <si>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</si>
  <si>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</si>
  <si>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</si>
  <si>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</si>
  <si>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</si>
  <si>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</si>
  <si>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</si>
  <si>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</si>
  <si>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</si>
  <si>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</si>
  <si>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</si>
  <si>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</si>
  <si>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</si>
  <si>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</si>
  <si>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</si>
  <si>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</si>
  <si>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</si>
  <si>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</si>
  <si>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</si>
  <si>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</si>
  <si>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</si>
  <si>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</si>
  <si>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</si>
  <si>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</si>
  <si>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</si>
  <si>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</si>
  <si>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</si>
  <si>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</si>
  <si>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</si>
  <si>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</si>
  <si>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</si>
  <si>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</si>
  <si>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</si>
  <si>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</si>
  <si>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</si>
  <si>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</si>
  <si>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</si>
  <si>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</si>
  <si>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</si>
  <si>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</si>
  <si>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</si>
  <si>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</si>
  <si>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</si>
  <si>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</si>
  <si>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</si>
  <si>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</si>
  <si>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</si>
  <si>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</si>
  <si>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</si>
  <si>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</si>
  <si>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</si>
  <si>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</si>
  <si>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</si>
  <si>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</si>
  <si>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</si>
  <si>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</si>
  <si>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</si>
  <si>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</si>
  <si>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</si>
  <si>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</si>
  <si>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</si>
  <si>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</si>
  <si>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</si>
  <si>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</si>
  <si>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</si>
  <si>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</si>
  <si>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</si>
  <si>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</si>
  <si>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</si>
  <si>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</si>
  <si>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</si>
  <si>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</si>
  <si>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</si>
  <si>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</si>
  <si>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</si>
  <si>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</si>
  <si>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</si>
  <si>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</si>
  <si>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</si>
  <si>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</si>
  <si>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</si>
  <si>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</si>
  <si>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</si>
  <si>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</si>
  <si>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</si>
  <si>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</si>
  <si>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</si>
  <si>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</si>
  <si>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</si>
  <si>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</si>
  <si>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</si>
  <si>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</si>
  <si>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</si>
  <si>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</si>
  <si>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</si>
  <si>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</si>
  <si>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</si>
  <si>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</si>
  <si>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</si>
  <si>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</si>
  <si>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</si>
  <si>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</si>
  <si>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</si>
  <si>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</si>
  <si>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</si>
  <si>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</si>
  <si>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</si>
  <si>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</si>
  <si>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</si>
  <si>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</si>
  <si>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</si>
  <si>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</si>
  <si>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</si>
  <si>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</si>
  <si>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</si>
  <si>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</si>
  <si>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</si>
  <si>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</si>
  <si>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</si>
  <si>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</si>
  <si>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</si>
  <si>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</si>
  <si>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</si>
  <si>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</si>
  <si>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</si>
  <si>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</si>
  <si>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</si>
  <si>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</si>
  <si>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</si>
  <si>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</si>
  <si>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</si>
  <si>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</si>
  <si>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</si>
  <si>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</si>
  <si>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</si>
  <si>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</si>
  <si>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</si>
  <si>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</si>
  <si>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</si>
  <si>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</si>
  <si>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</si>
  <si>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</si>
  <si>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</si>
  <si>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</si>
  <si>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</si>
  <si>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</si>
  <si>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</si>
  <si>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</si>
  <si>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</si>
  <si>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</si>
  <si>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</si>
  <si>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</si>
  <si>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</si>
  <si>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</si>
  <si>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</si>
  <si>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</si>
  <si>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</si>
  <si>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</si>
  <si>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</si>
  <si>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</si>
  <si>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</si>
  <si>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</si>
  <si>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</si>
  <si>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</si>
  <si>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</si>
  <si>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</si>
  <si>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</si>
  <si>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</si>
  <si>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</si>
  <si>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</si>
  <si>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</si>
  <si>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</si>
  <si>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</si>
  <si>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</si>
  <si>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</si>
  <si>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</si>
  <si>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</si>
  <si>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</si>
  <si>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</si>
  <si>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</si>
  <si>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</si>
  <si>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</si>
  <si>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</si>
  <si>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</si>
  <si>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</si>
  <si>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</si>
  <si>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</si>
  <si>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</si>
  <si>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</si>
  <si>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</si>
  <si>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</si>
  <si>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</si>
  <si>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</si>
  <si>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</si>
  <si>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</si>
  <si>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</si>
  <si>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</si>
  <si>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</si>
  <si>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</si>
  <si>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</si>
  <si>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</si>
  <si>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</si>
  <si>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</si>
  <si>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</si>
  <si>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</si>
  <si>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</si>
  <si>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</si>
  <si>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</si>
  <si>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</si>
  <si>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</si>
  <si>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</si>
  <si>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</si>
  <si>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</si>
  <si>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</si>
  <si>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</si>
  <si>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</si>
  <si>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</si>
  <si>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</si>
  <si>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</si>
  <si>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</si>
  <si>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</si>
  <si>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</si>
  <si>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</si>
  <si>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</si>
  <si>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</si>
  <si>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</si>
  <si>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</si>
  <si>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</si>
  <si>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</si>
  <si>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</si>
  <si>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</si>
  <si>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</si>
  <si>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</si>
  <si>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</si>
  <si>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</si>
  <si>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</si>
  <si>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</si>
  <si>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</si>
  <si>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</si>
  <si>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</si>
  <si>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</si>
  <si>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</si>
  <si>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</si>
  <si>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</si>
  <si>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</si>
  <si>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</si>
  <si>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</si>
  <si>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</si>
  <si>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</si>
  <si>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</si>
  <si>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</si>
  <si>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</si>
  <si>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</si>
  <si>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</si>
  <si>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</si>
  <si>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</si>
  <si>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</si>
  <si>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</si>
  <si>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</si>
  <si>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</si>
  <si>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</si>
  <si>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</si>
  <si>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</si>
  <si>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</si>
  <si>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</si>
  <si>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</si>
  <si>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</si>
  <si>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</si>
  <si>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</si>
  <si>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</si>
  <si>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</si>
  <si>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</si>
  <si>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</si>
  <si>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</si>
  <si>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</si>
  <si>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</si>
  <si>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</si>
  <si>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</si>
  <si>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</si>
  <si>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</si>
  <si>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</si>
  <si>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</si>
  <si>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</si>
  <si>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</si>
  <si>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</si>
  <si>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</si>
  <si>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</si>
  <si>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</si>
  <si>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</si>
  <si>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</si>
  <si>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</si>
  <si>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</si>
  <si>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</si>
  <si>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</si>
  <si>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</si>
  <si>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</si>
  <si>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</si>
  <si>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</si>
  <si>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</si>
  <si>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</si>
  <si>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</si>
  <si>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</si>
  <si>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</si>
  <si>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</si>
  <si>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</si>
  <si>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</si>
  <si>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</si>
  <si>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</si>
  <si>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</si>
  <si>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</si>
  <si>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</si>
  <si>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</si>
  <si>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</si>
  <si>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</si>
  <si>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</si>
  <si>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</si>
  <si>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</si>
  <si>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</si>
  <si>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</si>
  <si>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</si>
  <si>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</si>
  <si>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</si>
  <si>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</si>
  <si>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</si>
  <si>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</si>
  <si>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</si>
  <si>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</si>
  <si>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</si>
  <si>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</si>
  <si>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</si>
  <si>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</si>
  <si>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</si>
  <si>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</si>
  <si>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</si>
  <si>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</si>
  <si>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</si>
  <si>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</si>
  <si>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</si>
  <si>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</si>
  <si>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</si>
  <si>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</si>
  <si>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</si>
  <si>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</si>
  <si>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</si>
  <si>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</si>
  <si>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</si>
  <si>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</si>
  <si>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</si>
  <si>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</si>
  <si>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</si>
  <si>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</si>
  <si>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</si>
  <si>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</si>
  <si>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</si>
  <si>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</si>
  <si>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</si>
  <si>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</si>
  <si>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</si>
  <si>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</si>
  <si>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</si>
  <si>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</si>
  <si>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</si>
  <si>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</si>
  <si>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</si>
  <si>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</si>
  <si>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</si>
  <si>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</si>
  <si>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</si>
  <si>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</si>
  <si>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</si>
  <si>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</si>
  <si>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</si>
  <si>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</si>
  <si>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</si>
  <si>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</si>
  <si>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</si>
  <si>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</si>
  <si>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</si>
  <si>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</si>
  <si>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</si>
  <si>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</si>
  <si>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</si>
  <si>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</si>
  <si>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</si>
  <si>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</si>
  <si>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</si>
  <si>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</si>
  <si>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</si>
  <si>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</si>
  <si>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</si>
  <si>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</si>
  <si>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</si>
  <si>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</si>
  <si>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</si>
  <si>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</si>
  <si>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</si>
  <si>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</si>
  <si>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</si>
  <si>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</si>
  <si>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</si>
  <si>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</si>
  <si>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</si>
  <si>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</si>
  <si>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</si>
  <si>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</si>
  <si>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</si>
  <si>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</si>
  <si>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</si>
  <si>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</si>
  <si>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</si>
  <si>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</si>
  <si>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</si>
  <si>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</si>
  <si>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</si>
  <si>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</si>
  <si>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</si>
  <si>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</si>
  <si>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</si>
  <si>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</si>
  <si>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</si>
  <si>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</si>
  <si>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</si>
  <si>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</si>
  <si>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</si>
  <si>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</si>
  <si>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</si>
  <si>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</si>
  <si>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</si>
  <si>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</si>
  <si>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</si>
  <si>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</si>
  <si>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</si>
  <si>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</si>
  <si>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</si>
  <si>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</si>
  <si>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</si>
  <si>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</si>
  <si>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</si>
  <si>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</si>
  <si>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</si>
  <si>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</si>
  <si>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</si>
  <si>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</si>
  <si>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</si>
  <si>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</si>
  <si>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</si>
  <si>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</si>
  <si>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</si>
  <si>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</si>
  <si>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</si>
  <si>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</si>
  <si>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</si>
  <si>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</si>
  <si>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</si>
  <si>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</si>
  <si>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</si>
  <si>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</si>
  <si>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</si>
  <si>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</si>
  <si>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</si>
  <si>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</si>
  <si>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HURA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</si>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</sst>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7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63" Type="http://schemas.openxmlformats.org/officeDocument/2006/relationships/externalLink" Target="externalLinks/externalLink53.xml"/><Relationship Id="rId84" Type="http://schemas.openxmlformats.org/officeDocument/2006/relationships/externalLink" Target="externalLinks/externalLink74.xml"/><Relationship Id="rId138" Type="http://schemas.openxmlformats.org/officeDocument/2006/relationships/externalLink" Target="externalLinks/externalLink128.xml"/><Relationship Id="rId159" Type="http://schemas.openxmlformats.org/officeDocument/2006/relationships/externalLink" Target="externalLinks/externalLink149.xml"/><Relationship Id="rId107" Type="http://schemas.openxmlformats.org/officeDocument/2006/relationships/externalLink" Target="externalLinks/externalLink97.xml"/><Relationship Id="rId11" Type="http://schemas.openxmlformats.org/officeDocument/2006/relationships/externalLink" Target="externalLinks/externalLink1.xml"/><Relationship Id="rId32" Type="http://schemas.openxmlformats.org/officeDocument/2006/relationships/externalLink" Target="externalLinks/externalLink22.xml"/><Relationship Id="rId53" Type="http://schemas.openxmlformats.org/officeDocument/2006/relationships/externalLink" Target="externalLinks/externalLink43.xml"/><Relationship Id="rId74" Type="http://schemas.openxmlformats.org/officeDocument/2006/relationships/externalLink" Target="externalLinks/externalLink64.xml"/><Relationship Id="rId128" Type="http://schemas.openxmlformats.org/officeDocument/2006/relationships/externalLink" Target="externalLinks/externalLink118.xml"/><Relationship Id="rId149" Type="http://schemas.openxmlformats.org/officeDocument/2006/relationships/externalLink" Target="externalLinks/externalLink139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5.xml"/><Relationship Id="rId160" Type="http://schemas.openxmlformats.org/officeDocument/2006/relationships/externalLink" Target="externalLinks/externalLink150.xml"/><Relationship Id="rId22" Type="http://schemas.openxmlformats.org/officeDocument/2006/relationships/externalLink" Target="externalLinks/externalLink12.xml"/><Relationship Id="rId43" Type="http://schemas.openxmlformats.org/officeDocument/2006/relationships/externalLink" Target="externalLinks/externalLink33.xml"/><Relationship Id="rId64" Type="http://schemas.openxmlformats.org/officeDocument/2006/relationships/externalLink" Target="externalLinks/externalLink54.xml"/><Relationship Id="rId118" Type="http://schemas.openxmlformats.org/officeDocument/2006/relationships/externalLink" Target="externalLinks/externalLink108.xml"/><Relationship Id="rId139" Type="http://schemas.openxmlformats.org/officeDocument/2006/relationships/externalLink" Target="externalLinks/externalLink129.xml"/><Relationship Id="rId85" Type="http://schemas.openxmlformats.org/officeDocument/2006/relationships/externalLink" Target="externalLinks/externalLink75.xml"/><Relationship Id="rId150" Type="http://schemas.openxmlformats.org/officeDocument/2006/relationships/externalLink" Target="externalLinks/externalLink140.xml"/><Relationship Id="rId12" Type="http://schemas.openxmlformats.org/officeDocument/2006/relationships/externalLink" Target="externalLinks/externalLink2.xml"/><Relationship Id="rId33" Type="http://schemas.openxmlformats.org/officeDocument/2006/relationships/externalLink" Target="externalLinks/externalLink23.xml"/><Relationship Id="rId108" Type="http://schemas.openxmlformats.org/officeDocument/2006/relationships/externalLink" Target="externalLinks/externalLink98.xml"/><Relationship Id="rId129" Type="http://schemas.openxmlformats.org/officeDocument/2006/relationships/externalLink" Target="externalLinks/externalLink119.xml"/><Relationship Id="rId54" Type="http://schemas.openxmlformats.org/officeDocument/2006/relationships/externalLink" Target="externalLinks/externalLink44.xml"/><Relationship Id="rId70" Type="http://schemas.openxmlformats.org/officeDocument/2006/relationships/externalLink" Target="externalLinks/externalLink60.xml"/><Relationship Id="rId75" Type="http://schemas.openxmlformats.org/officeDocument/2006/relationships/externalLink" Target="externalLinks/externalLink65.xml"/><Relationship Id="rId91" Type="http://schemas.openxmlformats.org/officeDocument/2006/relationships/externalLink" Target="externalLinks/externalLink81.xml"/><Relationship Id="rId96" Type="http://schemas.openxmlformats.org/officeDocument/2006/relationships/externalLink" Target="externalLinks/externalLink86.xml"/><Relationship Id="rId140" Type="http://schemas.openxmlformats.org/officeDocument/2006/relationships/externalLink" Target="externalLinks/externalLink130.xml"/><Relationship Id="rId145" Type="http://schemas.openxmlformats.org/officeDocument/2006/relationships/externalLink" Target="externalLinks/externalLink135.xml"/><Relationship Id="rId161" Type="http://schemas.openxmlformats.org/officeDocument/2006/relationships/externalLink" Target="externalLinks/externalLink151.xml"/><Relationship Id="rId16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9.xml"/><Relationship Id="rId114" Type="http://schemas.openxmlformats.org/officeDocument/2006/relationships/externalLink" Target="externalLinks/externalLink104.xml"/><Relationship Id="rId119" Type="http://schemas.openxmlformats.org/officeDocument/2006/relationships/externalLink" Target="externalLinks/externalLink109.xml"/><Relationship Id="rId44" Type="http://schemas.openxmlformats.org/officeDocument/2006/relationships/externalLink" Target="externalLinks/externalLink34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81" Type="http://schemas.openxmlformats.org/officeDocument/2006/relationships/externalLink" Target="externalLinks/externalLink71.xml"/><Relationship Id="rId86" Type="http://schemas.openxmlformats.org/officeDocument/2006/relationships/externalLink" Target="externalLinks/externalLink76.xml"/><Relationship Id="rId130" Type="http://schemas.openxmlformats.org/officeDocument/2006/relationships/externalLink" Target="externalLinks/externalLink120.xml"/><Relationship Id="rId135" Type="http://schemas.openxmlformats.org/officeDocument/2006/relationships/externalLink" Target="externalLinks/externalLink125.xml"/><Relationship Id="rId151" Type="http://schemas.openxmlformats.org/officeDocument/2006/relationships/externalLink" Target="externalLinks/externalLink141.xml"/><Relationship Id="rId156" Type="http://schemas.openxmlformats.org/officeDocument/2006/relationships/externalLink" Target="externalLinks/externalLink146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109" Type="http://schemas.openxmlformats.org/officeDocument/2006/relationships/externalLink" Target="externalLinks/externalLink9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Relationship Id="rId76" Type="http://schemas.openxmlformats.org/officeDocument/2006/relationships/externalLink" Target="externalLinks/externalLink66.xml"/><Relationship Id="rId97" Type="http://schemas.openxmlformats.org/officeDocument/2006/relationships/externalLink" Target="externalLinks/externalLink87.xml"/><Relationship Id="rId104" Type="http://schemas.openxmlformats.org/officeDocument/2006/relationships/externalLink" Target="externalLinks/externalLink94.xml"/><Relationship Id="rId120" Type="http://schemas.openxmlformats.org/officeDocument/2006/relationships/externalLink" Target="externalLinks/externalLink110.xml"/><Relationship Id="rId125" Type="http://schemas.openxmlformats.org/officeDocument/2006/relationships/externalLink" Target="externalLinks/externalLink115.xml"/><Relationship Id="rId141" Type="http://schemas.openxmlformats.org/officeDocument/2006/relationships/externalLink" Target="externalLinks/externalLink131.xml"/><Relationship Id="rId146" Type="http://schemas.openxmlformats.org/officeDocument/2006/relationships/externalLink" Target="externalLinks/externalLink136.xml"/><Relationship Id="rId167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1.xml"/><Relationship Id="rId92" Type="http://schemas.openxmlformats.org/officeDocument/2006/relationships/externalLink" Target="externalLinks/externalLink82.xml"/><Relationship Id="rId162" Type="http://schemas.openxmlformats.org/officeDocument/2006/relationships/externalLink" Target="externalLinks/externalLink15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66" Type="http://schemas.openxmlformats.org/officeDocument/2006/relationships/externalLink" Target="externalLinks/externalLink56.xml"/><Relationship Id="rId87" Type="http://schemas.openxmlformats.org/officeDocument/2006/relationships/externalLink" Target="externalLinks/externalLink77.xml"/><Relationship Id="rId110" Type="http://schemas.openxmlformats.org/officeDocument/2006/relationships/externalLink" Target="externalLinks/externalLink100.xml"/><Relationship Id="rId115" Type="http://schemas.openxmlformats.org/officeDocument/2006/relationships/externalLink" Target="externalLinks/externalLink105.xml"/><Relationship Id="rId131" Type="http://schemas.openxmlformats.org/officeDocument/2006/relationships/externalLink" Target="externalLinks/externalLink121.xml"/><Relationship Id="rId136" Type="http://schemas.openxmlformats.org/officeDocument/2006/relationships/externalLink" Target="externalLinks/externalLink126.xml"/><Relationship Id="rId157" Type="http://schemas.openxmlformats.org/officeDocument/2006/relationships/externalLink" Target="externalLinks/externalLink147.xml"/><Relationship Id="rId61" Type="http://schemas.openxmlformats.org/officeDocument/2006/relationships/externalLink" Target="externalLinks/externalLink51.xml"/><Relationship Id="rId82" Type="http://schemas.openxmlformats.org/officeDocument/2006/relationships/externalLink" Target="externalLinks/externalLink72.xml"/><Relationship Id="rId152" Type="http://schemas.openxmlformats.org/officeDocument/2006/relationships/externalLink" Target="externalLinks/externalLink142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56" Type="http://schemas.openxmlformats.org/officeDocument/2006/relationships/externalLink" Target="externalLinks/externalLink46.xml"/><Relationship Id="rId77" Type="http://schemas.openxmlformats.org/officeDocument/2006/relationships/externalLink" Target="externalLinks/externalLink67.xml"/><Relationship Id="rId100" Type="http://schemas.openxmlformats.org/officeDocument/2006/relationships/externalLink" Target="externalLinks/externalLink90.xml"/><Relationship Id="rId105" Type="http://schemas.openxmlformats.org/officeDocument/2006/relationships/externalLink" Target="externalLinks/externalLink95.xml"/><Relationship Id="rId126" Type="http://schemas.openxmlformats.org/officeDocument/2006/relationships/externalLink" Target="externalLinks/externalLink116.xml"/><Relationship Id="rId147" Type="http://schemas.openxmlformats.org/officeDocument/2006/relationships/externalLink" Target="externalLinks/externalLink137.xml"/><Relationship Id="rId168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72" Type="http://schemas.openxmlformats.org/officeDocument/2006/relationships/externalLink" Target="externalLinks/externalLink62.xml"/><Relationship Id="rId93" Type="http://schemas.openxmlformats.org/officeDocument/2006/relationships/externalLink" Target="externalLinks/externalLink83.xml"/><Relationship Id="rId98" Type="http://schemas.openxmlformats.org/officeDocument/2006/relationships/externalLink" Target="externalLinks/externalLink88.xml"/><Relationship Id="rId121" Type="http://schemas.openxmlformats.org/officeDocument/2006/relationships/externalLink" Target="externalLinks/externalLink111.xml"/><Relationship Id="rId142" Type="http://schemas.openxmlformats.org/officeDocument/2006/relationships/externalLink" Target="externalLinks/externalLink132.xml"/><Relationship Id="rId163" Type="http://schemas.openxmlformats.org/officeDocument/2006/relationships/externalLink" Target="externalLinks/externalLink15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5.xml"/><Relationship Id="rId46" Type="http://schemas.openxmlformats.org/officeDocument/2006/relationships/externalLink" Target="externalLinks/externalLink36.xml"/><Relationship Id="rId67" Type="http://schemas.openxmlformats.org/officeDocument/2006/relationships/externalLink" Target="externalLinks/externalLink57.xml"/><Relationship Id="rId116" Type="http://schemas.openxmlformats.org/officeDocument/2006/relationships/externalLink" Target="externalLinks/externalLink106.xml"/><Relationship Id="rId137" Type="http://schemas.openxmlformats.org/officeDocument/2006/relationships/externalLink" Target="externalLinks/externalLink127.xml"/><Relationship Id="rId158" Type="http://schemas.openxmlformats.org/officeDocument/2006/relationships/externalLink" Target="externalLinks/externalLink148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62" Type="http://schemas.openxmlformats.org/officeDocument/2006/relationships/externalLink" Target="externalLinks/externalLink52.xml"/><Relationship Id="rId83" Type="http://schemas.openxmlformats.org/officeDocument/2006/relationships/externalLink" Target="externalLinks/externalLink73.xml"/><Relationship Id="rId88" Type="http://schemas.openxmlformats.org/officeDocument/2006/relationships/externalLink" Target="externalLinks/externalLink78.xml"/><Relationship Id="rId111" Type="http://schemas.openxmlformats.org/officeDocument/2006/relationships/externalLink" Target="externalLinks/externalLink101.xml"/><Relationship Id="rId132" Type="http://schemas.openxmlformats.org/officeDocument/2006/relationships/externalLink" Target="externalLinks/externalLink122.xml"/><Relationship Id="rId153" Type="http://schemas.openxmlformats.org/officeDocument/2006/relationships/externalLink" Target="externalLinks/externalLink143.xml"/><Relationship Id="rId15" Type="http://schemas.openxmlformats.org/officeDocument/2006/relationships/externalLink" Target="externalLinks/externalLink5.xml"/><Relationship Id="rId36" Type="http://schemas.openxmlformats.org/officeDocument/2006/relationships/externalLink" Target="externalLinks/externalLink26.xml"/><Relationship Id="rId57" Type="http://schemas.openxmlformats.org/officeDocument/2006/relationships/externalLink" Target="externalLinks/externalLink47.xml"/><Relationship Id="rId106" Type="http://schemas.openxmlformats.org/officeDocument/2006/relationships/externalLink" Target="externalLinks/externalLink96.xml"/><Relationship Id="rId127" Type="http://schemas.openxmlformats.org/officeDocument/2006/relationships/externalLink" Target="externalLinks/externalLink11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52" Type="http://schemas.openxmlformats.org/officeDocument/2006/relationships/externalLink" Target="externalLinks/externalLink42.xml"/><Relationship Id="rId73" Type="http://schemas.openxmlformats.org/officeDocument/2006/relationships/externalLink" Target="externalLinks/externalLink63.xml"/><Relationship Id="rId78" Type="http://schemas.openxmlformats.org/officeDocument/2006/relationships/externalLink" Target="externalLinks/externalLink68.xml"/><Relationship Id="rId94" Type="http://schemas.openxmlformats.org/officeDocument/2006/relationships/externalLink" Target="externalLinks/externalLink84.xml"/><Relationship Id="rId99" Type="http://schemas.openxmlformats.org/officeDocument/2006/relationships/externalLink" Target="externalLinks/externalLink89.xml"/><Relationship Id="rId101" Type="http://schemas.openxmlformats.org/officeDocument/2006/relationships/externalLink" Target="externalLinks/externalLink91.xml"/><Relationship Id="rId122" Type="http://schemas.openxmlformats.org/officeDocument/2006/relationships/externalLink" Target="externalLinks/externalLink112.xml"/><Relationship Id="rId143" Type="http://schemas.openxmlformats.org/officeDocument/2006/relationships/externalLink" Target="externalLinks/externalLink133.xml"/><Relationship Id="rId148" Type="http://schemas.openxmlformats.org/officeDocument/2006/relationships/externalLink" Target="externalLinks/externalLink138.xml"/><Relationship Id="rId164" Type="http://schemas.openxmlformats.org/officeDocument/2006/relationships/theme" Target="theme/theme1.xml"/><Relationship Id="rId16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6.xml"/><Relationship Id="rId47" Type="http://schemas.openxmlformats.org/officeDocument/2006/relationships/externalLink" Target="externalLinks/externalLink37.xml"/><Relationship Id="rId68" Type="http://schemas.openxmlformats.org/officeDocument/2006/relationships/externalLink" Target="externalLinks/externalLink58.xml"/><Relationship Id="rId89" Type="http://schemas.openxmlformats.org/officeDocument/2006/relationships/externalLink" Target="externalLinks/externalLink79.xml"/><Relationship Id="rId112" Type="http://schemas.openxmlformats.org/officeDocument/2006/relationships/externalLink" Target="externalLinks/externalLink102.xml"/><Relationship Id="rId133" Type="http://schemas.openxmlformats.org/officeDocument/2006/relationships/externalLink" Target="externalLinks/externalLink123.xml"/><Relationship Id="rId154" Type="http://schemas.openxmlformats.org/officeDocument/2006/relationships/externalLink" Target="externalLinks/externalLink144.xml"/><Relationship Id="rId16" Type="http://schemas.openxmlformats.org/officeDocument/2006/relationships/externalLink" Target="externalLinks/externalLink6.xml"/><Relationship Id="rId37" Type="http://schemas.openxmlformats.org/officeDocument/2006/relationships/externalLink" Target="externalLinks/externalLink27.xml"/><Relationship Id="rId58" Type="http://schemas.openxmlformats.org/officeDocument/2006/relationships/externalLink" Target="externalLinks/externalLink48.xml"/><Relationship Id="rId79" Type="http://schemas.openxmlformats.org/officeDocument/2006/relationships/externalLink" Target="externalLinks/externalLink69.xml"/><Relationship Id="rId102" Type="http://schemas.openxmlformats.org/officeDocument/2006/relationships/externalLink" Target="externalLinks/externalLink92.xml"/><Relationship Id="rId123" Type="http://schemas.openxmlformats.org/officeDocument/2006/relationships/externalLink" Target="externalLinks/externalLink113.xml"/><Relationship Id="rId144" Type="http://schemas.openxmlformats.org/officeDocument/2006/relationships/externalLink" Target="externalLinks/externalLink134.xml"/><Relationship Id="rId90" Type="http://schemas.openxmlformats.org/officeDocument/2006/relationships/externalLink" Target="externalLinks/externalLink80.xml"/><Relationship Id="rId165" Type="http://schemas.openxmlformats.org/officeDocument/2006/relationships/styles" Target="styles.xml"/><Relationship Id="rId27" Type="http://schemas.openxmlformats.org/officeDocument/2006/relationships/externalLink" Target="externalLinks/externalLink17.xml"/><Relationship Id="rId48" Type="http://schemas.openxmlformats.org/officeDocument/2006/relationships/externalLink" Target="externalLinks/externalLink38.xml"/><Relationship Id="rId69" Type="http://schemas.openxmlformats.org/officeDocument/2006/relationships/externalLink" Target="externalLinks/externalLink59.xml"/><Relationship Id="rId113" Type="http://schemas.openxmlformats.org/officeDocument/2006/relationships/externalLink" Target="externalLinks/externalLink103.xml"/><Relationship Id="rId134" Type="http://schemas.openxmlformats.org/officeDocument/2006/relationships/externalLink" Target="externalLinks/externalLink124.xml"/><Relationship Id="rId80" Type="http://schemas.openxmlformats.org/officeDocument/2006/relationships/externalLink" Target="externalLinks/externalLink70.xml"/><Relationship Id="rId155" Type="http://schemas.openxmlformats.org/officeDocument/2006/relationships/externalLink" Target="externalLinks/externalLink145.xml"/><Relationship Id="rId17" Type="http://schemas.openxmlformats.org/officeDocument/2006/relationships/externalLink" Target="externalLinks/externalLink7.xml"/><Relationship Id="rId38" Type="http://schemas.openxmlformats.org/officeDocument/2006/relationships/externalLink" Target="externalLinks/externalLink28.xml"/><Relationship Id="rId59" Type="http://schemas.openxmlformats.org/officeDocument/2006/relationships/externalLink" Target="externalLinks/externalLink49.xml"/><Relationship Id="rId103" Type="http://schemas.openxmlformats.org/officeDocument/2006/relationships/externalLink" Target="externalLinks/externalLink93.xml"/><Relationship Id="rId124" Type="http://schemas.openxmlformats.org/officeDocument/2006/relationships/externalLink" Target="externalLinks/externalLink1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hyperlink" Target="HLUN.xlsx" TargetMode="External"/><Relationship Id="rId166" Type="http://schemas.openxmlformats.org/officeDocument/2006/relationships/hyperlink" Target="ESPR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4"/>
  <sheetViews>
    <sheetView tabSelected="1" zoomScale="190" zoomScaleNormal="190" workbookViewId="0">
      <pane xSplit="3" ySplit="3" topLeftCell="D407" activePane="bottomRight" state="frozen"/>
      <selection pane="topRight" activeCell="C1" sqref="C1"/>
      <selection pane="bottomLeft" activeCell="A4" sqref="A4"/>
      <selection pane="bottomRight" activeCell="I425" sqref="I42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RANDBETWEEN(1,B239)</f>
        <v>11</v>
      </c>
    </row>
    <row r="2" spans="1:30" x14ac:dyDescent="0.2">
      <c r="F2" s="6">
        <f>SUM(F4:F454)-F5-F10-F12-F17-F24-F27-F47-F55</f>
        <v>5642947.5203546705</v>
      </c>
      <c r="K2" s="9">
        <f>MIN(K4:K90)</f>
        <v>45525</v>
      </c>
      <c r="Q2" s="56" t="s">
        <v>312</v>
      </c>
      <c r="R2" s="56"/>
      <c r="S2" s="56"/>
      <c r="T2" s="56"/>
      <c r="U2" s="56"/>
      <c r="V2" s="56"/>
      <c r="W2" s="56" t="s">
        <v>311</v>
      </c>
      <c r="X2" s="56"/>
      <c r="Y2" s="56"/>
      <c r="Z2" s="56"/>
      <c r="AA2" s="56"/>
      <c r="AB2" s="56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1074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1074</v>
      </c>
      <c r="J10" s="6">
        <f>+[6]Main!$K$3</f>
        <v>1560</v>
      </c>
      <c r="K10" s="9">
        <v>45585</v>
      </c>
    </row>
    <row r="11" spans="1:30" x14ac:dyDescent="0.2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45585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1074</v>
      </c>
      <c r="J12" s="6">
        <f>+[7]Main!$K$4</f>
        <v>2046</v>
      </c>
      <c r="K12" s="9">
        <v>45578</v>
      </c>
    </row>
    <row r="13" spans="1:30" x14ac:dyDescent="0.2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1074</v>
      </c>
      <c r="J13" s="6">
        <f>+[7]Main!$K$4</f>
        <v>2046</v>
      </c>
      <c r="K13" s="9">
        <f>+K12</f>
        <v>45578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1117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73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x14ac:dyDescent="0.2">
      <c r="B71" s="1">
        <f t="shared" si="6"/>
        <v>61</v>
      </c>
      <c r="C71" s="5" t="s">
        <v>101</v>
      </c>
      <c r="D71" s="1" t="s">
        <v>102</v>
      </c>
      <c r="E71" s="3">
        <v>49.82</v>
      </c>
      <c r="F71" s="6">
        <f>+E71*J71</f>
        <v>7284.2365536200004</v>
      </c>
      <c r="G71" s="6">
        <f>+[62]Main!$L$5-[62]Main!$L$6</f>
        <v>309.9079999999999</v>
      </c>
      <c r="H71" s="6">
        <f>+F71-G71</f>
        <v>6974.3285536200001</v>
      </c>
      <c r="I71" s="9" t="s">
        <v>1074</v>
      </c>
      <c r="J71" s="6">
        <f>+[62]Main!$L$3</f>
        <v>146.21109100000001</v>
      </c>
      <c r="K71" s="9">
        <v>45539</v>
      </c>
      <c r="AC71" s="1">
        <v>1989</v>
      </c>
    </row>
    <row r="72" spans="1:30" x14ac:dyDescent="0.2">
      <c r="B72" s="1">
        <f t="shared" si="6"/>
        <v>62</v>
      </c>
      <c r="C72" s="5" t="s">
        <v>296</v>
      </c>
      <c r="D72" t="s">
        <v>297</v>
      </c>
      <c r="E72" s="22">
        <v>1992</v>
      </c>
      <c r="F72" s="6">
        <f>+E72*J72/100*GBP</f>
        <v>5742.3752022000008</v>
      </c>
      <c r="G72" s="6">
        <f>+[63]Main!$K$5-[63]Main!$K$6</f>
        <v>-1276</v>
      </c>
      <c r="H72" s="6">
        <f t="shared" ref="H72:H97" si="8">+F72-G72</f>
        <v>7018.3752022000008</v>
      </c>
      <c r="I72" s="3" t="s">
        <v>1074</v>
      </c>
      <c r="J72" s="6">
        <f>+[63]Main!$K$3</f>
        <v>221.74757500000001</v>
      </c>
      <c r="K72" s="9">
        <v>45541</v>
      </c>
    </row>
    <row r="73" spans="1:30" x14ac:dyDescent="0.2">
      <c r="B73" s="1">
        <f t="shared" si="6"/>
        <v>63</v>
      </c>
      <c r="C73" s="5" t="s">
        <v>276</v>
      </c>
      <c r="D73" t="s">
        <v>277</v>
      </c>
      <c r="E73" s="3">
        <v>2587.5</v>
      </c>
      <c r="F73" s="6">
        <f>+E73*J73/JPY</f>
        <v>9510.5627333907069</v>
      </c>
      <c r="G73" s="6">
        <f>([64]Main!$L$5-[64]Main!$L$6)/JPY</f>
        <v>2512.9707401032701</v>
      </c>
      <c r="H73" s="6">
        <f>+F73-G73</f>
        <v>6997.5919932874367</v>
      </c>
      <c r="I73" s="3" t="s">
        <v>1074</v>
      </c>
      <c r="J73" s="6">
        <f>+[64]Main!$L$3</f>
        <v>533.87796600000001</v>
      </c>
      <c r="K73" s="9">
        <v>45567</v>
      </c>
    </row>
    <row r="74" spans="1:30" x14ac:dyDescent="0.2">
      <c r="A74" t="s">
        <v>334</v>
      </c>
      <c r="B74" s="1">
        <f t="shared" ref="B74:B131" si="9">+B73+1</f>
        <v>64</v>
      </c>
      <c r="C74" s="5" t="s">
        <v>131</v>
      </c>
      <c r="D74" s="1" t="s">
        <v>132</v>
      </c>
      <c r="E74" s="3">
        <v>25.49</v>
      </c>
      <c r="F74" s="6">
        <f t="shared" ref="F74:F80" si="10">+E74*J74</f>
        <v>3477.2290048199993</v>
      </c>
      <c r="G74" s="6">
        <f>+[65]Main!$N$5-[65]Main!$N$6</f>
        <v>-3514.8</v>
      </c>
      <c r="H74" s="6">
        <f>+F74-G74</f>
        <v>6992.0290048199995</v>
      </c>
      <c r="I74" s="3" t="s">
        <v>1074</v>
      </c>
      <c r="J74" s="6">
        <f>+[65]Main!$N$3</f>
        <v>136.41541799999999</v>
      </c>
      <c r="K74" s="9">
        <v>45566</v>
      </c>
    </row>
    <row r="75" spans="1:30" x14ac:dyDescent="0.2">
      <c r="A75" t="s">
        <v>334</v>
      </c>
      <c r="B75" s="1">
        <f t="shared" si="9"/>
        <v>65</v>
      </c>
      <c r="C75" s="5" t="s">
        <v>129</v>
      </c>
      <c r="D75" s="1" t="s">
        <v>130</v>
      </c>
      <c r="E75" s="3">
        <v>72.11</v>
      </c>
      <c r="F75" s="6">
        <f t="shared" si="10"/>
        <v>7619.6419617500005</v>
      </c>
      <c r="G75" s="6">
        <f>+[66]Main!$L$5-[66]Main!$L$6</f>
        <v>1024.6570000000002</v>
      </c>
      <c r="H75" s="6">
        <f>+F75-G75</f>
        <v>6594.9849617500004</v>
      </c>
      <c r="I75" s="3" t="s">
        <v>1074</v>
      </c>
      <c r="J75" s="6">
        <f>+[66]Main!$L$3</f>
        <v>105.66692500000001</v>
      </c>
      <c r="K75" s="9">
        <v>45545</v>
      </c>
    </row>
    <row r="76" spans="1:30" x14ac:dyDescent="0.2">
      <c r="B76" s="1">
        <f t="shared" si="9"/>
        <v>66</v>
      </c>
      <c r="C76" s="5" t="s">
        <v>686</v>
      </c>
      <c r="D76" t="s">
        <v>687</v>
      </c>
      <c r="E76" s="7">
        <v>56.68</v>
      </c>
      <c r="F76" s="6">
        <f t="shared" si="10"/>
        <v>6668.9448810399999</v>
      </c>
      <c r="G76" s="6">
        <f>+[67]Main!$K$5-[67]Main!$K$6</f>
        <v>707.18499999999995</v>
      </c>
      <c r="H76" s="6">
        <f>+F76-G76</f>
        <v>5961.7598810399995</v>
      </c>
      <c r="I76" s="3" t="s">
        <v>1074</v>
      </c>
      <c r="J76" s="6">
        <f>+[67]Main!$K$3</f>
        <v>117.659578</v>
      </c>
      <c r="K76" s="9">
        <v>45570</v>
      </c>
    </row>
    <row r="77" spans="1:30" x14ac:dyDescent="0.2">
      <c r="A77"/>
      <c r="B77" s="1">
        <f t="shared" si="9"/>
        <v>67</v>
      </c>
      <c r="C77" s="5" t="s">
        <v>1062</v>
      </c>
      <c r="D77" t="s">
        <v>1063</v>
      </c>
      <c r="E77" s="7">
        <v>64</v>
      </c>
      <c r="F77" s="6">
        <f t="shared" si="10"/>
        <v>6656</v>
      </c>
      <c r="G77" s="3">
        <f>+[68]Main!$K$5-[68]Main!$K$6</f>
        <v>711</v>
      </c>
      <c r="H77" s="6">
        <f t="shared" ref="H77" si="11">+F77-G77</f>
        <v>5945</v>
      </c>
      <c r="I77" s="3" t="s">
        <v>1117</v>
      </c>
      <c r="J77" s="3">
        <f>+[68]Main!$K$3</f>
        <v>104</v>
      </c>
      <c r="K77" s="9">
        <v>45541</v>
      </c>
    </row>
    <row r="78" spans="1:30" x14ac:dyDescent="0.2">
      <c r="B78" s="1">
        <f t="shared" si="9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8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9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2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9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2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9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2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9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2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9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2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9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2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9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8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9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A87" s="1" t="s">
        <v>334</v>
      </c>
      <c r="B87" s="1">
        <f t="shared" si="9"/>
        <v>77</v>
      </c>
      <c r="C87" s="5" t="s">
        <v>506</v>
      </c>
      <c r="D87" t="s">
        <v>507</v>
      </c>
      <c r="E87" s="7">
        <v>24</v>
      </c>
      <c r="F87" s="6">
        <f>+E87*J87</f>
        <v>3715.7552880000003</v>
      </c>
      <c r="G87" s="6">
        <f>+[78]Main!$J$5-[78]Main!$J$6</f>
        <v>115.66200000000001</v>
      </c>
      <c r="H87" s="6">
        <f>+F87-G87</f>
        <v>3600.0932880000005</v>
      </c>
      <c r="I87" s="3" t="s">
        <v>1074</v>
      </c>
      <c r="J87" s="6">
        <f>+[78]Main!$J$3</f>
        <v>154.823137</v>
      </c>
      <c r="K87" s="9">
        <v>45580</v>
      </c>
    </row>
    <row r="88" spans="1:30" x14ac:dyDescent="0.2">
      <c r="B88" s="1">
        <f t="shared" si="9"/>
        <v>78</v>
      </c>
      <c r="C88" s="5" t="s">
        <v>789</v>
      </c>
      <c r="D88" t="s">
        <v>1177</v>
      </c>
      <c r="E88" s="7">
        <v>44</v>
      </c>
      <c r="F88" s="6">
        <f>+E88*J88</f>
        <v>5153.3414680000005</v>
      </c>
      <c r="G88" s="6">
        <f>+[79]Main!$L$5-[79]Main!$L$6</f>
        <v>1590.0459999999998</v>
      </c>
      <c r="H88" s="6">
        <f>+F88-G88</f>
        <v>3563.2954680000007</v>
      </c>
      <c r="I88" s="3" t="s">
        <v>1074</v>
      </c>
      <c r="J88" s="6">
        <f>+[79]Main!$L$3</f>
        <v>117.121397</v>
      </c>
      <c r="K88" s="9">
        <v>45558</v>
      </c>
    </row>
    <row r="89" spans="1:30" x14ac:dyDescent="0.2">
      <c r="A89" t="s">
        <v>334</v>
      </c>
      <c r="B89" s="1">
        <f t="shared" si="9"/>
        <v>79</v>
      </c>
      <c r="C89" s="5" t="s">
        <v>133</v>
      </c>
      <c r="D89" s="1" t="s">
        <v>134</v>
      </c>
      <c r="E89" s="7">
        <v>26.99</v>
      </c>
      <c r="F89" s="6">
        <f>E89*J89</f>
        <v>3286.47319272</v>
      </c>
      <c r="G89" s="6">
        <f>+[80]Main!$L$5-[80]Main!$L$6</f>
        <v>-96.746999999999957</v>
      </c>
      <c r="H89" s="6">
        <f>+F89-G89</f>
        <v>3383.2201927199999</v>
      </c>
      <c r="I89" s="3" t="s">
        <v>1074</v>
      </c>
      <c r="J89" s="6">
        <f>[80]Main!$L$3</f>
        <v>121.766328</v>
      </c>
      <c r="K89" s="9">
        <v>45540</v>
      </c>
      <c r="AC89" s="1">
        <v>2009</v>
      </c>
      <c r="AD89" s="1" t="s">
        <v>997</v>
      </c>
    </row>
    <row r="90" spans="1:30" x14ac:dyDescent="0.2">
      <c r="A90"/>
      <c r="B90" s="1">
        <f t="shared" si="9"/>
        <v>80</v>
      </c>
      <c r="C90" s="5" t="s">
        <v>407</v>
      </c>
      <c r="D90" t="s">
        <v>408</v>
      </c>
      <c r="E90" s="19">
        <v>3.14</v>
      </c>
      <c r="F90" s="6">
        <f>+E90*J90/HKD</f>
        <v>7410.5214572128207</v>
      </c>
      <c r="G90" s="6">
        <f>([81]Main!$K$5-[81]Main!$K$6)/HKD</f>
        <v>3986.4565384615375</v>
      </c>
      <c r="H90" s="6">
        <f t="shared" ref="H90" si="13">F90-G90</f>
        <v>3424.0649187512831</v>
      </c>
      <c r="I90" s="3" t="s">
        <v>1074</v>
      </c>
      <c r="J90" s="6">
        <f>+[81]Main!$K$3</f>
        <v>18408.301708999999</v>
      </c>
      <c r="K90" s="9">
        <v>45539</v>
      </c>
    </row>
    <row r="91" spans="1:30" x14ac:dyDescent="0.2">
      <c r="A91" t="s">
        <v>334</v>
      </c>
      <c r="B91" s="1">
        <f t="shared" si="9"/>
        <v>81</v>
      </c>
      <c r="C91" s="5" t="s">
        <v>164</v>
      </c>
      <c r="D91" s="1" t="s">
        <v>165</v>
      </c>
      <c r="E91" s="7">
        <v>10.43</v>
      </c>
      <c r="F91" s="6">
        <f>+E91*J91</f>
        <v>3093.44341033</v>
      </c>
      <c r="G91" s="6">
        <f>+[82]Main!$M$5-[82]Main!$M$6</f>
        <v>-128.87700000000001</v>
      </c>
      <c r="H91" s="6">
        <f t="shared" ref="H91:H96" si="14">+F91-G91</f>
        <v>3222.32041033</v>
      </c>
      <c r="I91" s="3" t="s">
        <v>1074</v>
      </c>
      <c r="J91" s="6">
        <f>+[82]Main!$M$3</f>
        <v>296.59093100000001</v>
      </c>
      <c r="K91" s="9">
        <v>45580</v>
      </c>
    </row>
    <row r="92" spans="1:30" x14ac:dyDescent="0.2">
      <c r="A92"/>
      <c r="B92" s="1">
        <f t="shared" si="9"/>
        <v>82</v>
      </c>
      <c r="C92" s="5" t="s">
        <v>350</v>
      </c>
      <c r="D92" t="s">
        <v>691</v>
      </c>
      <c r="E92" s="3">
        <v>12.01</v>
      </c>
      <c r="F92" s="6">
        <f>+E92*J92</f>
        <v>8881.6571062399998</v>
      </c>
      <c r="G92" s="6">
        <f>+[83]Main!$K$5-[83]Main!$K$6</f>
        <v>5617.777</v>
      </c>
      <c r="H92" s="6">
        <f t="shared" si="14"/>
        <v>3263.8801062399998</v>
      </c>
      <c r="I92" s="3" t="s">
        <v>1074</v>
      </c>
      <c r="J92" s="6">
        <f>+[83]Main!$K$3</f>
        <v>739.52182400000004</v>
      </c>
      <c r="K92" s="9">
        <v>45540</v>
      </c>
    </row>
    <row r="93" spans="1:30" x14ac:dyDescent="0.2">
      <c r="A93" t="s">
        <v>334</v>
      </c>
      <c r="B93" s="1">
        <f t="shared" si="9"/>
        <v>83</v>
      </c>
      <c r="C93" s="5" t="s">
        <v>684</v>
      </c>
      <c r="D93" t="s">
        <v>685</v>
      </c>
      <c r="E93" s="3">
        <v>25.25</v>
      </c>
      <c r="F93" s="6">
        <f>E93*J93</f>
        <v>4272.5860572500005</v>
      </c>
      <c r="G93" s="6">
        <f>[84]Main!$K$5-[84]Main!$K$6</f>
        <v>1347.038</v>
      </c>
      <c r="H93" s="6">
        <f t="shared" si="14"/>
        <v>2925.5480572500005</v>
      </c>
      <c r="I93" s="3" t="s">
        <v>1074</v>
      </c>
      <c r="J93" s="6">
        <f>[84]Main!$K$3</f>
        <v>169.21132900000001</v>
      </c>
      <c r="K93" s="9">
        <v>45545</v>
      </c>
    </row>
    <row r="94" spans="1:30" x14ac:dyDescent="0.2">
      <c r="A94" s="1" t="s">
        <v>334</v>
      </c>
      <c r="B94" s="1">
        <f t="shared" si="9"/>
        <v>84</v>
      </c>
      <c r="C94" s="5" t="s">
        <v>148</v>
      </c>
      <c r="D94" s="1" t="s">
        <v>149</v>
      </c>
      <c r="E94" s="3">
        <v>53.29</v>
      </c>
      <c r="F94" s="6">
        <v>3560</v>
      </c>
      <c r="G94" s="6">
        <f>+[85]Main!$L$5-[85]Main!$L$6</f>
        <v>568.66099999999994</v>
      </c>
      <c r="H94" s="6">
        <f t="shared" si="14"/>
        <v>2991.3389999999999</v>
      </c>
      <c r="I94" s="3" t="s">
        <v>1044</v>
      </c>
      <c r="J94" s="6">
        <f>[85]Main!$L$3</f>
        <v>83.133341000000001</v>
      </c>
      <c r="K94" s="9">
        <v>45571</v>
      </c>
    </row>
    <row r="95" spans="1:30" x14ac:dyDescent="0.2">
      <c r="A95" t="s">
        <v>334</v>
      </c>
      <c r="B95" s="1">
        <f t="shared" si="9"/>
        <v>85</v>
      </c>
      <c r="C95" s="5" t="s">
        <v>212</v>
      </c>
      <c r="D95" s="1" t="s">
        <v>213</v>
      </c>
      <c r="E95" s="7">
        <v>3.52</v>
      </c>
      <c r="F95" s="6">
        <f t="shared" ref="F95:F100" si="15">+E95*J95</f>
        <v>2451.7976313599997</v>
      </c>
      <c r="G95" s="6">
        <f>+[86]Main!$J$5-[86]Main!$J$6</f>
        <v>-474.93899999999996</v>
      </c>
      <c r="H95" s="6">
        <f t="shared" si="14"/>
        <v>2926.7366313599996</v>
      </c>
      <c r="I95" s="3" t="s">
        <v>1074</v>
      </c>
      <c r="J95" s="6">
        <f>+[86]Main!$J$3</f>
        <v>696.53341799999998</v>
      </c>
      <c r="K95" s="9">
        <v>45572</v>
      </c>
    </row>
    <row r="96" spans="1:30" x14ac:dyDescent="0.2">
      <c r="A96" s="1" t="s">
        <v>334</v>
      </c>
      <c r="B96" s="1">
        <f t="shared" si="9"/>
        <v>86</v>
      </c>
      <c r="C96" s="5" t="s">
        <v>214</v>
      </c>
      <c r="D96" s="1" t="s">
        <v>215</v>
      </c>
      <c r="E96" s="3">
        <v>9.35</v>
      </c>
      <c r="F96" s="6">
        <f t="shared" si="15"/>
        <v>2837.8547031999997</v>
      </c>
      <c r="G96" s="6">
        <f>+[87]Main!$I$5-[87]Main!$I$6</f>
        <v>417.97200000000004</v>
      </c>
      <c r="H96" s="6">
        <f t="shared" si="14"/>
        <v>2419.8827031999995</v>
      </c>
      <c r="I96" s="3" t="s">
        <v>1074</v>
      </c>
      <c r="J96" s="6">
        <f>+[87]Main!$I$3</f>
        <v>303.51387199999999</v>
      </c>
      <c r="K96" s="9">
        <v>45525</v>
      </c>
    </row>
    <row r="97" spans="1:29" x14ac:dyDescent="0.2">
      <c r="A97"/>
      <c r="B97" s="1">
        <f t="shared" si="9"/>
        <v>87</v>
      </c>
      <c r="C97" s="5" t="s">
        <v>73</v>
      </c>
      <c r="D97" s="1" t="s">
        <v>74</v>
      </c>
      <c r="E97" s="7">
        <v>87</v>
      </c>
      <c r="F97" s="6">
        <f t="shared" si="15"/>
        <v>21113.629887000003</v>
      </c>
      <c r="G97" s="6">
        <f>+[88]Main!$K$5-[88]Main!$K$6</f>
        <v>18458.399999999998</v>
      </c>
      <c r="H97" s="6">
        <f t="shared" si="8"/>
        <v>2655.229887000005</v>
      </c>
      <c r="I97" s="3" t="s">
        <v>1074</v>
      </c>
      <c r="J97" s="6">
        <f>+[88]Main!$K$3</f>
        <v>242.68540100000001</v>
      </c>
      <c r="K97" s="9">
        <v>45537</v>
      </c>
      <c r="AC97" s="1">
        <v>2008</v>
      </c>
    </row>
    <row r="98" spans="1:29" x14ac:dyDescent="0.2">
      <c r="A98"/>
      <c r="B98" s="1">
        <f t="shared" si="9"/>
        <v>88</v>
      </c>
      <c r="C98" s="5" t="s">
        <v>1294</v>
      </c>
      <c r="D98" t="s">
        <v>1295</v>
      </c>
      <c r="E98" s="7">
        <v>35</v>
      </c>
      <c r="F98" s="6">
        <f t="shared" si="15"/>
        <v>2801.12</v>
      </c>
      <c r="G98" s="6">
        <f>+[89]Main!$K$5-[89]Main!$K$6</f>
        <v>140.42099999999999</v>
      </c>
      <c r="H98" s="6">
        <f>+F98-G98</f>
        <v>2660.6990000000001</v>
      </c>
      <c r="I98" s="3" t="s">
        <v>1074</v>
      </c>
      <c r="J98" s="6">
        <f>+[89]Main!$K$3</f>
        <v>80.031999999999996</v>
      </c>
      <c r="K98" s="9">
        <v>45572</v>
      </c>
    </row>
    <row r="99" spans="1:29" x14ac:dyDescent="0.2">
      <c r="A99" t="s">
        <v>334</v>
      </c>
      <c r="B99" s="1">
        <f t="shared" si="9"/>
        <v>89</v>
      </c>
      <c r="C99" s="5" t="s">
        <v>204</v>
      </c>
      <c r="D99" s="1" t="s">
        <v>205</v>
      </c>
      <c r="E99" s="3">
        <v>46.29</v>
      </c>
      <c r="F99" s="6">
        <f t="shared" si="15"/>
        <v>2253.2038003799998</v>
      </c>
      <c r="G99" s="6">
        <f>+[90]Main!$L$5-[90]Main!$L$6</f>
        <v>-356.94799999999998</v>
      </c>
      <c r="H99" s="6">
        <f>+F99-G99</f>
        <v>2610.1518003799997</v>
      </c>
      <c r="I99" s="3" t="s">
        <v>1074</v>
      </c>
      <c r="J99" s="6">
        <f>+[90]Main!$L$3</f>
        <v>48.675821999999997</v>
      </c>
      <c r="K99" s="9">
        <v>45576</v>
      </c>
    </row>
    <row r="100" spans="1:29" x14ac:dyDescent="0.2">
      <c r="A100" t="s">
        <v>334</v>
      </c>
      <c r="B100" s="1">
        <f t="shared" si="9"/>
        <v>90</v>
      </c>
      <c r="C100" s="5" t="s">
        <v>850</v>
      </c>
      <c r="D100" t="s">
        <v>851</v>
      </c>
      <c r="E100" s="3">
        <v>29.07</v>
      </c>
      <c r="F100" s="6">
        <f t="shared" si="15"/>
        <v>2725.96041216</v>
      </c>
      <c r="G100" s="6">
        <f>+[91]Main!$J$5-[91]Main!$J$6</f>
        <v>511.75100000000003</v>
      </c>
      <c r="H100" s="6">
        <f>+F100-G100</f>
        <v>2214.2094121599998</v>
      </c>
      <c r="I100" s="3" t="s">
        <v>1074</v>
      </c>
      <c r="J100" s="6">
        <f>+[91]Main!$J$3</f>
        <v>93.772288000000003</v>
      </c>
      <c r="K100" s="9">
        <v>45554</v>
      </c>
    </row>
    <row r="101" spans="1:29" x14ac:dyDescent="0.2">
      <c r="A101"/>
      <c r="B101" s="1">
        <f t="shared" si="9"/>
        <v>91</v>
      </c>
      <c r="C101" s="5" t="s">
        <v>120</v>
      </c>
      <c r="D101" s="1" t="s">
        <v>121</v>
      </c>
      <c r="E101" s="7">
        <v>47</v>
      </c>
      <c r="F101" s="6">
        <f>E101*J101</f>
        <v>4002.9034260000003</v>
      </c>
      <c r="G101" s="6">
        <f>[92]Main!$L$5-[92]Main!$L$6</f>
        <v>2012.8349999999998</v>
      </c>
      <c r="H101" s="6">
        <f>+F101-G101</f>
        <v>1990.0684260000005</v>
      </c>
      <c r="I101" s="3" t="s">
        <v>1074</v>
      </c>
      <c r="J101" s="6">
        <f>[92]Main!$L$3</f>
        <v>85.168158000000005</v>
      </c>
      <c r="K101" s="9">
        <v>45565</v>
      </c>
    </row>
    <row r="102" spans="1:29" x14ac:dyDescent="0.2">
      <c r="A102" t="s">
        <v>334</v>
      </c>
      <c r="B102" s="1">
        <f t="shared" si="9"/>
        <v>92</v>
      </c>
      <c r="C102" s="5" t="s">
        <v>712</v>
      </c>
      <c r="D102" t="s">
        <v>713</v>
      </c>
      <c r="E102" s="3">
        <v>45.02</v>
      </c>
      <c r="F102" s="6">
        <f>+E102*J102</f>
        <v>2651.8844167000002</v>
      </c>
      <c r="G102" s="6">
        <f>+[93]Main!$L$5-[93]Main!$L$6</f>
        <v>595.44399999999996</v>
      </c>
      <c r="H102" s="6">
        <f>+F102-G102</f>
        <v>2056.4404167000002</v>
      </c>
      <c r="I102" s="3" t="s">
        <v>1074</v>
      </c>
      <c r="J102" s="6">
        <f>+[93]Main!$L$3</f>
        <v>58.904584999999997</v>
      </c>
      <c r="K102" s="9">
        <v>45553</v>
      </c>
    </row>
    <row r="103" spans="1:29" x14ac:dyDescent="0.2">
      <c r="A103" t="s">
        <v>334</v>
      </c>
      <c r="B103" s="1">
        <f t="shared" si="9"/>
        <v>93</v>
      </c>
      <c r="C103" s="5" t="s">
        <v>125</v>
      </c>
      <c r="D103" s="1" t="s">
        <v>126</v>
      </c>
      <c r="E103" s="3">
        <v>16.22</v>
      </c>
      <c r="F103" s="6">
        <f>+E103*J103</f>
        <v>2695.3422799999998</v>
      </c>
      <c r="G103" s="6">
        <f>+[94]Main!$K$5-[94]Main!$K$6</f>
        <v>501</v>
      </c>
      <c r="H103" s="6">
        <f t="shared" ref="H103:H113" si="16">+F103-G103</f>
        <v>2194.3422799999998</v>
      </c>
      <c r="I103" s="3" t="s">
        <v>1074</v>
      </c>
      <c r="J103" s="6">
        <f>+[94]Main!$K$3</f>
        <v>166.17400000000001</v>
      </c>
      <c r="K103" s="9">
        <v>45541</v>
      </c>
    </row>
    <row r="104" spans="1:29" x14ac:dyDescent="0.2">
      <c r="A104" t="s">
        <v>334</v>
      </c>
      <c r="B104" s="1">
        <f t="shared" si="9"/>
        <v>94</v>
      </c>
      <c r="C104" s="5" t="s">
        <v>112</v>
      </c>
      <c r="D104" s="1" t="s">
        <v>113</v>
      </c>
      <c r="E104" s="3">
        <v>19.670000000000002</v>
      </c>
      <c r="F104" s="6">
        <f>+E104*J104</f>
        <v>2445.2814395800001</v>
      </c>
      <c r="G104" s="6">
        <f>+[95]Main!$L$5-[95]Main!$L$6</f>
        <v>436.77100000000002</v>
      </c>
      <c r="H104" s="6">
        <f>+F104-G104</f>
        <v>2008.5104395800001</v>
      </c>
      <c r="I104" s="3" t="s">
        <v>1074</v>
      </c>
      <c r="J104" s="6">
        <f>+[95]Main!$L$3</f>
        <v>124.315274</v>
      </c>
      <c r="K104" s="9">
        <v>45562</v>
      </c>
    </row>
    <row r="105" spans="1:29" x14ac:dyDescent="0.2">
      <c r="A105" t="s">
        <v>334</v>
      </c>
      <c r="B105" s="1">
        <f t="shared" si="9"/>
        <v>95</v>
      </c>
      <c r="C105" s="5" t="s">
        <v>368</v>
      </c>
      <c r="D105" t="s">
        <v>369</v>
      </c>
      <c r="E105" s="43">
        <v>51800</v>
      </c>
      <c r="F105" s="6">
        <f>+E105*J105/KRW</f>
        <v>2777.1378925331474</v>
      </c>
      <c r="G105" s="6">
        <f>([96]Main!$L$5-[96]Main!$L$6)/KRW</f>
        <v>792.45638520586181</v>
      </c>
      <c r="H105" s="6">
        <f t="shared" si="16"/>
        <v>1984.6815073272855</v>
      </c>
      <c r="I105" s="3" t="s">
        <v>1074</v>
      </c>
      <c r="J105" s="6">
        <f>+[96]Main!$L$3</f>
        <v>76.826999999999998</v>
      </c>
      <c r="K105" s="9">
        <v>45542</v>
      </c>
    </row>
    <row r="106" spans="1:29" x14ac:dyDescent="0.2">
      <c r="B106" s="1">
        <f t="shared" si="9"/>
        <v>96</v>
      </c>
      <c r="C106" s="5" t="s">
        <v>1299</v>
      </c>
      <c r="D106" t="s">
        <v>1300</v>
      </c>
      <c r="E106" s="7">
        <v>14.6</v>
      </c>
      <c r="F106" s="6">
        <f>+E106*[97]Main!$K$3</f>
        <v>2321.1664000000001</v>
      </c>
      <c r="G106" s="6">
        <f>+[97]Main!$K$5-[97]Main!$K$6</f>
        <v>371.63900000000001</v>
      </c>
      <c r="H106" s="6">
        <f>+F106-G106</f>
        <v>1949.5273999999999</v>
      </c>
      <c r="I106" s="3" t="s">
        <v>1074</v>
      </c>
    </row>
    <row r="107" spans="1:29" x14ac:dyDescent="0.2">
      <c r="B107" s="1">
        <f t="shared" si="9"/>
        <v>97</v>
      </c>
      <c r="C107" s="41" t="s">
        <v>1165</v>
      </c>
      <c r="D107" t="s">
        <v>1166</v>
      </c>
      <c r="E107" s="3">
        <v>49.43</v>
      </c>
      <c r="F107" s="6">
        <f>+E107*J107</f>
        <v>1921.42289142</v>
      </c>
      <c r="G107" s="6">
        <f>+[98]Main!$J$5-[98]Main!$J$6</f>
        <v>294.60500000000002</v>
      </c>
      <c r="H107" s="6">
        <f t="shared" si="16"/>
        <v>1626.81789142</v>
      </c>
      <c r="I107" s="3" t="s">
        <v>1074</v>
      </c>
      <c r="J107" s="6">
        <f>+[98]Main!$J$3</f>
        <v>38.871594000000002</v>
      </c>
      <c r="K107" s="9">
        <v>45546</v>
      </c>
      <c r="AC107" s="1">
        <v>1999</v>
      </c>
    </row>
    <row r="108" spans="1:29" s="25" customFormat="1" x14ac:dyDescent="0.2">
      <c r="A108" s="25" t="s">
        <v>334</v>
      </c>
      <c r="B108" s="1">
        <f t="shared" si="9"/>
        <v>98</v>
      </c>
      <c r="C108" s="44" t="s">
        <v>663</v>
      </c>
      <c r="D108" s="25" t="s">
        <v>664</v>
      </c>
      <c r="E108" s="28">
        <v>42</v>
      </c>
      <c r="F108" s="30">
        <f>+E108*J108</f>
        <v>2402.253854</v>
      </c>
      <c r="G108" s="30">
        <f>+[99]Main!$N$5-[99]Main!$N$6</f>
        <v>927.11899999999991</v>
      </c>
      <c r="H108" s="30">
        <f>+F108-G108</f>
        <v>1475.1348540000001</v>
      </c>
      <c r="I108" s="28" t="s">
        <v>1074</v>
      </c>
      <c r="J108" s="30">
        <f>+[99]Main!$N$3</f>
        <v>57.196520333333332</v>
      </c>
      <c r="K108" s="38">
        <v>45572</v>
      </c>
      <c r="L108" s="26"/>
      <c r="M108" s="26"/>
      <c r="N108" s="26"/>
      <c r="O108" s="26"/>
      <c r="P108" s="2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spans="1:29" x14ac:dyDescent="0.2">
      <c r="A109" t="s">
        <v>334</v>
      </c>
      <c r="B109" s="1">
        <f t="shared" si="9"/>
        <v>99</v>
      </c>
      <c r="C109" s="5" t="s">
        <v>293</v>
      </c>
      <c r="D109" s="1" t="s">
        <v>185</v>
      </c>
      <c r="E109" s="7">
        <v>7</v>
      </c>
      <c r="F109" s="6">
        <f>+E109*J109</f>
        <v>1444.6396159999999</v>
      </c>
      <c r="G109" s="6">
        <f>+[100]Main!$M$5-[100]Main!$M$6</f>
        <v>28.069999999999993</v>
      </c>
      <c r="H109" s="6">
        <f>+F109-G109</f>
        <v>1416.569616</v>
      </c>
      <c r="I109" s="3" t="s">
        <v>1044</v>
      </c>
      <c r="J109" s="6">
        <f>+[100]Main!$M$3</f>
        <v>206.37708799999999</v>
      </c>
      <c r="K109" s="9">
        <v>45567</v>
      </c>
    </row>
    <row r="110" spans="1:29" x14ac:dyDescent="0.2">
      <c r="A110" t="s">
        <v>334</v>
      </c>
      <c r="B110" s="1">
        <f t="shared" si="9"/>
        <v>100</v>
      </c>
      <c r="C110" s="5" t="s">
        <v>206</v>
      </c>
      <c r="D110" s="1" t="s">
        <v>207</v>
      </c>
      <c r="E110" s="7">
        <v>6.14</v>
      </c>
      <c r="F110" s="6">
        <f>E110*J110</f>
        <v>1487.0859512599998</v>
      </c>
      <c r="G110" s="6">
        <f>[101]Main!$K$5-[101]Main!$K$6</f>
        <v>442.37</v>
      </c>
      <c r="H110" s="6">
        <f>F110-G110</f>
        <v>1044.7159512599997</v>
      </c>
      <c r="I110" s="3" t="s">
        <v>1074</v>
      </c>
      <c r="J110" s="6">
        <f>[101]Main!$K$3</f>
        <v>242.19640899999999</v>
      </c>
      <c r="K110" s="9">
        <v>45572</v>
      </c>
    </row>
    <row r="111" spans="1:29" x14ac:dyDescent="0.2">
      <c r="A111" t="s">
        <v>334</v>
      </c>
      <c r="B111" s="1">
        <f t="shared" si="9"/>
        <v>101</v>
      </c>
      <c r="C111" s="5" t="s">
        <v>158</v>
      </c>
      <c r="D111" s="1" t="s">
        <v>159</v>
      </c>
      <c r="E111" s="7">
        <v>24.5</v>
      </c>
      <c r="F111" s="6">
        <f>+E111*J111</f>
        <v>2019.1826655000002</v>
      </c>
      <c r="G111" s="6">
        <f>+[102]Main!$K$5-[102]Main!$K$6</f>
        <v>1008.165</v>
      </c>
      <c r="H111" s="6">
        <f>+F111-G111</f>
        <v>1011.0176655000002</v>
      </c>
      <c r="I111" s="3" t="s">
        <v>1074</v>
      </c>
      <c r="J111" s="6">
        <f>+[102]Main!$K$3</f>
        <v>82.415619000000007</v>
      </c>
      <c r="K111" s="9">
        <v>45565</v>
      </c>
    </row>
    <row r="112" spans="1:29" x14ac:dyDescent="0.2">
      <c r="A112" t="s">
        <v>334</v>
      </c>
      <c r="B112" s="1">
        <f t="shared" si="9"/>
        <v>102</v>
      </c>
      <c r="C112" s="5" t="s">
        <v>145</v>
      </c>
      <c r="D112" s="1" t="s">
        <v>146</v>
      </c>
      <c r="E112" s="7">
        <v>20</v>
      </c>
      <c r="F112" s="6">
        <f>+E112*J112</f>
        <v>1929.5</v>
      </c>
      <c r="G112" s="6">
        <f>+[103]Main!$J$5-[103]Main!$J$6</f>
        <v>939.9</v>
      </c>
      <c r="H112" s="6">
        <f t="shared" ref="H112" si="17">+F112-G112</f>
        <v>989.6</v>
      </c>
      <c r="I112" s="3" t="s">
        <v>1044</v>
      </c>
      <c r="J112" s="6">
        <f>+[103]Main!$J$3</f>
        <v>96.474999999999994</v>
      </c>
      <c r="K112" s="9">
        <v>45565</v>
      </c>
    </row>
    <row r="113" spans="1:30" x14ac:dyDescent="0.2">
      <c r="A113" t="s">
        <v>334</v>
      </c>
      <c r="B113" s="1">
        <f t="shared" si="9"/>
        <v>103</v>
      </c>
      <c r="C113" s="5" t="s">
        <v>370</v>
      </c>
      <c r="D113" t="s">
        <v>371</v>
      </c>
      <c r="E113" s="19">
        <v>10.7</v>
      </c>
      <c r="F113" s="6">
        <f>+E113*J113/HKD</f>
        <v>1352.1643102179487</v>
      </c>
      <c r="G113" s="6">
        <f>([104]Main!$J$6-[104]Main!$J$7)/HKD</f>
        <v>376.08884615384613</v>
      </c>
      <c r="H113" s="6">
        <f t="shared" si="16"/>
        <v>976.07546406410256</v>
      </c>
      <c r="I113" s="3" t="s">
        <v>1117</v>
      </c>
      <c r="J113" s="6">
        <f>+[104]Main!$J$4</f>
        <v>985.68987100000004</v>
      </c>
      <c r="K113" s="9">
        <v>45543</v>
      </c>
      <c r="AD113" s="1">
        <v>2012</v>
      </c>
    </row>
    <row r="114" spans="1:30" x14ac:dyDescent="0.2">
      <c r="A114"/>
      <c r="B114" s="1">
        <f>+B113</f>
        <v>103</v>
      </c>
      <c r="C114" s="5" t="s">
        <v>370</v>
      </c>
      <c r="D114" t="s">
        <v>1187</v>
      </c>
      <c r="E114" s="7">
        <v>27.72</v>
      </c>
      <c r="F114" s="6"/>
      <c r="I114" s="3" t="str">
        <f>+I113</f>
        <v>Q423</v>
      </c>
      <c r="J114" s="6"/>
      <c r="K114" s="9">
        <f>+K113</f>
        <v>45543</v>
      </c>
    </row>
    <row r="115" spans="1:30" x14ac:dyDescent="0.2">
      <c r="A115" s="1" t="s">
        <v>334</v>
      </c>
      <c r="B115" s="1">
        <f t="shared" si="9"/>
        <v>104</v>
      </c>
      <c r="C115" s="5" t="s">
        <v>110</v>
      </c>
      <c r="D115" s="1" t="s">
        <v>111</v>
      </c>
      <c r="E115" s="7">
        <v>20.25</v>
      </c>
      <c r="F115" s="6">
        <f>+E115*J115</f>
        <v>1252.1289825000001</v>
      </c>
      <c r="G115" s="6">
        <f>+[105]Main!$O$5-[105]Main!$O$6</f>
        <v>637.79299999999989</v>
      </c>
      <c r="H115" s="6">
        <f>+F115-G115</f>
        <v>614.33598250000023</v>
      </c>
      <c r="I115" s="3" t="s">
        <v>1074</v>
      </c>
      <c r="J115" s="6">
        <f>+[105]Main!$O$3</f>
        <v>61.833530000000003</v>
      </c>
      <c r="K115" s="9">
        <v>45563</v>
      </c>
    </row>
    <row r="116" spans="1:30" x14ac:dyDescent="0.2">
      <c r="A116" t="s">
        <v>334</v>
      </c>
      <c r="B116" s="1">
        <f t="shared" si="9"/>
        <v>105</v>
      </c>
      <c r="C116" s="5" t="s">
        <v>97</v>
      </c>
      <c r="D116" s="1" t="s">
        <v>98</v>
      </c>
      <c r="E116" s="3">
        <v>17.149999999999999</v>
      </c>
      <c r="F116" s="6">
        <f>+E116*J116</f>
        <v>1559.8953999999999</v>
      </c>
      <c r="G116" s="6">
        <f>+[106]Main!$K$5-[106]Main!$K$6</f>
        <v>278.82499999999999</v>
      </c>
      <c r="H116" s="6">
        <f>+F116-G116</f>
        <v>1281.0703999999998</v>
      </c>
      <c r="I116" s="3" t="s">
        <v>1074</v>
      </c>
      <c r="J116" s="6">
        <f>+[106]Main!$K$3</f>
        <v>90.956000000000003</v>
      </c>
      <c r="K116" s="9">
        <v>45573</v>
      </c>
    </row>
    <row r="117" spans="1:30" x14ac:dyDescent="0.2">
      <c r="A117" t="s">
        <v>334</v>
      </c>
      <c r="B117" s="1">
        <f t="shared" si="9"/>
        <v>106</v>
      </c>
      <c r="C117" s="5" t="s">
        <v>763</v>
      </c>
      <c r="D117" t="s">
        <v>764</v>
      </c>
      <c r="E117" s="7">
        <v>11.13</v>
      </c>
      <c r="F117" s="6">
        <f>+E117*J117</f>
        <v>760.17899999999997</v>
      </c>
      <c r="G117" s="6">
        <f>+[107]Main!$K$5-[107]Main!$K$6</f>
        <v>423.93200000000002</v>
      </c>
      <c r="H117" s="6">
        <f>+F117-G117</f>
        <v>336.24699999999996</v>
      </c>
      <c r="I117" s="3" t="s">
        <v>1074</v>
      </c>
      <c r="J117" s="6">
        <v>68.3</v>
      </c>
      <c r="K117" s="9">
        <v>45565</v>
      </c>
      <c r="AC117" s="1">
        <v>2015</v>
      </c>
    </row>
    <row r="118" spans="1:30" x14ac:dyDescent="0.2">
      <c r="A118"/>
      <c r="B118" s="1">
        <f t="shared" si="9"/>
        <v>107</v>
      </c>
      <c r="C118" s="5" t="s">
        <v>1161</v>
      </c>
      <c r="D118" t="s">
        <v>1162</v>
      </c>
      <c r="E118" s="3">
        <v>3.04</v>
      </c>
      <c r="F118" s="6">
        <f>+E118*J118</f>
        <v>757.70519216000002</v>
      </c>
      <c r="G118" s="6">
        <f>+[108]Main!$K$5-[108]Main!$K$6</f>
        <v>565.53499999999997</v>
      </c>
      <c r="H118" s="6">
        <f>+F118-G118</f>
        <v>192.17019216000006</v>
      </c>
      <c r="I118" s="3" t="s">
        <v>1074</v>
      </c>
      <c r="J118" s="6">
        <f>+[108]Main!$K$3</f>
        <v>249.24512899999999</v>
      </c>
      <c r="K118" s="9">
        <v>45505</v>
      </c>
      <c r="AC118" s="1">
        <v>2018</v>
      </c>
    </row>
    <row r="119" spans="1:30" x14ac:dyDescent="0.2">
      <c r="A119" t="s">
        <v>334</v>
      </c>
      <c r="B119" s="1">
        <f t="shared" si="9"/>
        <v>108</v>
      </c>
      <c r="C119" s="5" t="s">
        <v>156</v>
      </c>
      <c r="D119" s="1" t="s">
        <v>157</v>
      </c>
      <c r="E119" s="3">
        <v>2.38</v>
      </c>
      <c r="F119" s="6">
        <f>+E119*J119</f>
        <v>701.30396615999996</v>
      </c>
      <c r="G119" s="6">
        <f>+[109]Main!$L$5-[109]Main!$L$6</f>
        <v>851.52300000000002</v>
      </c>
      <c r="H119" s="6">
        <f>+F119-G119</f>
        <v>-150.21903384000007</v>
      </c>
      <c r="I119" s="3" t="s">
        <v>1074</v>
      </c>
      <c r="J119" s="6">
        <f>+[109]Main!$L$3</f>
        <v>294.66553199999998</v>
      </c>
      <c r="K119" s="9">
        <v>45536</v>
      </c>
    </row>
    <row r="120" spans="1:30" x14ac:dyDescent="0.2">
      <c r="B120" s="1">
        <f t="shared" si="9"/>
        <v>109</v>
      </c>
      <c r="C120" t="s">
        <v>336</v>
      </c>
      <c r="D120" t="s">
        <v>337</v>
      </c>
      <c r="E120" s="3">
        <v>20.18</v>
      </c>
      <c r="F120" s="6">
        <v>4400</v>
      </c>
    </row>
    <row r="121" spans="1:30" x14ac:dyDescent="0.2">
      <c r="B121" s="1">
        <f t="shared" si="9"/>
        <v>110</v>
      </c>
      <c r="C121" t="s">
        <v>731</v>
      </c>
      <c r="D121" t="s">
        <v>732</v>
      </c>
      <c r="E121" s="3">
        <v>50.49</v>
      </c>
      <c r="F121" s="6">
        <v>4000</v>
      </c>
    </row>
    <row r="122" spans="1:30" x14ac:dyDescent="0.2">
      <c r="B122" s="1">
        <f t="shared" si="9"/>
        <v>111</v>
      </c>
      <c r="C122" s="1" t="s">
        <v>498</v>
      </c>
      <c r="D122" s="1" t="s">
        <v>499</v>
      </c>
      <c r="E122" s="3">
        <v>12.37</v>
      </c>
      <c r="F122" s="6">
        <v>3700</v>
      </c>
    </row>
    <row r="123" spans="1:30" x14ac:dyDescent="0.2">
      <c r="A123" t="s">
        <v>334</v>
      </c>
      <c r="B123" s="1">
        <f t="shared" si="9"/>
        <v>112</v>
      </c>
      <c r="C123" s="1" t="s">
        <v>166</v>
      </c>
      <c r="D123" s="1" t="s">
        <v>167</v>
      </c>
      <c r="E123" s="3">
        <v>55.33</v>
      </c>
      <c r="F123" s="6">
        <v>3280</v>
      </c>
    </row>
    <row r="124" spans="1:30" x14ac:dyDescent="0.2">
      <c r="A124" t="s">
        <v>334</v>
      </c>
      <c r="B124" s="1">
        <f t="shared" si="9"/>
        <v>113</v>
      </c>
      <c r="C124" s="1" t="s">
        <v>154</v>
      </c>
      <c r="D124" s="1" t="s">
        <v>155</v>
      </c>
      <c r="E124" s="3">
        <v>29.49</v>
      </c>
      <c r="F124" s="6">
        <v>2880</v>
      </c>
    </row>
    <row r="125" spans="1:30" x14ac:dyDescent="0.2">
      <c r="A125" t="s">
        <v>334</v>
      </c>
      <c r="B125" s="1">
        <f t="shared" si="9"/>
        <v>114</v>
      </c>
      <c r="C125" s="5" t="s">
        <v>162</v>
      </c>
      <c r="D125" s="1" t="s">
        <v>163</v>
      </c>
      <c r="E125" s="7">
        <v>8.08</v>
      </c>
      <c r="F125" s="6">
        <v>2230</v>
      </c>
    </row>
    <row r="126" spans="1:30" x14ac:dyDescent="0.2">
      <c r="A126"/>
      <c r="B126" s="1">
        <f t="shared" si="9"/>
        <v>115</v>
      </c>
      <c r="C126" s="1" t="s">
        <v>522</v>
      </c>
      <c r="D126" t="s">
        <v>124</v>
      </c>
      <c r="E126" s="3">
        <v>18.91</v>
      </c>
      <c r="F126" s="6"/>
    </row>
    <row r="127" spans="1:30" x14ac:dyDescent="0.2">
      <c r="A127" t="s">
        <v>334</v>
      </c>
      <c r="B127" s="1">
        <f t="shared" si="9"/>
        <v>116</v>
      </c>
      <c r="C127" t="s">
        <v>716</v>
      </c>
      <c r="D127" t="s">
        <v>717</v>
      </c>
      <c r="E127" s="3">
        <v>4.0599999999999996</v>
      </c>
      <c r="F127" s="6">
        <v>2400</v>
      </c>
    </row>
    <row r="128" spans="1:30" x14ac:dyDescent="0.2">
      <c r="A128" t="s">
        <v>334</v>
      </c>
      <c r="B128" s="1">
        <f t="shared" si="9"/>
        <v>117</v>
      </c>
      <c r="C128" s="1" t="s">
        <v>173</v>
      </c>
      <c r="D128" s="1" t="s">
        <v>174</v>
      </c>
      <c r="E128" s="7">
        <v>20.010000000000002</v>
      </c>
      <c r="F128" s="6">
        <v>2150</v>
      </c>
    </row>
    <row r="129" spans="1:6" x14ac:dyDescent="0.2">
      <c r="A129" t="s">
        <v>334</v>
      </c>
      <c r="B129" s="1">
        <f t="shared" si="9"/>
        <v>118</v>
      </c>
      <c r="C129" s="1" t="s">
        <v>202</v>
      </c>
      <c r="D129" s="1" t="s">
        <v>203</v>
      </c>
      <c r="E129" s="7">
        <v>57.1</v>
      </c>
      <c r="F129" s="6">
        <v>2590</v>
      </c>
    </row>
    <row r="130" spans="1:6" x14ac:dyDescent="0.2">
      <c r="A130" t="s">
        <v>334</v>
      </c>
      <c r="B130" s="1">
        <f t="shared" si="9"/>
        <v>119</v>
      </c>
      <c r="C130" s="1" t="s">
        <v>179</v>
      </c>
      <c r="D130" s="1" t="s">
        <v>180</v>
      </c>
      <c r="E130" s="3">
        <v>48.73</v>
      </c>
      <c r="F130" s="6">
        <v>2540</v>
      </c>
    </row>
    <row r="131" spans="1:6" x14ac:dyDescent="0.2">
      <c r="A131" t="s">
        <v>334</v>
      </c>
      <c r="B131" s="1">
        <f t="shared" si="9"/>
        <v>120</v>
      </c>
      <c r="C131" s="1" t="s">
        <v>190</v>
      </c>
      <c r="D131" s="1" t="s">
        <v>191</v>
      </c>
      <c r="E131" s="3">
        <v>37.96</v>
      </c>
      <c r="F131" s="6">
        <v>2360</v>
      </c>
    </row>
    <row r="132" spans="1:6" x14ac:dyDescent="0.2">
      <c r="A132" t="s">
        <v>334</v>
      </c>
      <c r="B132" s="1">
        <f t="shared" ref="B132:B135" si="18">+B131+1</f>
        <v>121</v>
      </c>
      <c r="C132" s="1" t="s">
        <v>210</v>
      </c>
      <c r="D132" s="1" t="s">
        <v>211</v>
      </c>
      <c r="E132" s="3">
        <v>36.86</v>
      </c>
      <c r="F132" s="6">
        <v>1990</v>
      </c>
    </row>
    <row r="133" spans="1:6" x14ac:dyDescent="0.2">
      <c r="A133"/>
      <c r="B133" s="1">
        <f t="shared" si="18"/>
        <v>122</v>
      </c>
      <c r="C133" s="1" t="s">
        <v>198</v>
      </c>
      <c r="D133" s="1" t="s">
        <v>199</v>
      </c>
      <c r="E133" s="7">
        <v>76.78</v>
      </c>
      <c r="F133" s="6">
        <v>1970</v>
      </c>
    </row>
    <row r="134" spans="1:6" x14ac:dyDescent="0.2">
      <c r="A134"/>
      <c r="B134" s="1">
        <f t="shared" si="18"/>
        <v>123</v>
      </c>
      <c r="C134" t="s">
        <v>358</v>
      </c>
      <c r="D134" t="s">
        <v>359</v>
      </c>
    </row>
    <row r="135" spans="1:6" x14ac:dyDescent="0.2">
      <c r="A135"/>
      <c r="B135" s="1">
        <f t="shared" si="18"/>
        <v>124</v>
      </c>
      <c r="C135" t="s">
        <v>356</v>
      </c>
      <c r="D135" t="s">
        <v>357</v>
      </c>
    </row>
    <row r="136" spans="1:6" x14ac:dyDescent="0.2">
      <c r="B136" s="1">
        <f t="shared" ref="B136:B162" si="19">+B135+1</f>
        <v>125</v>
      </c>
      <c r="C136" t="s">
        <v>272</v>
      </c>
      <c r="D136" t="s">
        <v>273</v>
      </c>
    </row>
    <row r="137" spans="1:6" x14ac:dyDescent="0.2">
      <c r="B137" s="1">
        <f t="shared" si="19"/>
        <v>126</v>
      </c>
      <c r="C137" t="s">
        <v>1427</v>
      </c>
      <c r="D137" t="s">
        <v>1428</v>
      </c>
      <c r="E137" s="7">
        <v>2.1</v>
      </c>
    </row>
    <row r="138" spans="1:6" x14ac:dyDescent="0.2">
      <c r="B138" s="1">
        <f t="shared" si="19"/>
        <v>127</v>
      </c>
      <c r="C138" t="s">
        <v>1429</v>
      </c>
      <c r="D138" t="s">
        <v>1430</v>
      </c>
      <c r="E138" s="7"/>
    </row>
    <row r="139" spans="1:6" x14ac:dyDescent="0.2">
      <c r="B139" s="1">
        <f t="shared" si="19"/>
        <v>128</v>
      </c>
      <c r="C139" t="s">
        <v>269</v>
      </c>
      <c r="D139" t="s">
        <v>270</v>
      </c>
    </row>
    <row r="140" spans="1:6" x14ac:dyDescent="0.2">
      <c r="B140" s="1">
        <f t="shared" si="19"/>
        <v>129</v>
      </c>
      <c r="C140" s="5" t="s">
        <v>1431</v>
      </c>
      <c r="D140" t="s">
        <v>1432</v>
      </c>
      <c r="E140" s="7">
        <v>2.06</v>
      </c>
    </row>
    <row r="141" spans="1:6" x14ac:dyDescent="0.2">
      <c r="B141" s="1">
        <f>+B139+1</f>
        <v>129</v>
      </c>
      <c r="C141" t="s">
        <v>362</v>
      </c>
      <c r="D141" t="s">
        <v>363</v>
      </c>
    </row>
    <row r="142" spans="1:6" x14ac:dyDescent="0.2">
      <c r="A142"/>
      <c r="B142" s="1">
        <f t="shared" si="19"/>
        <v>130</v>
      </c>
      <c r="C142" t="s">
        <v>1060</v>
      </c>
      <c r="D142" t="s">
        <v>1061</v>
      </c>
    </row>
    <row r="143" spans="1:6" x14ac:dyDescent="0.2">
      <c r="A143"/>
      <c r="B143" s="1">
        <f t="shared" si="19"/>
        <v>131</v>
      </c>
      <c r="C143" t="s">
        <v>1058</v>
      </c>
      <c r="D143" t="s">
        <v>1059</v>
      </c>
      <c r="E143" s="7"/>
    </row>
    <row r="144" spans="1:6" x14ac:dyDescent="0.2">
      <c r="A144"/>
      <c r="B144" s="1">
        <f t="shared" si="19"/>
        <v>132</v>
      </c>
      <c r="C144" t="s">
        <v>1433</v>
      </c>
      <c r="D144"/>
      <c r="E144" s="7"/>
    </row>
    <row r="145" spans="1:29" x14ac:dyDescent="0.2">
      <c r="A145"/>
      <c r="B145" s="1">
        <f>+B143+1</f>
        <v>132</v>
      </c>
      <c r="C145" t="s">
        <v>597</v>
      </c>
      <c r="D145" t="s">
        <v>598</v>
      </c>
    </row>
    <row r="146" spans="1:29" x14ac:dyDescent="0.2">
      <c r="B146" s="1">
        <f t="shared" si="19"/>
        <v>133</v>
      </c>
      <c r="C146" s="1" t="s">
        <v>116</v>
      </c>
      <c r="D146" s="1" t="s">
        <v>117</v>
      </c>
      <c r="E146" s="3">
        <v>83.97</v>
      </c>
    </row>
    <row r="147" spans="1:29" x14ac:dyDescent="0.2">
      <c r="A147"/>
      <c r="B147" s="1">
        <f t="shared" si="19"/>
        <v>134</v>
      </c>
      <c r="C147" t="s">
        <v>1064</v>
      </c>
      <c r="D147" t="s">
        <v>1065</v>
      </c>
      <c r="F147" s="6"/>
    </row>
    <row r="148" spans="1:29" x14ac:dyDescent="0.2">
      <c r="A148"/>
      <c r="B148" s="1">
        <f t="shared" si="19"/>
        <v>135</v>
      </c>
      <c r="C148" t="s">
        <v>1120</v>
      </c>
      <c r="D148" t="s">
        <v>1121</v>
      </c>
      <c r="F148" s="6"/>
    </row>
    <row r="149" spans="1:29" x14ac:dyDescent="0.2">
      <c r="A149"/>
      <c r="B149" s="1">
        <f t="shared" si="19"/>
        <v>136</v>
      </c>
      <c r="C149" t="s">
        <v>1069</v>
      </c>
      <c r="F149" s="6"/>
    </row>
    <row r="150" spans="1:29" x14ac:dyDescent="0.2">
      <c r="A150"/>
      <c r="B150" s="1">
        <f t="shared" si="19"/>
        <v>137</v>
      </c>
      <c r="C150" t="s">
        <v>1070</v>
      </c>
      <c r="F150" s="6"/>
    </row>
    <row r="151" spans="1:29" x14ac:dyDescent="0.2">
      <c r="A151"/>
      <c r="B151" s="1">
        <f t="shared" si="19"/>
        <v>138</v>
      </c>
      <c r="C151" t="s">
        <v>336</v>
      </c>
      <c r="D151" t="s">
        <v>337</v>
      </c>
      <c r="F151" s="6"/>
    </row>
    <row r="152" spans="1:29" x14ac:dyDescent="0.2">
      <c r="A152"/>
      <c r="B152" s="1">
        <f t="shared" si="19"/>
        <v>139</v>
      </c>
      <c r="C152" t="s">
        <v>1068</v>
      </c>
      <c r="F152" s="6"/>
    </row>
    <row r="153" spans="1:29" x14ac:dyDescent="0.2">
      <c r="A153"/>
      <c r="B153" s="1">
        <f t="shared" si="19"/>
        <v>140</v>
      </c>
      <c r="C153" t="s">
        <v>1150</v>
      </c>
      <c r="D153" s="1" t="s">
        <v>1151</v>
      </c>
      <c r="F153" s="6"/>
    </row>
    <row r="154" spans="1:29" x14ac:dyDescent="0.2">
      <c r="A154" t="s">
        <v>334</v>
      </c>
      <c r="B154" s="1">
        <f t="shared" si="19"/>
        <v>141</v>
      </c>
      <c r="C154" t="s">
        <v>682</v>
      </c>
      <c r="D154" t="s">
        <v>683</v>
      </c>
    </row>
    <row r="155" spans="1:29" x14ac:dyDescent="0.2">
      <c r="A155"/>
      <c r="B155" s="1">
        <f t="shared" si="19"/>
        <v>142</v>
      </c>
      <c r="C155" t="s">
        <v>307</v>
      </c>
      <c r="D155" t="s">
        <v>308</v>
      </c>
      <c r="E155" s="3">
        <v>4.26</v>
      </c>
      <c r="F155" s="6"/>
      <c r="AC155" s="1">
        <v>2011</v>
      </c>
    </row>
    <row r="156" spans="1:29" x14ac:dyDescent="0.2">
      <c r="A156" t="s">
        <v>334</v>
      </c>
      <c r="B156" s="1">
        <f t="shared" si="19"/>
        <v>143</v>
      </c>
      <c r="C156" s="5" t="s">
        <v>375</v>
      </c>
      <c r="D156" t="s">
        <v>376</v>
      </c>
      <c r="E156" s="3">
        <v>32.26</v>
      </c>
      <c r="F156" s="6">
        <f>+E156*J156</f>
        <v>1873.2795513199999</v>
      </c>
      <c r="G156" s="6">
        <f>+[110]Main!$J$5-[110]Main!$J$6</f>
        <v>566.44900000000007</v>
      </c>
      <c r="H156" s="6">
        <f t="shared" ref="H156:H158" si="20">+F156-G156</f>
        <v>1306.8305513199998</v>
      </c>
      <c r="I156" s="3" t="s">
        <v>301</v>
      </c>
      <c r="J156" s="6">
        <f>+[110]Main!$J$3</f>
        <v>58.068182</v>
      </c>
      <c r="K156" s="9">
        <v>44824</v>
      </c>
    </row>
    <row r="157" spans="1:29" x14ac:dyDescent="0.2">
      <c r="A157" t="s">
        <v>334</v>
      </c>
      <c r="B157" s="1">
        <f t="shared" si="19"/>
        <v>144</v>
      </c>
      <c r="C157" s="5" t="s">
        <v>512</v>
      </c>
      <c r="D157" t="s">
        <v>513</v>
      </c>
      <c r="E157" s="3">
        <v>12.41</v>
      </c>
      <c r="F157" s="6">
        <f>E157*J157</f>
        <v>686.11028007999994</v>
      </c>
      <c r="G157" s="6">
        <f>[111]Main!$L$5-[111]Main!$L$6</f>
        <v>578</v>
      </c>
      <c r="H157" s="6">
        <f t="shared" si="20"/>
        <v>108.11028007999994</v>
      </c>
      <c r="I157" s="3" t="s">
        <v>649</v>
      </c>
      <c r="J157" s="6">
        <f>[111]Main!$L$3</f>
        <v>55.286887999999998</v>
      </c>
      <c r="K157" s="9">
        <v>45064</v>
      </c>
    </row>
    <row r="158" spans="1:29" x14ac:dyDescent="0.2">
      <c r="A158" t="s">
        <v>334</v>
      </c>
      <c r="B158" s="1">
        <f t="shared" si="19"/>
        <v>145</v>
      </c>
      <c r="C158" s="5" t="s">
        <v>782</v>
      </c>
      <c r="D158" t="s">
        <v>783</v>
      </c>
      <c r="E158" s="7">
        <v>3.06</v>
      </c>
      <c r="F158" s="6">
        <f>E158*J158</f>
        <v>205.55876502000001</v>
      </c>
      <c r="G158" s="6">
        <f>[112]Main!$O$5-[112]Main!$O$6</f>
        <v>345.67399999999998</v>
      </c>
      <c r="H158" s="6">
        <f t="shared" si="20"/>
        <v>-140.11523497999997</v>
      </c>
      <c r="I158" s="3" t="s">
        <v>649</v>
      </c>
      <c r="J158" s="6">
        <f>[112]Main!$O$3</f>
        <v>67.176067000000003</v>
      </c>
      <c r="K158" s="9">
        <v>45067</v>
      </c>
    </row>
    <row r="159" spans="1:29" x14ac:dyDescent="0.2">
      <c r="A159" t="s">
        <v>334</v>
      </c>
      <c r="B159" s="1">
        <f t="shared" si="19"/>
        <v>146</v>
      </c>
      <c r="C159" s="5" t="s">
        <v>181</v>
      </c>
      <c r="D159" s="1" t="s">
        <v>182</v>
      </c>
      <c r="E159" s="7">
        <v>7.28</v>
      </c>
      <c r="F159" s="6">
        <f>E159*J159</f>
        <v>434.74418623999998</v>
      </c>
      <c r="G159" s="6">
        <f>[113]Main!$K$5-[113]Main!$K$6</f>
        <v>1272.4940000000001</v>
      </c>
      <c r="H159" s="6">
        <f>F159-G159</f>
        <v>-837.74981376000017</v>
      </c>
      <c r="I159" s="3" t="s">
        <v>517</v>
      </c>
      <c r="J159" s="6">
        <f>[113]Main!$K$3</f>
        <v>59.717607999999998</v>
      </c>
      <c r="K159" s="9">
        <v>44999</v>
      </c>
    </row>
    <row r="160" spans="1:29" x14ac:dyDescent="0.2">
      <c r="A160"/>
      <c r="B160" s="1">
        <f t="shared" si="19"/>
        <v>147</v>
      </c>
      <c r="C160" s="5" t="s">
        <v>141</v>
      </c>
      <c r="D160" t="s">
        <v>1180</v>
      </c>
      <c r="E160" s="7">
        <v>5.91</v>
      </c>
      <c r="F160" s="6"/>
    </row>
    <row r="161" spans="1:6" x14ac:dyDescent="0.2">
      <c r="A161"/>
      <c r="B161" s="1">
        <f>+B160</f>
        <v>147</v>
      </c>
      <c r="C161" s="5" t="s">
        <v>141</v>
      </c>
      <c r="D161" t="s">
        <v>142</v>
      </c>
      <c r="E161" s="7">
        <v>3.32</v>
      </c>
      <c r="F161" s="6"/>
    </row>
    <row r="162" spans="1:6" x14ac:dyDescent="0.2">
      <c r="A162"/>
      <c r="B162" s="1">
        <f t="shared" si="19"/>
        <v>148</v>
      </c>
      <c r="C162" s="1" t="s">
        <v>216</v>
      </c>
      <c r="D162" s="1" t="s">
        <v>217</v>
      </c>
      <c r="E162" s="3">
        <v>18.309999999999999</v>
      </c>
      <c r="F162" s="6">
        <v>1930</v>
      </c>
    </row>
    <row r="163" spans="1:6" x14ac:dyDescent="0.2">
      <c r="A163"/>
      <c r="B163" s="1">
        <f t="shared" ref="B163:B172" si="21">+B162+1</f>
        <v>149</v>
      </c>
      <c r="C163" t="s">
        <v>1182</v>
      </c>
      <c r="D163" t="s">
        <v>1183</v>
      </c>
      <c r="F163" s="6"/>
    </row>
    <row r="164" spans="1:6" x14ac:dyDescent="0.2">
      <c r="A164"/>
      <c r="B164" s="1">
        <f t="shared" si="21"/>
        <v>150</v>
      </c>
      <c r="C164" t="s">
        <v>1124</v>
      </c>
      <c r="D164" t="s">
        <v>1125</v>
      </c>
      <c r="F164" s="6"/>
    </row>
    <row r="165" spans="1:6" x14ac:dyDescent="0.2">
      <c r="B165" s="1">
        <f t="shared" si="21"/>
        <v>151</v>
      </c>
      <c r="C165" t="s">
        <v>1126</v>
      </c>
      <c r="D165" t="s">
        <v>1127</v>
      </c>
    </row>
    <row r="166" spans="1:6" x14ac:dyDescent="0.2">
      <c r="A166" t="s">
        <v>334</v>
      </c>
      <c r="B166" s="1">
        <f t="shared" si="21"/>
        <v>152</v>
      </c>
      <c r="C166" t="s">
        <v>694</v>
      </c>
      <c r="D166" t="s">
        <v>695</v>
      </c>
      <c r="F166" s="6"/>
    </row>
    <row r="167" spans="1:6" x14ac:dyDescent="0.2">
      <c r="A167" t="s">
        <v>334</v>
      </c>
      <c r="B167" s="1">
        <f t="shared" si="21"/>
        <v>153</v>
      </c>
      <c r="C167" s="1" t="s">
        <v>187</v>
      </c>
      <c r="D167" s="1" t="s">
        <v>188</v>
      </c>
      <c r="E167" s="7">
        <v>10.1</v>
      </c>
      <c r="F167" s="6">
        <v>1880</v>
      </c>
    </row>
    <row r="168" spans="1:6" x14ac:dyDescent="0.2">
      <c r="A168" t="s">
        <v>334</v>
      </c>
      <c r="B168" s="1">
        <f t="shared" si="21"/>
        <v>154</v>
      </c>
      <c r="C168" s="1" t="s">
        <v>784</v>
      </c>
      <c r="D168" s="1" t="s">
        <v>170</v>
      </c>
      <c r="E168" s="3">
        <v>38.67</v>
      </c>
      <c r="F168" s="6">
        <v>1770</v>
      </c>
    </row>
    <row r="169" spans="1:6" x14ac:dyDescent="0.2">
      <c r="A169" t="s">
        <v>334</v>
      </c>
      <c r="B169" s="1">
        <f t="shared" si="21"/>
        <v>155</v>
      </c>
      <c r="C169" t="s">
        <v>377</v>
      </c>
      <c r="D169" t="s">
        <v>378</v>
      </c>
      <c r="E169" s="7">
        <v>43.5</v>
      </c>
    </row>
    <row r="170" spans="1:6" x14ac:dyDescent="0.2">
      <c r="A170" t="s">
        <v>334</v>
      </c>
      <c r="B170" s="1">
        <f t="shared" si="21"/>
        <v>156</v>
      </c>
      <c r="C170" t="s">
        <v>692</v>
      </c>
      <c r="D170" t="s">
        <v>693</v>
      </c>
      <c r="E170" s="7"/>
    </row>
    <row r="171" spans="1:6" x14ac:dyDescent="0.2">
      <c r="A171"/>
      <c r="B171" s="1">
        <f t="shared" si="21"/>
        <v>157</v>
      </c>
      <c r="C171" s="5" t="s">
        <v>1072</v>
      </c>
      <c r="D171" t="s">
        <v>1073</v>
      </c>
      <c r="E171" s="7">
        <v>17</v>
      </c>
      <c r="F171" s="6"/>
    </row>
    <row r="172" spans="1:6" x14ac:dyDescent="0.2">
      <c r="A172" t="s">
        <v>334</v>
      </c>
      <c r="B172" s="1">
        <f t="shared" si="21"/>
        <v>158</v>
      </c>
      <c r="C172" t="s">
        <v>726</v>
      </c>
      <c r="F172" s="6"/>
    </row>
    <row r="173" spans="1:6" x14ac:dyDescent="0.2">
      <c r="A173" t="s">
        <v>334</v>
      </c>
      <c r="B173" s="1">
        <f t="shared" ref="B173:B236" si="22">+B172+1</f>
        <v>159</v>
      </c>
      <c r="C173" s="1" t="s">
        <v>183</v>
      </c>
      <c r="D173" s="1" t="s">
        <v>184</v>
      </c>
      <c r="E173" s="3">
        <v>41.59</v>
      </c>
      <c r="F173" s="6">
        <v>1730</v>
      </c>
    </row>
    <row r="174" spans="1:6" x14ac:dyDescent="0.2">
      <c r="A174" t="s">
        <v>334</v>
      </c>
      <c r="B174" s="1">
        <f t="shared" si="22"/>
        <v>160</v>
      </c>
      <c r="C174" s="1" t="s">
        <v>177</v>
      </c>
      <c r="D174" s="1" t="s">
        <v>178</v>
      </c>
      <c r="E174" s="3">
        <v>22.22</v>
      </c>
      <c r="F174" s="6">
        <v>1720</v>
      </c>
    </row>
    <row r="175" spans="1:6" x14ac:dyDescent="0.2">
      <c r="A175" s="1" t="s">
        <v>334</v>
      </c>
      <c r="B175" s="1">
        <f t="shared" si="22"/>
        <v>161</v>
      </c>
      <c r="C175" s="25" t="s">
        <v>623</v>
      </c>
      <c r="D175" s="25" t="s">
        <v>624</v>
      </c>
      <c r="E175" s="26">
        <v>20.66</v>
      </c>
      <c r="F175" s="27">
        <v>1400</v>
      </c>
    </row>
    <row r="176" spans="1:6" x14ac:dyDescent="0.2">
      <c r="A176" t="s">
        <v>334</v>
      </c>
      <c r="B176" s="1">
        <f t="shared" si="22"/>
        <v>162</v>
      </c>
      <c r="C176" t="s">
        <v>765</v>
      </c>
      <c r="D176" t="s">
        <v>766</v>
      </c>
      <c r="E176" s="7"/>
      <c r="F176" s="6"/>
    </row>
    <row r="177" spans="1:28" x14ac:dyDescent="0.2">
      <c r="A177"/>
      <c r="B177" s="1">
        <f t="shared" si="22"/>
        <v>163</v>
      </c>
      <c r="C177" t="s">
        <v>780</v>
      </c>
      <c r="D177" t="s">
        <v>781</v>
      </c>
      <c r="E177" s="7"/>
      <c r="F177" s="6"/>
    </row>
    <row r="178" spans="1:28" x14ac:dyDescent="0.2">
      <c r="A178" t="s">
        <v>334</v>
      </c>
      <c r="B178" s="1">
        <f t="shared" si="22"/>
        <v>164</v>
      </c>
      <c r="C178" t="s">
        <v>779</v>
      </c>
      <c r="D178"/>
      <c r="E178" s="7"/>
      <c r="F178" s="6"/>
    </row>
    <row r="179" spans="1:28" x14ac:dyDescent="0.2">
      <c r="A179" t="s">
        <v>334</v>
      </c>
      <c r="B179" s="1">
        <f t="shared" si="22"/>
        <v>165</v>
      </c>
      <c r="C179" s="1" t="s">
        <v>160</v>
      </c>
      <c r="D179" s="1" t="s">
        <v>161</v>
      </c>
      <c r="E179" s="7">
        <v>5.75</v>
      </c>
      <c r="F179" s="6">
        <v>1100</v>
      </c>
    </row>
    <row r="180" spans="1:28" x14ac:dyDescent="0.2">
      <c r="A180" t="s">
        <v>334</v>
      </c>
      <c r="B180" s="1">
        <f t="shared" si="22"/>
        <v>166</v>
      </c>
      <c r="C180" t="s">
        <v>777</v>
      </c>
      <c r="D180" t="s">
        <v>778</v>
      </c>
      <c r="E180" s="7"/>
      <c r="F180" s="6"/>
    </row>
    <row r="181" spans="1:28" x14ac:dyDescent="0.2">
      <c r="A181" t="s">
        <v>334</v>
      </c>
      <c r="B181" s="1">
        <f t="shared" si="22"/>
        <v>167</v>
      </c>
      <c r="C181" t="s">
        <v>438</v>
      </c>
      <c r="D181" t="s">
        <v>439</v>
      </c>
      <c r="E181" s="3">
        <v>23.13</v>
      </c>
      <c r="F181" s="6">
        <v>1000</v>
      </c>
    </row>
    <row r="182" spans="1:28" x14ac:dyDescent="0.2">
      <c r="A182" s="1" t="s">
        <v>334</v>
      </c>
      <c r="B182" s="1">
        <f t="shared" si="22"/>
        <v>168</v>
      </c>
      <c r="C182" s="1" t="s">
        <v>104</v>
      </c>
      <c r="D182" s="1" t="s">
        <v>105</v>
      </c>
      <c r="E182" s="3">
        <v>24.78</v>
      </c>
    </row>
    <row r="183" spans="1:28" x14ac:dyDescent="0.2">
      <c r="A183" t="s">
        <v>334</v>
      </c>
      <c r="B183" s="1">
        <f t="shared" si="22"/>
        <v>169</v>
      </c>
      <c r="C183" s="1" t="s">
        <v>106</v>
      </c>
      <c r="D183" s="1" t="s">
        <v>107</v>
      </c>
      <c r="E183" s="3">
        <v>4.72</v>
      </c>
    </row>
    <row r="184" spans="1:28" x14ac:dyDescent="0.2">
      <c r="A184" t="s">
        <v>334</v>
      </c>
      <c r="B184" s="1">
        <f t="shared" si="22"/>
        <v>170</v>
      </c>
      <c r="C184" s="1" t="s">
        <v>108</v>
      </c>
      <c r="D184" s="1" t="s">
        <v>109</v>
      </c>
      <c r="E184" s="3">
        <v>24.53</v>
      </c>
    </row>
    <row r="185" spans="1:28" x14ac:dyDescent="0.2">
      <c r="A185" t="s">
        <v>334</v>
      </c>
      <c r="B185" s="1">
        <f t="shared" si="22"/>
        <v>171</v>
      </c>
      <c r="C185" t="s">
        <v>769</v>
      </c>
      <c r="D185" t="s">
        <v>770</v>
      </c>
      <c r="F185" s="6"/>
    </row>
    <row r="186" spans="1:28" x14ac:dyDescent="0.2">
      <c r="A186" t="s">
        <v>334</v>
      </c>
      <c r="B186" s="1">
        <f t="shared" si="22"/>
        <v>172</v>
      </c>
      <c r="C186" t="s">
        <v>767</v>
      </c>
      <c r="D186" t="s">
        <v>768</v>
      </c>
      <c r="F186" s="6"/>
    </row>
    <row r="187" spans="1:28" x14ac:dyDescent="0.2">
      <c r="A187" t="s">
        <v>334</v>
      </c>
      <c r="B187" s="1">
        <f t="shared" si="22"/>
        <v>173</v>
      </c>
      <c r="C187" s="1" t="s">
        <v>171</v>
      </c>
      <c r="D187" s="1" t="s">
        <v>172</v>
      </c>
      <c r="E187" s="7">
        <v>21.6</v>
      </c>
      <c r="F187" s="6">
        <v>991</v>
      </c>
    </row>
    <row r="188" spans="1:28" x14ac:dyDescent="0.2">
      <c r="A188" t="s">
        <v>334</v>
      </c>
      <c r="B188" s="1">
        <f>+B83+1</f>
        <v>74</v>
      </c>
      <c r="C188" t="s">
        <v>720</v>
      </c>
      <c r="D188" t="s">
        <v>721</v>
      </c>
      <c r="F188" s="6"/>
    </row>
    <row r="189" spans="1:28" x14ac:dyDescent="0.2">
      <c r="B189" s="1">
        <f t="shared" si="22"/>
        <v>75</v>
      </c>
      <c r="C189" s="1" t="s">
        <v>196</v>
      </c>
      <c r="D189" s="1" t="s">
        <v>197</v>
      </c>
      <c r="E189" s="3">
        <v>2.42</v>
      </c>
      <c r="F189" s="6">
        <v>823</v>
      </c>
    </row>
    <row r="190" spans="1:28" x14ac:dyDescent="0.2">
      <c r="A190" t="s">
        <v>334</v>
      </c>
      <c r="B190" s="1">
        <f t="shared" si="22"/>
        <v>76</v>
      </c>
      <c r="C190" t="s">
        <v>718</v>
      </c>
      <c r="D190" t="s">
        <v>719</v>
      </c>
      <c r="F190" s="6"/>
    </row>
    <row r="191" spans="1:28" s="25" customFormat="1" x14ac:dyDescent="0.2">
      <c r="B191" s="1">
        <f>+B127+1</f>
        <v>117</v>
      </c>
      <c r="C191" s="25" t="s">
        <v>1188</v>
      </c>
      <c r="D191" s="25" t="s">
        <v>1189</v>
      </c>
      <c r="E191" s="48">
        <v>28.76</v>
      </c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spans="1:28" x14ac:dyDescent="0.2">
      <c r="A192" t="s">
        <v>334</v>
      </c>
      <c r="B192" s="1">
        <f t="shared" si="22"/>
        <v>118</v>
      </c>
      <c r="C192" t="s">
        <v>798</v>
      </c>
      <c r="D192" t="s">
        <v>799</v>
      </c>
      <c r="F192" s="6"/>
    </row>
    <row r="193" spans="1:6" x14ac:dyDescent="0.2">
      <c r="A193" t="s">
        <v>334</v>
      </c>
      <c r="B193" s="1">
        <f t="shared" si="22"/>
        <v>119</v>
      </c>
      <c r="C193" t="s">
        <v>796</v>
      </c>
      <c r="D193" t="s">
        <v>797</v>
      </c>
      <c r="F193" s="6"/>
    </row>
    <row r="194" spans="1:6" x14ac:dyDescent="0.2">
      <c r="A194"/>
      <c r="B194" s="1">
        <f t="shared" si="22"/>
        <v>120</v>
      </c>
      <c r="C194" t="s">
        <v>1272</v>
      </c>
      <c r="D194" t="s">
        <v>1273</v>
      </c>
      <c r="E194" s="7">
        <v>3.5</v>
      </c>
      <c r="F194" s="6"/>
    </row>
    <row r="195" spans="1:6" x14ac:dyDescent="0.2">
      <c r="A195" t="s">
        <v>334</v>
      </c>
      <c r="B195" s="1">
        <f t="shared" si="22"/>
        <v>121</v>
      </c>
      <c r="C195" t="s">
        <v>794</v>
      </c>
      <c r="D195" t="s">
        <v>795</v>
      </c>
      <c r="F195" s="6"/>
    </row>
    <row r="196" spans="1:6" x14ac:dyDescent="0.2">
      <c r="A196" t="s">
        <v>334</v>
      </c>
      <c r="B196" s="1">
        <f t="shared" si="22"/>
        <v>122</v>
      </c>
      <c r="C196" t="s">
        <v>793</v>
      </c>
      <c r="D196" t="s">
        <v>792</v>
      </c>
      <c r="F196" s="6"/>
    </row>
    <row r="197" spans="1:6" x14ac:dyDescent="0.2">
      <c r="A197" t="s">
        <v>334</v>
      </c>
      <c r="B197" s="1">
        <f t="shared" si="22"/>
        <v>123</v>
      </c>
      <c r="C197" t="s">
        <v>790</v>
      </c>
      <c r="D197" t="s">
        <v>791</v>
      </c>
      <c r="F197" s="6"/>
    </row>
    <row r="198" spans="1:6" x14ac:dyDescent="0.2">
      <c r="A198" t="s">
        <v>334</v>
      </c>
      <c r="B198" s="1">
        <f t="shared" si="22"/>
        <v>124</v>
      </c>
      <c r="C198" t="s">
        <v>771</v>
      </c>
      <c r="D198" t="s">
        <v>772</v>
      </c>
      <c r="F198" s="6"/>
    </row>
    <row r="199" spans="1:6" x14ac:dyDescent="0.2">
      <c r="A199" t="s">
        <v>334</v>
      </c>
      <c r="B199" s="1">
        <f t="shared" si="22"/>
        <v>125</v>
      </c>
      <c r="C199" s="1" t="s">
        <v>194</v>
      </c>
      <c r="D199" s="1" t="s">
        <v>195</v>
      </c>
      <c r="E199" s="7">
        <v>5.7</v>
      </c>
      <c r="F199" s="6">
        <v>821</v>
      </c>
    </row>
    <row r="200" spans="1:6" x14ac:dyDescent="0.2">
      <c r="A200" t="s">
        <v>334</v>
      </c>
      <c r="B200" s="1">
        <f t="shared" si="22"/>
        <v>126</v>
      </c>
      <c r="C200" t="s">
        <v>304</v>
      </c>
      <c r="D200" t="s">
        <v>305</v>
      </c>
      <c r="E200" s="3">
        <v>3.23</v>
      </c>
      <c r="F200" s="6">
        <v>630</v>
      </c>
    </row>
    <row r="201" spans="1:6" x14ac:dyDescent="0.2">
      <c r="A201" t="s">
        <v>334</v>
      </c>
      <c r="B201" s="1">
        <f t="shared" si="22"/>
        <v>127</v>
      </c>
      <c r="C201" t="s">
        <v>706</v>
      </c>
      <c r="D201" t="s">
        <v>707</v>
      </c>
      <c r="F201" s="6"/>
    </row>
    <row r="202" spans="1:6" x14ac:dyDescent="0.2">
      <c r="A202" t="s">
        <v>334</v>
      </c>
      <c r="B202" s="1">
        <f>+B218+1</f>
        <v>129</v>
      </c>
      <c r="C202" t="s">
        <v>704</v>
      </c>
      <c r="D202" t="s">
        <v>705</v>
      </c>
      <c r="F202" s="6"/>
    </row>
    <row r="203" spans="1:6" x14ac:dyDescent="0.2">
      <c r="A203" t="s">
        <v>334</v>
      </c>
      <c r="B203" s="1">
        <f t="shared" si="22"/>
        <v>130</v>
      </c>
      <c r="C203" s="1" t="s">
        <v>200</v>
      </c>
      <c r="D203" s="1" t="s">
        <v>201</v>
      </c>
      <c r="E203" s="3">
        <v>4.16</v>
      </c>
      <c r="F203" s="6">
        <v>590</v>
      </c>
    </row>
    <row r="204" spans="1:6" x14ac:dyDescent="0.2">
      <c r="A204" t="s">
        <v>334</v>
      </c>
      <c r="B204" s="1">
        <f t="shared" si="22"/>
        <v>131</v>
      </c>
      <c r="C204" t="s">
        <v>291</v>
      </c>
      <c r="D204" t="s">
        <v>292</v>
      </c>
      <c r="E204" s="3">
        <v>8.4499999999999993</v>
      </c>
      <c r="F204" s="6">
        <f>4406/HKD</f>
        <v>564.87179487179492</v>
      </c>
    </row>
    <row r="205" spans="1:6" x14ac:dyDescent="0.2">
      <c r="A205" t="s">
        <v>334</v>
      </c>
      <c r="B205" s="1">
        <f t="shared" si="22"/>
        <v>132</v>
      </c>
      <c r="C205" t="s">
        <v>727</v>
      </c>
      <c r="D205" t="s">
        <v>728</v>
      </c>
      <c r="F205" s="6"/>
    </row>
    <row r="206" spans="1:6" x14ac:dyDescent="0.2">
      <c r="B206" s="1">
        <f t="shared" si="22"/>
        <v>133</v>
      </c>
      <c r="C206" s="1" t="s">
        <v>143</v>
      </c>
      <c r="D206" s="1" t="s">
        <v>144</v>
      </c>
      <c r="E206" s="3">
        <v>2.37</v>
      </c>
      <c r="F206" s="6"/>
    </row>
    <row r="207" spans="1:6" x14ac:dyDescent="0.2">
      <c r="A207" t="s">
        <v>334</v>
      </c>
      <c r="B207" s="1">
        <f t="shared" si="22"/>
        <v>134</v>
      </c>
      <c r="C207" t="s">
        <v>510</v>
      </c>
      <c r="D207" t="s">
        <v>511</v>
      </c>
      <c r="E207" s="7">
        <v>3.19</v>
      </c>
      <c r="F207" s="6">
        <v>439</v>
      </c>
    </row>
    <row r="208" spans="1:6" x14ac:dyDescent="0.2">
      <c r="A208" t="s">
        <v>334</v>
      </c>
      <c r="B208" s="1">
        <f t="shared" si="22"/>
        <v>135</v>
      </c>
      <c r="C208" s="1" t="s">
        <v>208</v>
      </c>
      <c r="D208" s="1" t="s">
        <v>209</v>
      </c>
      <c r="E208" s="3">
        <v>10.98</v>
      </c>
      <c r="F208" s="6">
        <v>548</v>
      </c>
    </row>
    <row r="209" spans="1:29" x14ac:dyDescent="0.2">
      <c r="A209" s="25" t="s">
        <v>334</v>
      </c>
      <c r="B209" s="1">
        <f t="shared" si="22"/>
        <v>136</v>
      </c>
      <c r="C209" s="44" t="s">
        <v>773</v>
      </c>
      <c r="D209" s="25" t="s">
        <v>774</v>
      </c>
      <c r="E209" s="26">
        <v>28.45</v>
      </c>
      <c r="F209" s="27">
        <f>+E209*J209</f>
        <v>1364.9219226999999</v>
      </c>
      <c r="G209" s="27">
        <f>+[114]Main!$J$5-[114]Main!$J$6</f>
        <v>167.291</v>
      </c>
      <c r="H209" s="27">
        <f t="shared" ref="H209:H216" si="23">+F209-G209</f>
        <v>1197.6309226999999</v>
      </c>
      <c r="I209" s="26" t="s">
        <v>1074</v>
      </c>
      <c r="J209" s="27">
        <f>+[114]Main!$J$3</f>
        <v>47.976165999999999</v>
      </c>
      <c r="K209" s="45">
        <v>45531</v>
      </c>
    </row>
    <row r="210" spans="1:29" x14ac:dyDescent="0.2">
      <c r="A210" t="s">
        <v>334</v>
      </c>
      <c r="B210" s="1">
        <f t="shared" si="22"/>
        <v>137</v>
      </c>
      <c r="C210" s="5" t="s">
        <v>288</v>
      </c>
      <c r="D210" t="s">
        <v>289</v>
      </c>
      <c r="E210" s="3">
        <v>15.65</v>
      </c>
      <c r="F210" s="6">
        <f>E210*[115]Main!$L$3</f>
        <v>1253.1559559500001</v>
      </c>
      <c r="G210" s="6">
        <f>+[115]Main!$L$5-[115]Main!$L$6</f>
        <v>112.015</v>
      </c>
      <c r="H210" s="6">
        <f t="shared" si="23"/>
        <v>1141.14095595</v>
      </c>
      <c r="I210" s="3" t="s">
        <v>16</v>
      </c>
    </row>
    <row r="211" spans="1:29" x14ac:dyDescent="0.2">
      <c r="A211"/>
      <c r="B211" s="1">
        <f t="shared" si="22"/>
        <v>138</v>
      </c>
      <c r="C211" s="5" t="s">
        <v>952</v>
      </c>
      <c r="D211" t="s">
        <v>953</v>
      </c>
      <c r="E211" s="3">
        <v>33.89</v>
      </c>
      <c r="F211" s="6">
        <f>+E211*J211</f>
        <v>1318.30476669</v>
      </c>
      <c r="G211" s="6">
        <f>+[116]Main!$K$5-[116]Main!$K$6</f>
        <v>304.87299999999999</v>
      </c>
      <c r="H211" s="6">
        <f>+F211-G211</f>
        <v>1013.4317666899999</v>
      </c>
      <c r="I211" s="3" t="s">
        <v>1074</v>
      </c>
      <c r="J211" s="6">
        <f>+[116]Main!$K$3</f>
        <v>38.899521</v>
      </c>
      <c r="K211" s="9">
        <v>45558</v>
      </c>
    </row>
    <row r="212" spans="1:29" x14ac:dyDescent="0.2">
      <c r="A212" t="s">
        <v>334</v>
      </c>
      <c r="B212" s="1">
        <f t="shared" si="22"/>
        <v>139</v>
      </c>
      <c r="C212" s="5" t="s">
        <v>224</v>
      </c>
      <c r="D212" s="1" t="s">
        <v>225</v>
      </c>
      <c r="E212" s="3">
        <v>23.75</v>
      </c>
      <c r="F212" s="6">
        <f>+E212*J212</f>
        <v>1355.4004112499999</v>
      </c>
      <c r="G212" s="6">
        <f>+[117]Main!$K$5-[117]Main!$K$6</f>
        <v>449.76100000000002</v>
      </c>
      <c r="H212" s="6">
        <f t="shared" si="23"/>
        <v>905.63941124999997</v>
      </c>
      <c r="I212" s="3" t="s">
        <v>419</v>
      </c>
      <c r="J212" s="6">
        <f>+[117]Main!$K$3</f>
        <v>57.069490999999999</v>
      </c>
      <c r="K212" s="9">
        <v>44947</v>
      </c>
      <c r="AC212" s="1">
        <v>2015</v>
      </c>
    </row>
    <row r="213" spans="1:29" x14ac:dyDescent="0.2">
      <c r="A213" t="s">
        <v>334</v>
      </c>
      <c r="B213" s="1">
        <f t="shared" si="22"/>
        <v>140</v>
      </c>
      <c r="C213" s="5" t="s">
        <v>755</v>
      </c>
      <c r="D213" t="s">
        <v>756</v>
      </c>
      <c r="E213" s="7">
        <v>14.34</v>
      </c>
      <c r="F213" s="6">
        <f>+E213*J213</f>
        <v>1258.48493904</v>
      </c>
      <c r="G213" s="6">
        <f>+[118]Main!$K$5-[118]Main!$K$6</f>
        <v>361.86599999999999</v>
      </c>
      <c r="H213" s="6">
        <f t="shared" si="23"/>
        <v>896.61893903999999</v>
      </c>
      <c r="I213" s="3" t="s">
        <v>1074</v>
      </c>
      <c r="J213" s="6">
        <f>+[118]Main!$K$3</f>
        <v>87.760456000000005</v>
      </c>
      <c r="K213" s="9">
        <v>45555</v>
      </c>
    </row>
    <row r="214" spans="1:29" x14ac:dyDescent="0.2">
      <c r="B214" s="1">
        <f t="shared" si="22"/>
        <v>141</v>
      </c>
      <c r="C214" s="5" t="s">
        <v>1195</v>
      </c>
      <c r="D214" s="42" t="s">
        <v>1196</v>
      </c>
      <c r="E214" s="7">
        <v>8.39</v>
      </c>
      <c r="F214" s="6">
        <f>+E214*J214</f>
        <v>963.56021369000007</v>
      </c>
      <c r="G214" s="6">
        <f>+[119]Main!$L$5-[119]Main!$L$6</f>
        <v>122.197</v>
      </c>
      <c r="H214" s="6">
        <f>+F214-G214</f>
        <v>841.36321369000007</v>
      </c>
      <c r="I214" s="3" t="s">
        <v>1074</v>
      </c>
      <c r="J214" s="6">
        <f>+[119]Main!$L$3</f>
        <v>114.846271</v>
      </c>
      <c r="K214" s="9">
        <v>45567</v>
      </c>
    </row>
    <row r="215" spans="1:29" x14ac:dyDescent="0.2">
      <c r="A215" t="s">
        <v>334</v>
      </c>
      <c r="B215" s="1">
        <f t="shared" si="22"/>
        <v>142</v>
      </c>
      <c r="C215" s="5" t="s">
        <v>298</v>
      </c>
      <c r="D215" t="s">
        <v>299</v>
      </c>
      <c r="E215" s="3">
        <v>11</v>
      </c>
      <c r="F215" s="6">
        <f>+E215*[120]Main!$L$3</f>
        <v>798.23003700000004</v>
      </c>
      <c r="G215" s="6">
        <f>+[120]Main!$L$5-[120]Main!$L$6</f>
        <v>153.25991400000001</v>
      </c>
      <c r="H215" s="6">
        <f t="shared" si="23"/>
        <v>644.97012300000006</v>
      </c>
      <c r="I215" s="3" t="s">
        <v>16</v>
      </c>
      <c r="K215" s="9">
        <v>44771</v>
      </c>
      <c r="L215" s="9"/>
      <c r="M215" s="9"/>
      <c r="N215" s="9"/>
      <c r="O215" s="9"/>
      <c r="P215" s="9"/>
    </row>
    <row r="216" spans="1:29" x14ac:dyDescent="0.2">
      <c r="A216" t="s">
        <v>334</v>
      </c>
      <c r="B216" s="1">
        <f t="shared" si="22"/>
        <v>143</v>
      </c>
      <c r="C216" s="5" t="s">
        <v>192</v>
      </c>
      <c r="D216" s="1" t="s">
        <v>193</v>
      </c>
      <c r="E216" s="3">
        <v>7.36</v>
      </c>
      <c r="F216" s="6">
        <f>+E216*J216</f>
        <v>897.18233664000002</v>
      </c>
      <c r="G216" s="6">
        <f>+[121]Main!$J$5-[121]Main!$J$6</f>
        <v>601.58999999999992</v>
      </c>
      <c r="H216" s="6">
        <f t="shared" si="23"/>
        <v>295.5923366400001</v>
      </c>
      <c r="I216" s="3" t="s">
        <v>16</v>
      </c>
      <c r="J216" s="6">
        <f>+[121]Main!$J$3</f>
        <v>121.89977399999999</v>
      </c>
      <c r="K216" s="9">
        <v>44827</v>
      </c>
    </row>
    <row r="217" spans="1:29" x14ac:dyDescent="0.2">
      <c r="A217"/>
      <c r="B217" s="1">
        <f t="shared" si="22"/>
        <v>144</v>
      </c>
      <c r="C217" s="5" t="s">
        <v>1199</v>
      </c>
      <c r="D217" t="s">
        <v>1200</v>
      </c>
      <c r="E217" s="3">
        <v>5.71</v>
      </c>
      <c r="F217" s="6">
        <f>+E217*J217</f>
        <v>357.16781451000003</v>
      </c>
      <c r="G217" s="6">
        <f>+[122]Main!$K$5-[122]Main!$K$6</f>
        <v>62.650000000000006</v>
      </c>
      <c r="H217" s="6">
        <f>+F217-G217</f>
        <v>294.51781450999999</v>
      </c>
      <c r="I217" s="3" t="s">
        <v>1074</v>
      </c>
      <c r="J217" s="6">
        <f>+[122]Main!$K$3</f>
        <v>62.551281000000003</v>
      </c>
      <c r="K217" s="9">
        <v>45569</v>
      </c>
      <c r="AC217" s="1">
        <v>2014</v>
      </c>
    </row>
    <row r="218" spans="1:29" x14ac:dyDescent="0.2">
      <c r="A218"/>
      <c r="B218" s="1">
        <f>+B201+1</f>
        <v>128</v>
      </c>
      <c r="C218" s="5" t="s">
        <v>1197</v>
      </c>
      <c r="D218" t="s">
        <v>1198</v>
      </c>
      <c r="E218" s="7">
        <v>1</v>
      </c>
      <c r="F218" s="6">
        <f>+E218*J218</f>
        <v>226.227259</v>
      </c>
      <c r="G218" s="6">
        <f>+[123]Main!$K$5-[123]Main!$K$6</f>
        <v>157.43700000000001</v>
      </c>
      <c r="H218" s="6">
        <f>+F218-G218</f>
        <v>68.790258999999992</v>
      </c>
      <c r="I218" s="3" t="s">
        <v>1074</v>
      </c>
      <c r="J218" s="6">
        <f>+[123]Main!$K$3</f>
        <v>226.227259</v>
      </c>
      <c r="K218" s="9">
        <v>45569</v>
      </c>
    </row>
    <row r="219" spans="1:29" s="25" customFormat="1" x14ac:dyDescent="0.2">
      <c r="A219" s="25" t="s">
        <v>334</v>
      </c>
      <c r="B219" s="1">
        <f>+B217+1</f>
        <v>145</v>
      </c>
      <c r="C219" s="25" t="s">
        <v>302</v>
      </c>
      <c r="D219" s="25" t="s">
        <v>303</v>
      </c>
      <c r="E219" s="26">
        <v>12.42</v>
      </c>
      <c r="F219" s="27">
        <v>516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spans="1:29" x14ac:dyDescent="0.2">
      <c r="A220" t="s">
        <v>334</v>
      </c>
      <c r="B220" s="1">
        <f t="shared" si="22"/>
        <v>146</v>
      </c>
      <c r="C220" t="s">
        <v>309</v>
      </c>
      <c r="D220" t="s">
        <v>310</v>
      </c>
      <c r="E220" s="3">
        <v>3.26</v>
      </c>
      <c r="F220" s="6">
        <v>272</v>
      </c>
    </row>
    <row r="221" spans="1:29" x14ac:dyDescent="0.2">
      <c r="A221" t="s">
        <v>334</v>
      </c>
      <c r="B221" s="1">
        <f t="shared" si="22"/>
        <v>147</v>
      </c>
      <c r="C221" s="1" t="s">
        <v>218</v>
      </c>
      <c r="D221" s="1" t="s">
        <v>219</v>
      </c>
      <c r="E221" s="3">
        <v>6.34</v>
      </c>
      <c r="F221" s="3">
        <v>547</v>
      </c>
    </row>
    <row r="222" spans="1:29" x14ac:dyDescent="0.2">
      <c r="A222" t="s">
        <v>334</v>
      </c>
      <c r="B222" s="1">
        <f t="shared" si="22"/>
        <v>148</v>
      </c>
      <c r="C222" s="5" t="s">
        <v>1169</v>
      </c>
      <c r="D222" t="s">
        <v>1170</v>
      </c>
      <c r="E222" s="3">
        <v>9.34</v>
      </c>
      <c r="F222" s="6">
        <f>+E222*J222</f>
        <v>289.28000241999996</v>
      </c>
      <c r="G222" s="6">
        <f>+[124]Main!$J$5-[124]Main!$J$6</f>
        <v>220.43200000000002</v>
      </c>
      <c r="H222" s="6">
        <f>+F222-G222</f>
        <v>68.848002419999943</v>
      </c>
      <c r="I222" s="3" t="s">
        <v>1074</v>
      </c>
      <c r="J222" s="6">
        <f>+[124]Main!$J$3</f>
        <v>30.972162999999998</v>
      </c>
      <c r="K222" s="9">
        <v>45548</v>
      </c>
      <c r="AC222" s="1">
        <v>2018</v>
      </c>
    </row>
    <row r="223" spans="1:29" x14ac:dyDescent="0.2">
      <c r="A223" t="s">
        <v>334</v>
      </c>
      <c r="B223" s="1">
        <f t="shared" si="22"/>
        <v>149</v>
      </c>
      <c r="C223" s="1" t="s">
        <v>220</v>
      </c>
      <c r="D223" s="1" t="s">
        <v>221</v>
      </c>
      <c r="E223" s="7">
        <v>31.39</v>
      </c>
      <c r="F223" s="3">
        <v>1020</v>
      </c>
    </row>
    <row r="224" spans="1:29" x14ac:dyDescent="0.2">
      <c r="A224" t="s">
        <v>334</v>
      </c>
      <c r="B224" s="1">
        <f t="shared" si="22"/>
        <v>150</v>
      </c>
      <c r="C224" t="s">
        <v>761</v>
      </c>
      <c r="D224" t="s">
        <v>762</v>
      </c>
      <c r="E224" s="7"/>
    </row>
    <row r="225" spans="1:29" x14ac:dyDescent="0.2">
      <c r="A225" t="s">
        <v>334</v>
      </c>
      <c r="B225" s="1">
        <f t="shared" si="22"/>
        <v>151</v>
      </c>
      <c r="C225" t="s">
        <v>759</v>
      </c>
      <c r="D225" t="s">
        <v>760</v>
      </c>
      <c r="E225" s="7"/>
    </row>
    <row r="226" spans="1:29" x14ac:dyDescent="0.2">
      <c r="A226"/>
      <c r="B226" s="1">
        <f t="shared" si="22"/>
        <v>152</v>
      </c>
      <c r="C226" s="5" t="s">
        <v>1184</v>
      </c>
      <c r="D226" t="s">
        <v>1185</v>
      </c>
      <c r="E226" s="7">
        <v>1.18</v>
      </c>
      <c r="F226" s="6">
        <f>+E226*J226</f>
        <v>94.614233720000001</v>
      </c>
      <c r="G226" s="6">
        <f>+[125]Main!$L$5-[125]Main!$L$6</f>
        <v>30.146999999999998</v>
      </c>
      <c r="H226" s="6">
        <f>+F226-G226</f>
        <v>64.467233719999996</v>
      </c>
      <c r="I226" s="3" t="s">
        <v>1074</v>
      </c>
      <c r="J226" s="6">
        <f>+[125]Main!$L$3</f>
        <v>80.181554000000006</v>
      </c>
      <c r="K226" s="9">
        <v>45562</v>
      </c>
    </row>
    <row r="227" spans="1:29" x14ac:dyDescent="0.2">
      <c r="A227" t="s">
        <v>334</v>
      </c>
      <c r="B227" s="1">
        <f t="shared" si="22"/>
        <v>153</v>
      </c>
      <c r="C227" t="s">
        <v>757</v>
      </c>
      <c r="D227" t="s">
        <v>758</v>
      </c>
      <c r="E227" s="7"/>
    </row>
    <row r="228" spans="1:29" x14ac:dyDescent="0.2">
      <c r="A228"/>
      <c r="B228" s="1">
        <f t="shared" si="22"/>
        <v>154</v>
      </c>
      <c r="C228" t="s">
        <v>1175</v>
      </c>
      <c r="D228" t="s">
        <v>1176</v>
      </c>
      <c r="E228" s="7">
        <v>5.43</v>
      </c>
    </row>
    <row r="229" spans="1:29" x14ac:dyDescent="0.2">
      <c r="A229" t="s">
        <v>334</v>
      </c>
      <c r="B229" s="1">
        <f t="shared" si="22"/>
        <v>155</v>
      </c>
      <c r="C229" t="s">
        <v>753</v>
      </c>
      <c r="D229" t="s">
        <v>754</v>
      </c>
      <c r="E229" s="7">
        <v>5.55</v>
      </c>
      <c r="F229" s="3">
        <v>270</v>
      </c>
    </row>
    <row r="230" spans="1:29" x14ac:dyDescent="0.2">
      <c r="A230"/>
      <c r="B230" s="1">
        <f t="shared" si="22"/>
        <v>156</v>
      </c>
      <c r="C230" t="s">
        <v>1302</v>
      </c>
      <c r="D230" t="s">
        <v>1303</v>
      </c>
      <c r="E230" s="7">
        <v>2.0499999999999998</v>
      </c>
      <c r="F230" s="3">
        <v>164</v>
      </c>
    </row>
    <row r="231" spans="1:29" x14ac:dyDescent="0.2">
      <c r="A231" t="s">
        <v>334</v>
      </c>
      <c r="B231" s="1">
        <f t="shared" si="22"/>
        <v>157</v>
      </c>
      <c r="C231" s="1" t="s">
        <v>222</v>
      </c>
      <c r="D231" s="1" t="s">
        <v>223</v>
      </c>
      <c r="E231" s="7">
        <v>5.9</v>
      </c>
      <c r="F231" s="6">
        <v>508</v>
      </c>
    </row>
    <row r="232" spans="1:29" x14ac:dyDescent="0.2">
      <c r="A232" t="s">
        <v>334</v>
      </c>
      <c r="B232" s="1">
        <f t="shared" si="22"/>
        <v>158</v>
      </c>
      <c r="C232" s="1" t="s">
        <v>226</v>
      </c>
      <c r="D232" s="1" t="s">
        <v>227</v>
      </c>
      <c r="E232" s="3">
        <v>10.31</v>
      </c>
      <c r="F232" s="6">
        <v>1240</v>
      </c>
    </row>
    <row r="233" spans="1:29" x14ac:dyDescent="0.2">
      <c r="A233" t="s">
        <v>334</v>
      </c>
      <c r="B233" s="1">
        <f t="shared" si="22"/>
        <v>159</v>
      </c>
      <c r="C233" t="s">
        <v>785</v>
      </c>
      <c r="D233" t="s">
        <v>786</v>
      </c>
      <c r="F233" s="6"/>
    </row>
    <row r="234" spans="1:29" x14ac:dyDescent="0.2">
      <c r="A234" t="s">
        <v>334</v>
      </c>
      <c r="B234" s="1">
        <f t="shared" si="22"/>
        <v>160</v>
      </c>
      <c r="C234" t="s">
        <v>714</v>
      </c>
      <c r="D234" t="s">
        <v>715</v>
      </c>
      <c r="F234" s="6"/>
    </row>
    <row r="235" spans="1:29" x14ac:dyDescent="0.2">
      <c r="A235" t="s">
        <v>334</v>
      </c>
      <c r="B235" s="1">
        <f t="shared" si="22"/>
        <v>161</v>
      </c>
      <c r="C235" t="s">
        <v>710</v>
      </c>
      <c r="D235" t="s">
        <v>711</v>
      </c>
    </row>
    <row r="236" spans="1:29" x14ac:dyDescent="0.2">
      <c r="A236" t="s">
        <v>334</v>
      </c>
      <c r="B236" s="1">
        <f t="shared" si="22"/>
        <v>162</v>
      </c>
      <c r="C236" s="1" t="s">
        <v>228</v>
      </c>
      <c r="D236" s="1" t="s">
        <v>229</v>
      </c>
      <c r="E236" s="7">
        <v>1.3</v>
      </c>
      <c r="F236" s="3">
        <v>107</v>
      </c>
    </row>
    <row r="237" spans="1:29" x14ac:dyDescent="0.2">
      <c r="A237" t="s">
        <v>334</v>
      </c>
      <c r="B237" s="1">
        <f t="shared" ref="B237:B297" si="24">+B236+1</f>
        <v>163</v>
      </c>
      <c r="C237" s="1" t="s">
        <v>230</v>
      </c>
      <c r="D237" s="1" t="s">
        <v>231</v>
      </c>
      <c r="E237" s="3">
        <v>3.35</v>
      </c>
      <c r="F237" s="3">
        <v>457</v>
      </c>
    </row>
    <row r="238" spans="1:29" x14ac:dyDescent="0.2">
      <c r="A238" t="s">
        <v>334</v>
      </c>
      <c r="B238" s="1">
        <f t="shared" si="24"/>
        <v>164</v>
      </c>
      <c r="C238" s="5" t="s">
        <v>232</v>
      </c>
      <c r="D238" s="1" t="s">
        <v>233</v>
      </c>
      <c r="E238" s="3">
        <v>7.06</v>
      </c>
      <c r="F238" s="6">
        <f>E238*[126]Main!$J$3</f>
        <v>725.62786605999997</v>
      </c>
      <c r="G238" s="6">
        <f>[126]Main!$J$5-[126]Main!$J$6</f>
        <v>197.79600000000002</v>
      </c>
      <c r="H238" s="8">
        <f>+F238-G238</f>
        <v>527.83186605999992</v>
      </c>
      <c r="I238" s="3" t="s">
        <v>16</v>
      </c>
    </row>
    <row r="239" spans="1:29" x14ac:dyDescent="0.2">
      <c r="A239" t="s">
        <v>334</v>
      </c>
      <c r="B239" s="1">
        <f t="shared" si="24"/>
        <v>165</v>
      </c>
      <c r="C239" s="5" t="s">
        <v>351</v>
      </c>
      <c r="D239" s="1" t="s">
        <v>352</v>
      </c>
      <c r="E239" s="7">
        <v>0.6</v>
      </c>
      <c r="F239" s="6">
        <f>+E239*J239</f>
        <v>486.43225439999998</v>
      </c>
      <c r="G239" s="6">
        <f>+[127]Main!$K$5-[127]Main!$K$6</f>
        <v>-37.984000000000002</v>
      </c>
      <c r="H239" s="8">
        <f t="shared" ref="H239" si="25">+F239-G239</f>
        <v>524.41625439999996</v>
      </c>
      <c r="I239" s="3" t="s">
        <v>301</v>
      </c>
      <c r="J239" s="6">
        <f>+[127]Main!$K$3</f>
        <v>810.72042399999998</v>
      </c>
      <c r="K239" s="9">
        <v>44816</v>
      </c>
      <c r="AC239" s="1">
        <v>2002</v>
      </c>
    </row>
    <row r="240" spans="1:29" x14ac:dyDescent="0.2">
      <c r="A240" t="s">
        <v>334</v>
      </c>
      <c r="B240" s="1">
        <f t="shared" si="24"/>
        <v>166</v>
      </c>
      <c r="C240" s="5" t="s">
        <v>234</v>
      </c>
      <c r="D240" s="1" t="s">
        <v>235</v>
      </c>
      <c r="E240" s="3">
        <v>14.68</v>
      </c>
      <c r="F240" s="6">
        <f>E240*[128]Main!$L$3</f>
        <v>587.26396075999992</v>
      </c>
      <c r="G240" s="6">
        <f>[128]Main!$L$5-[128]Main!$L$6</f>
        <v>277.88299999999998</v>
      </c>
      <c r="H240" s="8">
        <f>+F240-G240</f>
        <v>309.38096075999994</v>
      </c>
      <c r="I240" s="3" t="s">
        <v>16</v>
      </c>
    </row>
    <row r="241" spans="1:29" x14ac:dyDescent="0.2">
      <c r="A241" t="s">
        <v>334</v>
      </c>
      <c r="B241" s="1">
        <f t="shared" si="24"/>
        <v>167</v>
      </c>
      <c r="C241" s="5" t="s">
        <v>236</v>
      </c>
      <c r="D241" s="1" t="s">
        <v>237</v>
      </c>
      <c r="E241" s="3">
        <v>4.8600000000000003</v>
      </c>
      <c r="F241" s="6">
        <f>E241*[129]Main!$J$3</f>
        <v>312.71415336000001</v>
      </c>
      <c r="G241" s="8">
        <f>+[129]Main!$J$5-[129]Main!$J$6</f>
        <v>92.317999999999998</v>
      </c>
      <c r="H241" s="8">
        <f>+F241-G241</f>
        <v>220.39615336000003</v>
      </c>
      <c r="I241" s="3" t="s">
        <v>16</v>
      </c>
    </row>
    <row r="242" spans="1:29" x14ac:dyDescent="0.2">
      <c r="A242" t="s">
        <v>334</v>
      </c>
      <c r="B242" s="1">
        <f t="shared" si="24"/>
        <v>168</v>
      </c>
      <c r="C242" s="5" t="s">
        <v>238</v>
      </c>
      <c r="D242" s="1" t="s">
        <v>239</v>
      </c>
      <c r="E242" s="3">
        <v>7.57</v>
      </c>
      <c r="F242" s="6">
        <f>E242*[130]Main!$M$3</f>
        <v>338.45983246000003</v>
      </c>
      <c r="G242" s="6">
        <f>[130]Main!$M$5-[130]Main!$M$6</f>
        <v>120.43700000000001</v>
      </c>
      <c r="H242" s="8">
        <f t="shared" ref="H242:H250" si="26">+F242-G242</f>
        <v>218.02283246000002</v>
      </c>
      <c r="I242" s="3" t="s">
        <v>16</v>
      </c>
    </row>
    <row r="243" spans="1:29" x14ac:dyDescent="0.2">
      <c r="B243" s="1">
        <f t="shared" si="24"/>
        <v>169</v>
      </c>
      <c r="C243" s="5" t="s">
        <v>240</v>
      </c>
      <c r="D243" s="1" t="s">
        <v>241</v>
      </c>
      <c r="E243" s="7">
        <v>0.7</v>
      </c>
      <c r="F243" s="6">
        <f>E243*[131]Main!$M$3</f>
        <v>128.9392503</v>
      </c>
      <c r="G243" s="6">
        <f>[131]Main!$M$5-[131]Main!$M$6</f>
        <v>-59.50200000000001</v>
      </c>
      <c r="H243" s="8">
        <f t="shared" si="26"/>
        <v>188.44125030000001</v>
      </c>
      <c r="I243" s="3" t="s">
        <v>16</v>
      </c>
    </row>
    <row r="244" spans="1:29" x14ac:dyDescent="0.2">
      <c r="B244" s="1">
        <f>+B253+1</f>
        <v>179</v>
      </c>
      <c r="C244" s="5" t="s">
        <v>995</v>
      </c>
      <c r="D244" t="s">
        <v>996</v>
      </c>
      <c r="E244" s="3">
        <v>1.91</v>
      </c>
      <c r="F244" s="6">
        <f>+E244*J244</f>
        <v>144.77073818</v>
      </c>
      <c r="G244" s="6">
        <f>+[132]Main!$K$5-[132]Main!$K$6</f>
        <v>78.481999999999999</v>
      </c>
      <c r="H244" s="6">
        <f>+F244-G244</f>
        <v>66.288738179999996</v>
      </c>
      <c r="I244" s="3" t="s">
        <v>1074</v>
      </c>
      <c r="J244" s="6">
        <f>+[132]Main!$K$3</f>
        <v>75.796198000000004</v>
      </c>
      <c r="K244" s="9">
        <v>45573</v>
      </c>
    </row>
    <row r="245" spans="1:29" x14ac:dyDescent="0.2">
      <c r="A245" t="s">
        <v>334</v>
      </c>
      <c r="B245" s="1">
        <f>+B243+1</f>
        <v>170</v>
      </c>
      <c r="C245" s="5" t="s">
        <v>321</v>
      </c>
      <c r="D245" t="s">
        <v>322</v>
      </c>
      <c r="E245" s="3">
        <v>3.23</v>
      </c>
      <c r="F245" s="6">
        <f>+E245*J245</f>
        <v>30.407559149999997</v>
      </c>
      <c r="G245" s="6">
        <f>+[133]Main!$N$5-[133]Main!$N$6</f>
        <v>-7.4640000000000004</v>
      </c>
      <c r="H245" s="6">
        <f>+F245-G245</f>
        <v>37.871559149999996</v>
      </c>
      <c r="I245" s="3" t="s">
        <v>301</v>
      </c>
      <c r="J245" s="6">
        <f>+[133]Main!$N$3</f>
        <v>9.4141049999999993</v>
      </c>
      <c r="K245" s="9">
        <v>44780</v>
      </c>
    </row>
    <row r="246" spans="1:29" x14ac:dyDescent="0.2">
      <c r="A246" t="s">
        <v>334</v>
      </c>
      <c r="B246" s="1">
        <f t="shared" si="24"/>
        <v>171</v>
      </c>
      <c r="C246" s="5" t="s">
        <v>242</v>
      </c>
      <c r="D246" s="1" t="s">
        <v>243</v>
      </c>
      <c r="E246" s="3">
        <v>1.98</v>
      </c>
      <c r="F246" s="6">
        <f>E246*[134]Main!$N$3</f>
        <v>39.757463459999997</v>
      </c>
      <c r="G246" s="6">
        <f>[134]Main!$N$5-[134]Main!$N$6</f>
        <v>15.942</v>
      </c>
      <c r="H246" s="8">
        <f t="shared" si="26"/>
        <v>23.815463459999997</v>
      </c>
      <c r="I246" s="3" t="s">
        <v>16</v>
      </c>
    </row>
    <row r="247" spans="1:29" x14ac:dyDescent="0.2">
      <c r="B247" s="1">
        <f t="shared" si="24"/>
        <v>172</v>
      </c>
      <c r="C247" s="5" t="s">
        <v>244</v>
      </c>
      <c r="D247" s="1" t="s">
        <v>245</v>
      </c>
      <c r="E247" s="3">
        <v>0.62</v>
      </c>
      <c r="F247" s="6">
        <f>E247*[135]Main!$L$3</f>
        <v>30.1881658</v>
      </c>
      <c r="G247" s="6">
        <f>[135]Main!$L$5-[135]Main!$L$6</f>
        <v>13.262999999999998</v>
      </c>
      <c r="H247" s="8">
        <f t="shared" si="26"/>
        <v>16.925165800000002</v>
      </c>
      <c r="I247" s="3" t="s">
        <v>16</v>
      </c>
    </row>
    <row r="248" spans="1:29" x14ac:dyDescent="0.2">
      <c r="B248" s="1">
        <f t="shared" si="24"/>
        <v>173</v>
      </c>
      <c r="C248" s="5" t="s">
        <v>246</v>
      </c>
      <c r="D248" s="1" t="s">
        <v>247</v>
      </c>
      <c r="E248" s="3">
        <v>6.12</v>
      </c>
      <c r="F248" s="6">
        <f>E248*[136]Main!$M$3</f>
        <v>125.46108324000001</v>
      </c>
      <c r="G248" s="6">
        <f>[136]Main!$M$5-[136]Main!$M$6</f>
        <v>131.17699999999999</v>
      </c>
      <c r="H248" s="8">
        <f t="shared" si="26"/>
        <v>-5.7159167599999847</v>
      </c>
      <c r="I248" s="3" t="s">
        <v>16</v>
      </c>
    </row>
    <row r="249" spans="1:29" x14ac:dyDescent="0.2">
      <c r="B249" s="1">
        <f t="shared" si="24"/>
        <v>174</v>
      </c>
      <c r="C249" s="5" t="s">
        <v>248</v>
      </c>
      <c r="D249" s="1" t="s">
        <v>249</v>
      </c>
      <c r="E249" s="3">
        <v>0.98</v>
      </c>
      <c r="F249" s="6">
        <f>E249*[137]Main!$M$3</f>
        <v>20.935517539999999</v>
      </c>
      <c r="G249" s="6">
        <f>[137]Main!$M$5-[137]Main!$M$6</f>
        <v>55.28</v>
      </c>
      <c r="H249" s="8">
        <f t="shared" si="26"/>
        <v>-34.344482460000002</v>
      </c>
      <c r="I249" s="3" t="s">
        <v>16</v>
      </c>
    </row>
    <row r="250" spans="1:29" x14ac:dyDescent="0.2">
      <c r="B250" s="1">
        <f t="shared" si="24"/>
        <v>175</v>
      </c>
      <c r="C250" s="5" t="s">
        <v>1309</v>
      </c>
      <c r="D250" t="s">
        <v>1190</v>
      </c>
      <c r="E250" s="7">
        <v>5</v>
      </c>
      <c r="F250" s="6">
        <f>+E250*J250</f>
        <v>596.75561000000005</v>
      </c>
      <c r="G250" s="6">
        <f>+[138]Main!$J$5-[138]Main!$J$6</f>
        <v>35.484999999999999</v>
      </c>
      <c r="H250" s="8">
        <f t="shared" si="26"/>
        <v>561.27061000000003</v>
      </c>
      <c r="I250" s="3" t="s">
        <v>1074</v>
      </c>
      <c r="J250" s="6">
        <f>+[138]Main!$J$3</f>
        <v>119.351122</v>
      </c>
    </row>
    <row r="251" spans="1:29" x14ac:dyDescent="0.2">
      <c r="B251" s="1">
        <f t="shared" si="24"/>
        <v>176</v>
      </c>
      <c r="C251" s="5" t="s">
        <v>545</v>
      </c>
      <c r="D251" t="s">
        <v>546</v>
      </c>
      <c r="E251" s="3">
        <v>0.94</v>
      </c>
      <c r="F251" s="6">
        <f>+E251*J251</f>
        <v>56.676359999999995</v>
      </c>
      <c r="G251" s="6">
        <f>+[139]Main!$K$5-[139]Main!$K$6</f>
        <v>136.64599999999999</v>
      </c>
      <c r="H251" s="6">
        <f>+F251-G251</f>
        <v>-79.969639999999998</v>
      </c>
      <c r="I251" s="3" t="s">
        <v>1074</v>
      </c>
      <c r="J251" s="6">
        <f>+[139]Main!$K$3</f>
        <v>60.293999999999997</v>
      </c>
      <c r="K251" s="9">
        <v>45550</v>
      </c>
      <c r="AC251" s="1">
        <v>2017</v>
      </c>
    </row>
    <row r="252" spans="1:29" x14ac:dyDescent="0.2">
      <c r="B252" s="1">
        <f t="shared" si="24"/>
        <v>177</v>
      </c>
      <c r="C252" s="1" t="s">
        <v>250</v>
      </c>
      <c r="D252" s="1" t="s">
        <v>251</v>
      </c>
      <c r="E252" s="3">
        <v>0.61</v>
      </c>
    </row>
    <row r="253" spans="1:29" x14ac:dyDescent="0.2">
      <c r="B253" s="1">
        <f t="shared" si="24"/>
        <v>178</v>
      </c>
      <c r="C253" s="1" t="s">
        <v>252</v>
      </c>
      <c r="D253" s="1" t="s">
        <v>253</v>
      </c>
      <c r="E253" s="3">
        <v>1.75</v>
      </c>
      <c r="F253" s="3">
        <v>96</v>
      </c>
    </row>
    <row r="254" spans="1:29" x14ac:dyDescent="0.2">
      <c r="B254" s="1">
        <f t="shared" si="24"/>
        <v>179</v>
      </c>
      <c r="C254" s="1" t="s">
        <v>348</v>
      </c>
      <c r="D254" t="s">
        <v>349</v>
      </c>
      <c r="E254" s="7">
        <v>0.96</v>
      </c>
      <c r="F254" s="3">
        <v>52</v>
      </c>
    </row>
    <row r="255" spans="1:29" x14ac:dyDescent="0.2">
      <c r="B255" s="1">
        <f t="shared" si="24"/>
        <v>180</v>
      </c>
      <c r="C255" s="1" t="s">
        <v>332</v>
      </c>
      <c r="D255" t="s">
        <v>333</v>
      </c>
      <c r="E255" s="7">
        <v>4.0999999999999996</v>
      </c>
      <c r="F255" s="3">
        <v>380</v>
      </c>
    </row>
    <row r="256" spans="1:29" x14ac:dyDescent="0.2">
      <c r="B256" s="1">
        <f t="shared" si="24"/>
        <v>181</v>
      </c>
      <c r="C256" t="s">
        <v>1310</v>
      </c>
      <c r="D256" t="s">
        <v>1311</v>
      </c>
      <c r="E256" s="7">
        <v>14.68</v>
      </c>
      <c r="F256" s="3">
        <v>396</v>
      </c>
    </row>
    <row r="257" spans="1:6" x14ac:dyDescent="0.2">
      <c r="B257" s="1">
        <f t="shared" si="24"/>
        <v>182</v>
      </c>
      <c r="C257" s="1" t="s">
        <v>379</v>
      </c>
      <c r="D257" s="1" t="s">
        <v>380</v>
      </c>
      <c r="E257" s="3">
        <v>25.85</v>
      </c>
    </row>
    <row r="258" spans="1:6" x14ac:dyDescent="0.2">
      <c r="B258" s="1">
        <f t="shared" si="24"/>
        <v>183</v>
      </c>
      <c r="C258" t="s">
        <v>385</v>
      </c>
      <c r="D258" t="s">
        <v>386</v>
      </c>
      <c r="E258" s="3">
        <v>9.26</v>
      </c>
      <c r="F258" s="3">
        <v>204</v>
      </c>
    </row>
    <row r="259" spans="1:6" x14ac:dyDescent="0.2">
      <c r="B259" s="1">
        <f t="shared" si="24"/>
        <v>184</v>
      </c>
      <c r="C259" s="25" t="s">
        <v>1355</v>
      </c>
      <c r="D259" t="s">
        <v>1356</v>
      </c>
      <c r="E259" s="3">
        <v>30.21</v>
      </c>
    </row>
    <row r="260" spans="1:6" x14ac:dyDescent="0.2">
      <c r="B260" s="1">
        <f t="shared" si="24"/>
        <v>185</v>
      </c>
      <c r="C260" t="s">
        <v>429</v>
      </c>
      <c r="D260" t="s">
        <v>430</v>
      </c>
      <c r="E260" s="7">
        <v>17.55</v>
      </c>
      <c r="F260" s="3">
        <v>593</v>
      </c>
    </row>
    <row r="261" spans="1:6" x14ac:dyDescent="0.2">
      <c r="B261" s="1">
        <f t="shared" si="24"/>
        <v>186</v>
      </c>
      <c r="C261" s="1" t="s">
        <v>395</v>
      </c>
      <c r="D261" s="1" t="s">
        <v>396</v>
      </c>
      <c r="E261" s="3">
        <v>4.09</v>
      </c>
      <c r="F261" s="3">
        <v>4</v>
      </c>
    </row>
    <row r="262" spans="1:6" x14ac:dyDescent="0.2">
      <c r="B262" s="1">
        <f t="shared" si="24"/>
        <v>187</v>
      </c>
      <c r="C262" t="s">
        <v>741</v>
      </c>
      <c r="D262" t="s">
        <v>742</v>
      </c>
      <c r="E262" s="7">
        <v>30.7</v>
      </c>
      <c r="F262" s="3">
        <v>1800</v>
      </c>
    </row>
    <row r="263" spans="1:6" x14ac:dyDescent="0.2">
      <c r="B263" s="1">
        <f t="shared" si="24"/>
        <v>188</v>
      </c>
      <c r="C263" t="s">
        <v>745</v>
      </c>
      <c r="D263" t="s">
        <v>746</v>
      </c>
    </row>
    <row r="264" spans="1:6" x14ac:dyDescent="0.2">
      <c r="B264" s="1">
        <f t="shared" si="24"/>
        <v>189</v>
      </c>
      <c r="C264" t="s">
        <v>748</v>
      </c>
      <c r="D264" t="s">
        <v>749</v>
      </c>
    </row>
    <row r="265" spans="1:6" x14ac:dyDescent="0.2">
      <c r="A265"/>
      <c r="B265" s="1">
        <f t="shared" si="24"/>
        <v>190</v>
      </c>
      <c r="C265" t="s">
        <v>750</v>
      </c>
      <c r="D265" t="s">
        <v>751</v>
      </c>
      <c r="E265" s="3">
        <v>6.62</v>
      </c>
      <c r="F265" s="3">
        <v>1800</v>
      </c>
    </row>
    <row r="266" spans="1:6" x14ac:dyDescent="0.2">
      <c r="B266" s="1">
        <f t="shared" si="24"/>
        <v>191</v>
      </c>
      <c r="C266" t="s">
        <v>743</v>
      </c>
      <c r="D266" t="s">
        <v>744</v>
      </c>
    </row>
    <row r="267" spans="1:6" x14ac:dyDescent="0.2">
      <c r="B267" s="1">
        <f t="shared" si="24"/>
        <v>192</v>
      </c>
      <c r="C267" t="s">
        <v>739</v>
      </c>
      <c r="D267" t="s">
        <v>740</v>
      </c>
      <c r="E267" s="3">
        <v>4.08</v>
      </c>
      <c r="F267" s="3">
        <v>908</v>
      </c>
    </row>
    <row r="268" spans="1:6" x14ac:dyDescent="0.2">
      <c r="B268" s="1">
        <f t="shared" si="24"/>
        <v>193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4"/>
        <v>194</v>
      </c>
      <c r="C269" t="s">
        <v>504</v>
      </c>
      <c r="D269" t="s">
        <v>505</v>
      </c>
    </row>
    <row r="270" spans="1:6" x14ac:dyDescent="0.2">
      <c r="B270" s="1">
        <f t="shared" si="24"/>
        <v>195</v>
      </c>
      <c r="C270" t="s">
        <v>733</v>
      </c>
      <c r="D270" t="s">
        <v>734</v>
      </c>
    </row>
    <row r="271" spans="1:6" x14ac:dyDescent="0.2">
      <c r="B271" s="1">
        <f t="shared" si="24"/>
        <v>196</v>
      </c>
      <c r="C271" t="s">
        <v>729</v>
      </c>
      <c r="D271" t="s">
        <v>730</v>
      </c>
    </row>
    <row r="272" spans="1:6" x14ac:dyDescent="0.2">
      <c r="B272" s="1">
        <f t="shared" si="24"/>
        <v>197</v>
      </c>
      <c r="C272" s="1" t="s">
        <v>515</v>
      </c>
      <c r="D272" s="1" t="s">
        <v>516</v>
      </c>
    </row>
    <row r="273" spans="1:5" x14ac:dyDescent="0.2">
      <c r="B273" s="1">
        <f t="shared" si="24"/>
        <v>198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4"/>
        <v>199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4"/>
        <v>200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4"/>
        <v>201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4"/>
        <v>202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4"/>
        <v>203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4"/>
        <v>204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4"/>
        <v>205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4"/>
        <v>206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4"/>
        <v>207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4"/>
        <v>208</v>
      </c>
      <c r="C283" s="34" t="s">
        <v>539</v>
      </c>
      <c r="D283" s="34" t="s">
        <v>540</v>
      </c>
    </row>
    <row r="284" spans="1:5" x14ac:dyDescent="0.2">
      <c r="B284" s="1">
        <f t="shared" si="24"/>
        <v>209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4"/>
        <v>210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4"/>
        <v>211</v>
      </c>
      <c r="C286" t="s">
        <v>547</v>
      </c>
      <c r="D286" t="s">
        <v>548</v>
      </c>
    </row>
    <row r="287" spans="1:5" x14ac:dyDescent="0.2">
      <c r="B287" s="1">
        <f t="shared" si="24"/>
        <v>212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4"/>
        <v>213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4"/>
        <v>214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4"/>
        <v>215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4"/>
        <v>216</v>
      </c>
      <c r="C291" t="s">
        <v>992</v>
      </c>
      <c r="D291" t="s">
        <v>993</v>
      </c>
    </row>
    <row r="292" spans="1:5" x14ac:dyDescent="0.2">
      <c r="B292" s="1">
        <f t="shared" si="24"/>
        <v>217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4"/>
        <v>218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4"/>
        <v>219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4"/>
        <v>220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4"/>
        <v>221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4"/>
        <v>222</v>
      </c>
      <c r="C297" s="34" t="s">
        <v>567</v>
      </c>
      <c r="D297" s="34" t="s">
        <v>568</v>
      </c>
      <c r="E297"/>
    </row>
    <row r="298" spans="1:5" x14ac:dyDescent="0.2">
      <c r="B298" s="1">
        <f t="shared" ref="B298:B361" si="27">+B297+1</f>
        <v>223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7"/>
        <v>224</v>
      </c>
      <c r="C299" t="s">
        <v>802</v>
      </c>
      <c r="D299" t="s">
        <v>803</v>
      </c>
    </row>
    <row r="300" spans="1:5" x14ac:dyDescent="0.2">
      <c r="B300" s="1">
        <f t="shared" si="27"/>
        <v>225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7"/>
        <v>226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7"/>
        <v>227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7"/>
        <v>228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7"/>
        <v>229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7"/>
        <v>230</v>
      </c>
      <c r="C305" t="s">
        <v>984</v>
      </c>
      <c r="D305" t="s">
        <v>985</v>
      </c>
    </row>
    <row r="306" spans="1:29" x14ac:dyDescent="0.2">
      <c r="A306"/>
      <c r="B306" s="1">
        <f t="shared" si="27"/>
        <v>231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7"/>
        <v>232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7"/>
        <v>233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7"/>
        <v>234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7"/>
        <v>235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7"/>
        <v>236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7"/>
        <v>237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7"/>
        <v>238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7"/>
        <v>239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7"/>
        <v>240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7"/>
        <v>241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+[140]Main!$M$5-[140]Main!$M$6</f>
        <v>99.997</v>
      </c>
      <c r="H316" s="6">
        <f>+F316-G316</f>
        <v>488.73748214000005</v>
      </c>
      <c r="I316" s="3" t="s">
        <v>1074</v>
      </c>
      <c r="J316" s="6">
        <f>+[140]Main!$M$3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7"/>
        <v>242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+[141]Main!$K$5-[141]Main!$K$6</f>
        <v>174.27199999999999</v>
      </c>
      <c r="H317" s="6">
        <f>+F317-G317</f>
        <v>317.95222608</v>
      </c>
      <c r="I317" s="3" t="s">
        <v>1074</v>
      </c>
      <c r="J317" s="6">
        <f>+[141]Main!$K$3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7"/>
        <v>243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[142]Main!$M$5-[142]Main!$M$6</f>
        <v>236.422</v>
      </c>
      <c r="H318" s="6">
        <f>F318-G318</f>
        <v>416.95678099999998</v>
      </c>
      <c r="I318" s="9">
        <v>45063</v>
      </c>
      <c r="J318" s="6">
        <f>[142]Main!$M$3</f>
        <v>19.799357000000001</v>
      </c>
      <c r="AC318" s="1">
        <v>2017</v>
      </c>
    </row>
    <row r="319" spans="1:29" x14ac:dyDescent="0.2">
      <c r="A319"/>
      <c r="B319" s="1">
        <f t="shared" si="27"/>
        <v>244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+[143]Main!$K$5-[143]Main!$K$6</f>
        <v>280.24800000000005</v>
      </c>
      <c r="H319" s="6">
        <f>+F319-G319</f>
        <v>196.5992511</v>
      </c>
      <c r="I319" s="3" t="s">
        <v>1074</v>
      </c>
      <c r="J319" s="6">
        <f>+[143]Main!$K$3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7"/>
        <v>245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+[144]Main!$J$5-[144]Main!$J$6</f>
        <v>69.49499999999999</v>
      </c>
      <c r="H320" s="6">
        <f>+F320-G320</f>
        <v>172.96200277999998</v>
      </c>
      <c r="I320" s="3" t="s">
        <v>1074</v>
      </c>
      <c r="J320" s="6">
        <f>+[144]Main!$J$3</f>
        <v>72.591916999999995</v>
      </c>
      <c r="K320" s="9">
        <v>45548</v>
      </c>
    </row>
    <row r="321" spans="1:29" x14ac:dyDescent="0.2">
      <c r="A321"/>
      <c r="B321" s="1">
        <f t="shared" si="27"/>
        <v>246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+[145]Main!$K$5-[145]Main!$K$6</f>
        <v>29.36</v>
      </c>
      <c r="H321" s="6">
        <f>+F321-G321</f>
        <v>66.314332159999992</v>
      </c>
      <c r="I321" s="3" t="s">
        <v>1074</v>
      </c>
      <c r="J321" s="6">
        <f>+[145]Main!$K$3</f>
        <v>74.745571999999996</v>
      </c>
      <c r="K321" s="9">
        <v>45554</v>
      </c>
    </row>
    <row r="322" spans="1:29" x14ac:dyDescent="0.2">
      <c r="A322"/>
      <c r="B322" s="1">
        <f t="shared" si="27"/>
        <v>247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+[146]Main!$L$5-[146]Main!$L$6</f>
        <v>33.298999999999999</v>
      </c>
      <c r="H322" s="6">
        <f>+F322-G322</f>
        <v>-3.1882702000000016</v>
      </c>
      <c r="I322" s="3" t="s">
        <v>1074</v>
      </c>
      <c r="J322" s="6">
        <f>+[146]Main!$L$3</f>
        <v>35.424388</v>
      </c>
      <c r="K322" s="9">
        <v>45558</v>
      </c>
    </row>
    <row r="323" spans="1:29" x14ac:dyDescent="0.2">
      <c r="B323" s="1">
        <f t="shared" si="27"/>
        <v>248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[147]Main!$K$5-[147]Main!$K$6</f>
        <v>54.983000000000004</v>
      </c>
      <c r="H323" s="6">
        <f>F323-G323</f>
        <v>-42.469815400000002</v>
      </c>
      <c r="I323" s="9">
        <v>45063</v>
      </c>
      <c r="J323" s="6">
        <f>[147]Main!$K$3</f>
        <v>35.751956</v>
      </c>
    </row>
    <row r="324" spans="1:29" x14ac:dyDescent="0.2">
      <c r="A324"/>
      <c r="B324" s="1">
        <f t="shared" si="27"/>
        <v>249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+[148]Main!$K$5-[148]Main!$K$6</f>
        <v>426.65000000000003</v>
      </c>
      <c r="H324" s="6">
        <f>+F324-G324</f>
        <v>-99.962968980000085</v>
      </c>
      <c r="I324" s="3" t="s">
        <v>1074</v>
      </c>
      <c r="J324" s="6">
        <f>+[148]Main!$K$3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7"/>
        <v>250</v>
      </c>
      <c r="C325" s="1" t="s">
        <v>589</v>
      </c>
      <c r="D325" s="1" t="s">
        <v>590</v>
      </c>
    </row>
    <row r="326" spans="1:29" x14ac:dyDescent="0.2">
      <c r="B326" s="1">
        <f t="shared" si="27"/>
        <v>251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7"/>
        <v>252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si="27"/>
        <v>253</v>
      </c>
      <c r="C328" s="1" t="s">
        <v>449</v>
      </c>
      <c r="D328" s="1" t="s">
        <v>662</v>
      </c>
    </row>
    <row r="329" spans="1:29" x14ac:dyDescent="0.2">
      <c r="B329" s="1">
        <f t="shared" si="27"/>
        <v>254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7"/>
        <v>255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7"/>
        <v>256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7"/>
        <v>257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7"/>
        <v>258</v>
      </c>
      <c r="C333" t="s">
        <v>669</v>
      </c>
      <c r="D333" t="s">
        <v>670</v>
      </c>
    </row>
    <row r="334" spans="1:29" x14ac:dyDescent="0.2">
      <c r="B334" s="1">
        <f t="shared" si="27"/>
        <v>259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7"/>
        <v>260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7"/>
        <v>261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7"/>
        <v>262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7"/>
        <v>263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7"/>
        <v>264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7"/>
        <v>265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7"/>
        <v>266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7"/>
        <v>267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7"/>
        <v>268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7"/>
        <v>269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7"/>
        <v>270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7"/>
        <v>271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7"/>
        <v>272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7"/>
        <v>273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7"/>
        <v>274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7"/>
        <v>275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7"/>
        <v>276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7"/>
        <v>277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7"/>
        <v>278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7"/>
        <v>279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7"/>
        <v>280</v>
      </c>
      <c r="C355" t="s">
        <v>830</v>
      </c>
      <c r="D355" t="s">
        <v>831</v>
      </c>
    </row>
    <row r="356" spans="1:5" x14ac:dyDescent="0.2">
      <c r="A356"/>
      <c r="B356" s="1">
        <f t="shared" si="27"/>
        <v>281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7"/>
        <v>282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7"/>
        <v>283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7"/>
        <v>284</v>
      </c>
      <c r="C359" t="s">
        <v>838</v>
      </c>
      <c r="D359" t="s">
        <v>839</v>
      </c>
    </row>
    <row r="360" spans="1:5" x14ac:dyDescent="0.2">
      <c r="A360"/>
      <c r="B360" s="1">
        <f t="shared" si="27"/>
        <v>285</v>
      </c>
      <c r="C360" t="s">
        <v>840</v>
      </c>
      <c r="D360" t="s">
        <v>841</v>
      </c>
    </row>
    <row r="361" spans="1:5" x14ac:dyDescent="0.2">
      <c r="A361"/>
      <c r="B361" s="1">
        <f t="shared" si="27"/>
        <v>286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ref="B362:B425" si="28">+B361+1</f>
        <v>287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8"/>
        <v>288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8"/>
        <v>289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8"/>
        <v>290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8"/>
        <v>291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8"/>
        <v>292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8"/>
        <v>293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8"/>
        <v>294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8"/>
        <v>295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8"/>
        <v>296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8"/>
        <v>297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8"/>
        <v>298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8"/>
        <v>299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8"/>
        <v>300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8"/>
        <v>301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8"/>
        <v>302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8"/>
        <v>303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8"/>
        <v>304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8"/>
        <v>305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8"/>
        <v>306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8"/>
        <v>307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8"/>
        <v>308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8"/>
        <v>309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8"/>
        <v>310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8"/>
        <v>311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8"/>
        <v>312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8"/>
        <v>313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8"/>
        <v>314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8"/>
        <v>315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8"/>
        <v>316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si="28"/>
        <v>317</v>
      </c>
      <c r="C392" t="s">
        <v>910</v>
      </c>
      <c r="D392" t="s">
        <v>911</v>
      </c>
    </row>
    <row r="393" spans="1:5" x14ac:dyDescent="0.2">
      <c r="A393"/>
      <c r="B393" s="1">
        <f t="shared" si="28"/>
        <v>318</v>
      </c>
      <c r="C393" t="s">
        <v>912</v>
      </c>
      <c r="D393" t="s">
        <v>913</v>
      </c>
    </row>
    <row r="394" spans="1:5" x14ac:dyDescent="0.2">
      <c r="A394"/>
      <c r="B394" s="1">
        <f t="shared" si="28"/>
        <v>319</v>
      </c>
      <c r="C394" t="s">
        <v>914</v>
      </c>
      <c r="D394" t="s">
        <v>915</v>
      </c>
    </row>
    <row r="395" spans="1:5" x14ac:dyDescent="0.2">
      <c r="A395"/>
      <c r="B395" s="1">
        <f t="shared" si="28"/>
        <v>320</v>
      </c>
      <c r="C395" t="s">
        <v>916</v>
      </c>
      <c r="D395" t="s">
        <v>917</v>
      </c>
    </row>
    <row r="396" spans="1:5" x14ac:dyDescent="0.2">
      <c r="A396"/>
      <c r="B396" s="1">
        <f t="shared" si="28"/>
        <v>321</v>
      </c>
      <c r="C396" t="s">
        <v>918</v>
      </c>
      <c r="D396" t="s">
        <v>919</v>
      </c>
    </row>
    <row r="397" spans="1:5" x14ac:dyDescent="0.2">
      <c r="A397"/>
      <c r="B397" s="1">
        <f t="shared" si="28"/>
        <v>322</v>
      </c>
      <c r="C397" t="s">
        <v>920</v>
      </c>
      <c r="D397" t="s">
        <v>921</v>
      </c>
    </row>
    <row r="398" spans="1:5" x14ac:dyDescent="0.2">
      <c r="A398"/>
      <c r="B398" s="1">
        <f t="shared" si="28"/>
        <v>323</v>
      </c>
      <c r="C398" t="s">
        <v>922</v>
      </c>
      <c r="D398" t="s">
        <v>923</v>
      </c>
    </row>
    <row r="399" spans="1:5" x14ac:dyDescent="0.2">
      <c r="A399"/>
      <c r="B399" s="1">
        <f t="shared" si="28"/>
        <v>324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>+B398+1</f>
        <v>324</v>
      </c>
      <c r="C400" t="s">
        <v>924</v>
      </c>
      <c r="D400" t="s">
        <v>925</v>
      </c>
    </row>
    <row r="401" spans="1:5" x14ac:dyDescent="0.2">
      <c r="A401"/>
      <c r="B401" s="1">
        <f t="shared" si="28"/>
        <v>325</v>
      </c>
      <c r="C401" t="s">
        <v>926</v>
      </c>
      <c r="D401" t="s">
        <v>927</v>
      </c>
    </row>
    <row r="402" spans="1:5" x14ac:dyDescent="0.2">
      <c r="A402"/>
      <c r="B402" s="1">
        <f t="shared" si="28"/>
        <v>326</v>
      </c>
      <c r="C402" t="s">
        <v>928</v>
      </c>
      <c r="D402" t="s">
        <v>929</v>
      </c>
    </row>
    <row r="403" spans="1:5" x14ac:dyDescent="0.2">
      <c r="A403"/>
      <c r="B403" s="1">
        <f t="shared" si="28"/>
        <v>327</v>
      </c>
      <c r="C403" t="s">
        <v>930</v>
      </c>
      <c r="D403" t="s">
        <v>931</v>
      </c>
    </row>
    <row r="404" spans="1:5" x14ac:dyDescent="0.2">
      <c r="A404"/>
      <c r="B404" s="1">
        <f t="shared" si="28"/>
        <v>328</v>
      </c>
      <c r="C404" t="s">
        <v>932</v>
      </c>
      <c r="D404" t="s">
        <v>935</v>
      </c>
    </row>
    <row r="405" spans="1:5" x14ac:dyDescent="0.2">
      <c r="A405"/>
      <c r="B405" s="1">
        <f t="shared" si="28"/>
        <v>329</v>
      </c>
      <c r="C405" t="s">
        <v>933</v>
      </c>
      <c r="D405" t="s">
        <v>934</v>
      </c>
    </row>
    <row r="406" spans="1:5" x14ac:dyDescent="0.2">
      <c r="A406"/>
      <c r="B406" s="1">
        <f t="shared" si="28"/>
        <v>330</v>
      </c>
      <c r="C406" t="s">
        <v>938</v>
      </c>
      <c r="D406" t="s">
        <v>939</v>
      </c>
    </row>
    <row r="407" spans="1:5" x14ac:dyDescent="0.2">
      <c r="A407"/>
      <c r="B407" s="1">
        <f t="shared" si="28"/>
        <v>331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8"/>
        <v>332</v>
      </c>
      <c r="C408" t="s">
        <v>942</v>
      </c>
      <c r="D408" t="s">
        <v>943</v>
      </c>
    </row>
    <row r="409" spans="1:5" x14ac:dyDescent="0.2">
      <c r="A409"/>
      <c r="B409" s="1">
        <f t="shared" si="28"/>
        <v>333</v>
      </c>
      <c r="C409" t="s">
        <v>944</v>
      </c>
      <c r="D409" t="s">
        <v>945</v>
      </c>
    </row>
    <row r="410" spans="1:5" x14ac:dyDescent="0.2">
      <c r="A410"/>
      <c r="B410" s="1">
        <f t="shared" si="28"/>
        <v>334</v>
      </c>
      <c r="C410" t="s">
        <v>946</v>
      </c>
      <c r="D410" t="s">
        <v>947</v>
      </c>
    </row>
    <row r="411" spans="1:5" x14ac:dyDescent="0.2">
      <c r="A411"/>
      <c r="B411" s="1">
        <f t="shared" si="28"/>
        <v>335</v>
      </c>
      <c r="C411" t="s">
        <v>948</v>
      </c>
      <c r="D411" t="s">
        <v>949</v>
      </c>
    </row>
    <row r="412" spans="1:5" x14ac:dyDescent="0.2">
      <c r="A412"/>
      <c r="B412" s="1">
        <f t="shared" si="28"/>
        <v>336</v>
      </c>
      <c r="C412" t="s">
        <v>950</v>
      </c>
      <c r="D412" t="s">
        <v>951</v>
      </c>
    </row>
    <row r="413" spans="1:5" x14ac:dyDescent="0.2">
      <c r="A413"/>
      <c r="B413" s="1">
        <f t="shared" si="28"/>
        <v>337</v>
      </c>
      <c r="C413" t="s">
        <v>954</v>
      </c>
      <c r="D413" t="s">
        <v>955</v>
      </c>
    </row>
    <row r="414" spans="1:5" x14ac:dyDescent="0.2">
      <c r="A414"/>
      <c r="B414" s="1">
        <f t="shared" si="28"/>
        <v>338</v>
      </c>
      <c r="C414" t="s">
        <v>956</v>
      </c>
      <c r="D414" t="s">
        <v>957</v>
      </c>
    </row>
    <row r="415" spans="1:5" x14ac:dyDescent="0.2">
      <c r="A415"/>
      <c r="B415" s="1">
        <f t="shared" si="28"/>
        <v>339</v>
      </c>
      <c r="C415" t="s">
        <v>958</v>
      </c>
      <c r="D415" t="s">
        <v>959</v>
      </c>
    </row>
    <row r="416" spans="1:5" x14ac:dyDescent="0.2">
      <c r="A416"/>
      <c r="B416" s="1">
        <f t="shared" si="28"/>
        <v>340</v>
      </c>
      <c r="C416" t="s">
        <v>960</v>
      </c>
      <c r="D416" t="s">
        <v>961</v>
      </c>
    </row>
    <row r="417" spans="1:11" x14ac:dyDescent="0.2">
      <c r="A417"/>
      <c r="B417" s="1">
        <f t="shared" si="28"/>
        <v>341</v>
      </c>
      <c r="C417" t="s">
        <v>962</v>
      </c>
      <c r="D417" t="s">
        <v>963</v>
      </c>
    </row>
    <row r="418" spans="1:11" x14ac:dyDescent="0.2">
      <c r="A418"/>
      <c r="B418" s="1">
        <f t="shared" si="28"/>
        <v>342</v>
      </c>
      <c r="C418" t="s">
        <v>964</v>
      </c>
      <c r="D418" t="s">
        <v>965</v>
      </c>
    </row>
    <row r="419" spans="1:11" x14ac:dyDescent="0.2">
      <c r="A419"/>
      <c r="B419" s="1">
        <f t="shared" si="28"/>
        <v>343</v>
      </c>
      <c r="C419" t="s">
        <v>966</v>
      </c>
      <c r="D419" t="s">
        <v>967</v>
      </c>
    </row>
    <row r="420" spans="1:11" x14ac:dyDescent="0.2">
      <c r="A420"/>
      <c r="B420" s="1">
        <f t="shared" si="28"/>
        <v>344</v>
      </c>
      <c r="C420" t="s">
        <v>968</v>
      </c>
      <c r="D420" t="s">
        <v>969</v>
      </c>
    </row>
    <row r="421" spans="1:11" x14ac:dyDescent="0.2">
      <c r="A421"/>
      <c r="B421" s="1">
        <f t="shared" si="28"/>
        <v>345</v>
      </c>
      <c r="C421" t="s">
        <v>970</v>
      </c>
      <c r="D421" t="s">
        <v>971</v>
      </c>
    </row>
    <row r="422" spans="1:11" x14ac:dyDescent="0.2">
      <c r="A422"/>
      <c r="B422" s="1">
        <f t="shared" si="28"/>
        <v>346</v>
      </c>
      <c r="C422" t="s">
        <v>972</v>
      </c>
      <c r="D422" t="s">
        <v>973</v>
      </c>
    </row>
    <row r="423" spans="1:11" x14ac:dyDescent="0.2">
      <c r="A423"/>
      <c r="B423" s="1">
        <f t="shared" si="28"/>
        <v>347</v>
      </c>
      <c r="C423" t="s">
        <v>974</v>
      </c>
      <c r="D423" t="s">
        <v>975</v>
      </c>
    </row>
    <row r="424" spans="1:11" x14ac:dyDescent="0.2">
      <c r="B424" s="1">
        <f t="shared" si="28"/>
        <v>348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 t="shared" si="28"/>
        <v>349</v>
      </c>
      <c r="C425" s="5" t="s">
        <v>1099</v>
      </c>
      <c r="D425" t="s">
        <v>1100</v>
      </c>
      <c r="E425" s="7">
        <v>5</v>
      </c>
      <c r="F425" s="6">
        <f>+E425*J425</f>
        <v>216.57198499999998</v>
      </c>
      <c r="G425" s="6">
        <f>+[149]Main!$J$5-[149]Main!$J$6</f>
        <v>104.35299999999999</v>
      </c>
      <c r="H425" s="6">
        <f>+F425-G425</f>
        <v>112.21898499999999</v>
      </c>
      <c r="I425" s="3" t="s">
        <v>1074</v>
      </c>
      <c r="J425" s="6">
        <f>+[149]Main!$J$3</f>
        <v>43.314397</v>
      </c>
      <c r="K425" s="9">
        <v>45525</v>
      </c>
    </row>
    <row r="426" spans="1:11" x14ac:dyDescent="0.2">
      <c r="B426" s="1">
        <f t="shared" ref="B426:B434" si="29">+B425+1</f>
        <v>350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+[150]Main!$K$5-[150]Main!$K$6</f>
        <v>15.414999999999999</v>
      </c>
      <c r="H426" s="6">
        <f>+F426-G426</f>
        <v>279.69996187999993</v>
      </c>
      <c r="I426" s="3" t="s">
        <v>1074</v>
      </c>
      <c r="J426" s="6">
        <f>+[150]Main!$K$3</f>
        <v>27.999521999999999</v>
      </c>
      <c r="K426" s="9">
        <v>45474</v>
      </c>
    </row>
    <row r="427" spans="1:11" x14ac:dyDescent="0.2">
      <c r="B427" s="1">
        <f t="shared" si="29"/>
        <v>351</v>
      </c>
      <c r="C427" s="5" t="s">
        <v>1163</v>
      </c>
      <c r="D427" t="s">
        <v>1164</v>
      </c>
      <c r="E427" s="7">
        <v>3.6</v>
      </c>
      <c r="F427" s="6">
        <f>+E427*J427</f>
        <v>132.55131599999999</v>
      </c>
      <c r="G427" s="6">
        <f>+[151]Main!$L$5-[151]Main!$L$6</f>
        <v>33.507724000000003</v>
      </c>
      <c r="H427" s="6">
        <f>+F427-G427</f>
        <v>99.04359199999999</v>
      </c>
      <c r="I427" s="3" t="s">
        <v>1074</v>
      </c>
      <c r="J427" s="6">
        <f>+[151]Main!$L$3</f>
        <v>36.819809999999997</v>
      </c>
      <c r="K427" s="9">
        <v>45567</v>
      </c>
    </row>
    <row r="428" spans="1:11" x14ac:dyDescent="0.2">
      <c r="B428" s="1">
        <f>+B434+1</f>
        <v>358</v>
      </c>
      <c r="C428" s="5" t="s">
        <v>1438</v>
      </c>
      <c r="D428" s="1" t="s">
        <v>1439</v>
      </c>
      <c r="E428" s="3">
        <v>0.19</v>
      </c>
      <c r="F428" s="6">
        <f>+E428*J428</f>
        <v>4.1807902100000005</v>
      </c>
      <c r="G428" s="6">
        <f>+[153]Main!$P$5-[153]Main!$P$6</f>
        <v>-4.3319999999999999</v>
      </c>
      <c r="H428" s="6">
        <f>+F428-G428</f>
        <v>8.5127902100000004</v>
      </c>
      <c r="I428" s="3" t="s">
        <v>1074</v>
      </c>
      <c r="J428" s="6">
        <f>+[153]Main!$P$3</f>
        <v>22.004159000000001</v>
      </c>
      <c r="K428" s="9">
        <v>45587</v>
      </c>
    </row>
    <row r="429" spans="1:11" x14ac:dyDescent="0.2">
      <c r="B429" s="1">
        <f>+B427+1</f>
        <v>352</v>
      </c>
      <c r="C429" s="1" t="s">
        <v>1193</v>
      </c>
      <c r="D429" s="1" t="s">
        <v>1194</v>
      </c>
      <c r="E429" s="3">
        <v>0.28999999999999998</v>
      </c>
    </row>
    <row r="430" spans="1:11" x14ac:dyDescent="0.2">
      <c r="B430" s="1">
        <f t="shared" si="29"/>
        <v>353</v>
      </c>
      <c r="C430" s="1" t="s">
        <v>1275</v>
      </c>
      <c r="D430" t="s">
        <v>1276</v>
      </c>
    </row>
    <row r="431" spans="1:11" x14ac:dyDescent="0.2">
      <c r="B431" s="1">
        <f t="shared" si="29"/>
        <v>354</v>
      </c>
      <c r="C431" s="1" t="s">
        <v>1304</v>
      </c>
      <c r="D431" s="1" t="s">
        <v>1305</v>
      </c>
    </row>
    <row r="432" spans="1:11" x14ac:dyDescent="0.2">
      <c r="B432" s="1">
        <f t="shared" si="29"/>
        <v>355</v>
      </c>
      <c r="C432" t="s">
        <v>1306</v>
      </c>
      <c r="D432" t="s">
        <v>1307</v>
      </c>
    </row>
    <row r="433" spans="2:4" x14ac:dyDescent="0.2">
      <c r="B433" s="1">
        <f t="shared" si="29"/>
        <v>356</v>
      </c>
      <c r="C433" s="1" t="s">
        <v>1357</v>
      </c>
    </row>
    <row r="434" spans="2:4" x14ac:dyDescent="0.2">
      <c r="B434" s="1">
        <f t="shared" si="29"/>
        <v>357</v>
      </c>
      <c r="D434" t="s">
        <v>1364</v>
      </c>
    </row>
  </sheetData>
  <sortState xmlns:xlrd2="http://schemas.microsoft.com/office/spreadsheetml/2017/richdata2" ref="A160:AC208">
    <sortCondition descending="1" ref="F160:F208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1" r:id="rId18" xr:uid="{14A63DAF-63A6-4B91-A2AF-AE28EA251457}"/>
    <hyperlink ref="C246" r:id="rId19" xr:uid="{4ACA7C7F-E42A-4687-A776-AB8065DB40FF}"/>
    <hyperlink ref="C240" r:id="rId20" xr:uid="{B3421391-7EC0-4253-8F62-5ED45A5BFA02}"/>
    <hyperlink ref="C247" r:id="rId21" xr:uid="{F6A45FC7-B73C-4143-9CAB-B3ADA19B5FD7}"/>
    <hyperlink ref="C242" r:id="rId22" xr:uid="{BBD267CB-7407-4913-9D05-6A6AA380019F}"/>
    <hyperlink ref="C249" r:id="rId23" xr:uid="{85368858-6D0F-4ABE-975C-AE5530342445}"/>
    <hyperlink ref="C238" r:id="rId24" xr:uid="{8B5BC1F5-14D4-45A0-B224-31FAF227EAF3}"/>
    <hyperlink ref="C248" r:id="rId25" xr:uid="{D5FB3BFE-F0A8-4C09-90A1-9F506EF0ADE4}"/>
    <hyperlink ref="C243" r:id="rId26" xr:uid="{11598046-2AED-42E7-ACA5-251A20A59427}"/>
    <hyperlink ref="C52" r:id="rId27" xr:uid="{A1C90F9B-FBBF-4C72-9A11-3798F692A0D2}"/>
    <hyperlink ref="C89" r:id="rId28" xr:uid="{F7B6503D-1F84-47C4-B87E-BDA7159D1B9F}"/>
    <hyperlink ref="C45" r:id="rId29" xr:uid="{D0EE43E7-C3F5-4256-99AE-DDCA9EC11DCF}"/>
    <hyperlink ref="C37" r:id="rId30" xr:uid="{1C25970A-A568-4869-A34A-5C6C7551D812}"/>
    <hyperlink ref="C210" r:id="rId31" xr:uid="{C3A06396-38CD-486E-9F4F-233A79292B4F}"/>
    <hyperlink ref="C119" r:id="rId32" xr:uid="{B83625D8-44D2-4842-9139-F29C8D5F2D8E}"/>
    <hyperlink ref="C215" r:id="rId33" xr:uid="{5FF32E6A-C6C7-4793-8271-BD230B9C7641}"/>
    <hyperlink ref="C72" r:id="rId34" xr:uid="{E5739E03-9FE4-4D05-90C8-36ABF7D078CB}"/>
    <hyperlink ref="C86" r:id="rId35" xr:uid="{25285F59-771C-40DB-8B78-E1E454C61406}"/>
    <hyperlink ref="C245" r:id="rId36" xr:uid="{C000061C-001D-4088-90A4-B672D181D3C5}"/>
    <hyperlink ref="C59" r:id="rId37" xr:uid="{6A1F812B-EA91-4B3C-B4DC-88F792A7D0DE}"/>
    <hyperlink ref="C97" r:id="rId38" xr:uid="{6930A656-C59A-465F-8634-B30B4FEF47BC}"/>
    <hyperlink ref="C92" r:id="rId39" xr:uid="{559FAD8A-D620-4B93-BE14-CC22630BD57E}"/>
    <hyperlink ref="C6" r:id="rId40" xr:uid="{467EEBCD-6BD7-4E71-B2C9-FCF3DB57F059}"/>
    <hyperlink ref="C239" r:id="rId41" xr:uid="{6A576FDB-A573-4A00-8381-4BECF13B35A1}"/>
    <hyperlink ref="C25" r:id="rId42" xr:uid="{994E2867-C411-41E7-8332-43A0B3B0CC2B}"/>
    <hyperlink ref="C156" r:id="rId43" xr:uid="{51C9506E-5D60-43F8-BADA-7F72A25DAFF6}"/>
    <hyperlink ref="C111" r:id="rId44" xr:uid="{9E4325F2-98CF-4735-96D0-66A9DC5A8E86}"/>
    <hyperlink ref="C216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0" r:id="rId63" xr:uid="{1D3A6A47-22C9-4CC1-94BD-20DE3BB08016}"/>
    <hyperlink ref="C50" r:id="rId64" xr:uid="{27FB3DB4-8430-405F-9558-F31A0B69ED5F}"/>
    <hyperlink ref="C42" r:id="rId65" xr:uid="{144D13FD-59BD-499B-A0B4-B06985623C68}"/>
    <hyperlink ref="C212" r:id="rId66" xr:uid="{E48CD1EB-CFA1-47B1-BD8B-09F09CDD4FA4}"/>
    <hyperlink ref="C112" r:id="rId67" xr:uid="{6E9AFF81-F520-4A86-9FC2-D5CFE68E7EB7}"/>
    <hyperlink ref="C71" r:id="rId68" xr:uid="{ED527D70-0B51-4151-8378-8C40B68FF19D}"/>
    <hyperlink ref="C44" r:id="rId69" xr:uid="{A902B26E-CA39-4DC5-9F23-4459D8D315E8}"/>
    <hyperlink ref="C51" r:id="rId70" xr:uid="{5F0313F8-3376-4F67-9822-E1412CAA5959}"/>
    <hyperlink ref="C104" r:id="rId71" xr:uid="{AE3A3FD9-E651-4A72-81DB-B29CC61B516B}"/>
    <hyperlink ref="C66" r:id="rId72" xr:uid="{6FA4EBE7-4729-4097-A12F-CAD4CB58FFA6}"/>
    <hyperlink ref="C116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1" r:id="rId81" xr:uid="{ED810682-5208-4265-9E0E-6746A399EA34}"/>
    <hyperlink ref="C159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0" r:id="rId86" xr:uid="{D181F941-FF02-423B-9F90-890B434046DD}"/>
    <hyperlink ref="C157" r:id="rId87" xr:uid="{1924D31B-B6B9-4CB2-936E-0F68E40FA2F5}"/>
    <hyperlink ref="C158" r:id="rId88" xr:uid="{8E97DA51-E6CD-4B11-B6F8-BD0A3CC93541}"/>
    <hyperlink ref="C93" r:id="rId89" xr:uid="{BACD6400-1341-654E-A5B2-576C65F8052B}"/>
    <hyperlink ref="C357" r:id="rId90" xr:uid="{C4CF7488-CAF7-4516-AB24-0FC50F0916A3}"/>
    <hyperlink ref="C96" r:id="rId91" xr:uid="{2B6C4E35-2657-4D1A-8D80-C54F892964F4}"/>
    <hyperlink ref="C10" r:id="rId92" xr:uid="{D4CC8F9A-CC3B-EE41-860B-629E01D90BFD}"/>
    <hyperlink ref="C425" r:id="rId93" xr:uid="{C4EB2FD5-19C2-4B46-A645-6A4B58B3BF48}"/>
    <hyperlink ref="C18" r:id="rId94" xr:uid="{29212F29-BB24-1048-9B2F-FC0168C49234}"/>
    <hyperlink ref="C209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7" r:id="rId99" xr:uid="{0F64F384-8187-4F0A-B6D5-472BB2A5904F}"/>
    <hyperlink ref="C103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5" r:id="rId105" xr:uid="{50F9FE65-F347-4AD5-8CB3-AEF68BBB9AA8}"/>
    <hyperlink ref="C113" r:id="rId106" xr:uid="{75D04E08-C11D-42F6-A0B8-9E185A6BA249}"/>
    <hyperlink ref="C114" r:id="rId107" xr:uid="{DD06A32A-D1AE-4DFA-957F-7E5F6848399D}"/>
    <hyperlink ref="C53" r:id="rId108" xr:uid="{A9CCEE93-948C-4958-9273-229E876026E5}"/>
    <hyperlink ref="C62" r:id="rId109" xr:uid="{8A039020-76D6-4648-8559-2E66BD4069E8}"/>
    <hyperlink ref="C75" r:id="rId110" xr:uid="{57A317C3-FCD5-4B9D-9890-302872D6263D}"/>
    <hyperlink ref="C107" r:id="rId111" xr:uid="{7DEB18EF-0653-42AE-848B-1CD34B6185B1}"/>
    <hyperlink ref="C320" r:id="rId112" xr:uid="{500E1EB4-5BFA-41DA-B498-9CADDCBC3BD8}"/>
    <hyperlink ref="C222" r:id="rId113" xr:uid="{DA843767-B487-45EC-B6B6-4CAF3C575C50}"/>
    <hyperlink ref="C80" r:id="rId114" xr:uid="{5DA9C2AA-A278-4FF3-A2FD-E53617E5E8B8}"/>
    <hyperlink ref="C251" r:id="rId115" xr:uid="{91A036B5-0E03-4930-B738-BF1C076ACF18}"/>
    <hyperlink ref="C102" r:id="rId116" xr:uid="{8068ED1A-3B17-4C79-9022-B1BEE306CC58}"/>
    <hyperlink ref="C100" r:id="rId117" xr:uid="{DEB94AB7-6F89-44AE-9C77-B3E2D1E51B70}"/>
    <hyperlink ref="C321" r:id="rId118" xr:uid="{C5AE6E9D-13C3-40F4-80F9-EB86590BF332}"/>
    <hyperlink ref="C213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1" r:id="rId123" xr:uid="{C2EF7A04-6E03-432E-AE39-F9FC0944E6B7}"/>
    <hyperlink ref="C88" r:id="rId124" xr:uid="{4A53B476-D8D4-4433-B5B3-B626DD5ECAA5}"/>
    <hyperlink ref="C322" r:id="rId125" xr:uid="{0E69FC1D-F608-42EA-B683-C53C409C70F7}"/>
    <hyperlink ref="C160" r:id="rId126" xr:uid="{058DC54B-6F58-47B5-B00D-CB85499F0661}"/>
    <hyperlink ref="C161" r:id="rId127" xr:uid="{E3F91124-A68C-481A-9F88-5F0B403E12FC}"/>
    <hyperlink ref="C226" r:id="rId128" xr:uid="{879666A1-6AD0-495B-B29D-1523E9F3BF37}"/>
    <hyperlink ref="C54" r:id="rId129" xr:uid="{3E4416C1-24BA-4833-B8A9-810255675E01}"/>
    <hyperlink ref="C118" r:id="rId130" xr:uid="{CEEF1ECE-36B3-482E-AA72-8B9DAE4D2730}"/>
    <hyperlink ref="C115" r:id="rId131" xr:uid="{80739158-DB58-4D0E-8015-4407904D5E4C}"/>
    <hyperlink ref="C63" r:id="rId132" xr:uid="{FAC64BC1-A38C-4704-8DED-7AC1F6D784BD}"/>
    <hyperlink ref="C324" r:id="rId133" xr:uid="{B8FF6BDF-ECF2-42BA-996C-B33320BF3BB8}"/>
    <hyperlink ref="C117" r:id="rId134" xr:uid="{3C9F7D37-C376-486A-BD65-0A06F1A1BA4E}"/>
    <hyperlink ref="C74" r:id="rId135" xr:uid="{A739B306-7AF4-4BC1-B603-405E1AD42DA9}"/>
    <hyperlink ref="C69" r:id="rId136" xr:uid="{D16D1630-A1AE-4CF8-B35B-01F574ECC4EC}"/>
    <hyperlink ref="C82" r:id="rId137" xr:uid="{A96FF32D-8546-4297-AE3C-E279BBEB2988}"/>
    <hyperlink ref="C73" r:id="rId138" xr:uid="{B2C89E35-9AED-4A34-8767-FB6CD96F1DF7}"/>
    <hyperlink ref="C109" r:id="rId139" xr:uid="{7A0C9405-40F2-4CD9-999B-9032EC028C8E}"/>
    <hyperlink ref="C317" r:id="rId140" xr:uid="{F79A5FA4-445D-4428-8347-8E6CA8EBA325}"/>
    <hyperlink ref="C427" r:id="rId141" xr:uid="{C5162717-DEF1-45A6-BAF5-F5909C72945C}"/>
    <hyperlink ref="C214" r:id="rId142" xr:uid="{DCA25E80-5EA2-4E2F-B5AD-7E00734C912A}"/>
    <hyperlink ref="C316" r:id="rId143" xr:uid="{6E543356-A92B-4C40-A4D8-0039FD9CF30E}"/>
    <hyperlink ref="C218" r:id="rId144" xr:uid="{18B5F0EF-CE16-458F-B2EC-C055E9592268}"/>
    <hyperlink ref="C217" r:id="rId145" xr:uid="{8452EEB1-E3C6-4709-93A8-E45683AE4BD4}"/>
    <hyperlink ref="C76" r:id="rId146" xr:uid="{8515586A-C9D5-4B3A-AB81-567CAF8711D8}"/>
    <hyperlink ref="C94" r:id="rId147" xr:uid="{05112419-511E-40D9-B365-E7FC8328F3E3}"/>
    <hyperlink ref="C399" r:id="rId148" xr:uid="{42ED5909-2E52-452C-9738-284A43C46BA0}"/>
    <hyperlink ref="C108" r:id="rId149" xr:uid="{7B9292BF-8007-4C13-92AA-E4F48B407B78}"/>
    <hyperlink ref="C95" r:id="rId150" xr:uid="{4455E1D2-0A06-49CD-B578-A39396AB2276}"/>
    <hyperlink ref="C98" r:id="rId151" xr:uid="{9DBA9CB6-4FFE-4633-8913-39BE132E7E63}"/>
    <hyperlink ref="C15" r:id="rId152" xr:uid="{60368EA6-8CB5-4BF4-AD11-2511F2B2CC10}"/>
    <hyperlink ref="C244" r:id="rId153" xr:uid="{909F79D0-EDBD-44C4-8C45-548124C5C81A}"/>
    <hyperlink ref="C171" r:id="rId154" xr:uid="{0A7AB162-5181-4ECD-BE39-067356A9A255}"/>
    <hyperlink ref="C99" r:id="rId155" xr:uid="{A780315D-7EE1-43B1-808B-CA1A9B40DACC}"/>
    <hyperlink ref="C106" r:id="rId156" xr:uid="{6EE007AF-F0B0-4EED-9CDD-3FC2319822A5}"/>
    <hyperlink ref="C250" r:id="rId157" xr:uid="{ED761473-51F4-41BF-8401-76685055518C}"/>
    <hyperlink ref="C79" r:id="rId158" xr:uid="{7F559409-F96D-4010-8F92-37C722C2B828}"/>
    <hyperlink ref="C91" r:id="rId159" xr:uid="{C48A4FCA-0630-EF43-9EEC-B6CAB37EFE4F}"/>
    <hyperlink ref="C87" r:id="rId160" xr:uid="{96899701-8AB6-4B30-9017-19357666F340}"/>
    <hyperlink ref="C81" r:id="rId161" xr:uid="{CFB41F62-0690-4C3D-B6CD-811E3E94C4EE}"/>
    <hyperlink ref="C125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0" r:id="rId166" xr:uid="{5BE55498-D8ED-41C4-A33E-57BE28B07449}"/>
    <hyperlink ref="C428" r:id="rId167" xr:uid="{2B1AAFD9-D8D6-4616-841E-10108CC8192B}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1392</v>
      </c>
      <c r="B2" t="s">
        <v>1095</v>
      </c>
      <c r="C2" t="s">
        <v>635</v>
      </c>
      <c r="D2" t="s">
        <v>1383</v>
      </c>
      <c r="E2" t="s">
        <v>1393</v>
      </c>
      <c r="F2" t="s">
        <v>632</v>
      </c>
      <c r="G2" s="28" t="s">
        <v>1375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1397</v>
      </c>
      <c r="R2" s="28" t="s">
        <v>1398</v>
      </c>
      <c r="S2" s="28" t="s">
        <v>1399</v>
      </c>
      <c r="T2" s="28" t="s">
        <v>1400</v>
      </c>
      <c r="U2" s="28" t="s">
        <v>1405</v>
      </c>
      <c r="V2" s="28" t="s">
        <v>1406</v>
      </c>
      <c r="W2" s="28" t="s">
        <v>1407</v>
      </c>
      <c r="X2" s="28" t="s">
        <v>1408</v>
      </c>
      <c r="Y2" s="28" t="s">
        <v>1422</v>
      </c>
      <c r="Z2" s="28" t="s">
        <v>1423</v>
      </c>
      <c r="AA2" s="28" t="s">
        <v>1424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1413</v>
      </c>
      <c r="C3" t="s">
        <v>18</v>
      </c>
      <c r="D3" t="s">
        <v>1387</v>
      </c>
      <c r="E3">
        <v>3</v>
      </c>
      <c r="F3" t="s">
        <v>1414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1403</v>
      </c>
      <c r="C4" t="s">
        <v>24</v>
      </c>
      <c r="D4" t="s">
        <v>1386</v>
      </c>
      <c r="F4" t="s">
        <v>1404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1394</v>
      </c>
      <c r="C5" t="s">
        <v>1395</v>
      </c>
      <c r="D5" t="s">
        <v>1386</v>
      </c>
      <c r="E5">
        <v>2</v>
      </c>
      <c r="F5" t="s">
        <v>1396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1426</v>
      </c>
      <c r="C6" t="s">
        <v>15</v>
      </c>
      <c r="D6" t="s">
        <v>1387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1379</v>
      </c>
      <c r="C7" t="s">
        <v>24</v>
      </c>
      <c r="D7" t="s">
        <v>1435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1434</v>
      </c>
      <c r="C8" t="s">
        <v>24</v>
      </c>
      <c r="D8" t="s">
        <v>1435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1436</v>
      </c>
      <c r="Q8" s="30" t="s">
        <v>1437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1385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1389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1417</v>
      </c>
      <c r="C11" t="s">
        <v>20</v>
      </c>
      <c r="D11" t="s">
        <v>1391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1385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1373</v>
      </c>
      <c r="C13" t="s">
        <v>46</v>
      </c>
      <c r="D13" t="s">
        <v>1388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1421</v>
      </c>
      <c r="C14" t="s">
        <v>20</v>
      </c>
      <c r="D14" t="s">
        <v>1389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1385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1390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1382</v>
      </c>
      <c r="C17" t="s">
        <v>24</v>
      </c>
      <c r="D17" t="s">
        <v>1385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1409</v>
      </c>
      <c r="C18" t="s">
        <v>24</v>
      </c>
      <c r="D18" t="s">
        <v>1386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1385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1391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1389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1378</v>
      </c>
      <c r="C22" t="s">
        <v>46</v>
      </c>
      <c r="D22" t="s">
        <v>1410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1389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1387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1425</v>
      </c>
      <c r="C25" t="s">
        <v>20</v>
      </c>
      <c r="D25" t="s">
        <v>1386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1376</v>
      </c>
      <c r="C26" t="s">
        <v>46</v>
      </c>
      <c r="D26" t="s">
        <v>1388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1385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1386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1380</v>
      </c>
      <c r="C29" t="s">
        <v>24</v>
      </c>
      <c r="D29" t="s">
        <v>1384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1415</v>
      </c>
      <c r="C30" t="s">
        <v>18</v>
      </c>
      <c r="D30" t="s">
        <v>1387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1385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1377</v>
      </c>
      <c r="C32" t="s">
        <v>46</v>
      </c>
      <c r="D32" t="s">
        <v>1410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1388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1402</v>
      </c>
      <c r="C34" t="s">
        <v>24</v>
      </c>
      <c r="D34" t="s">
        <v>1387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1374</v>
      </c>
      <c r="C35" t="s">
        <v>46</v>
      </c>
      <c r="D35" t="s">
        <v>1388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1416</v>
      </c>
      <c r="C36" t="s">
        <v>18</v>
      </c>
      <c r="D36" t="s">
        <v>1387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1381</v>
      </c>
      <c r="C37" t="s">
        <v>24</v>
      </c>
      <c r="D37" t="s">
        <v>1401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1387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1420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1419</v>
      </c>
      <c r="C77" t="s">
        <v>32</v>
      </c>
      <c r="D77" t="s">
        <v>1386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1418</v>
      </c>
      <c r="C78" t="s">
        <v>24</v>
      </c>
      <c r="D78" t="s">
        <v>1386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1389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1389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Main!B134+1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1371</v>
      </c>
      <c r="C10" t="s">
        <v>1372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1365</v>
      </c>
      <c r="C13" t="s">
        <v>1366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8"/>
  <sheetViews>
    <sheetView zoomScale="205" zoomScaleNormal="205" workbookViewId="0">
      <pane xSplit="2" ySplit="2" topLeftCell="C88" activePane="bottomRight" state="frozen"/>
      <selection pane="topRight" activeCell="C1" sqref="C1"/>
      <selection pane="bottomLeft" activeCell="A3" sqref="A3"/>
      <selection pane="bottomRight" activeCell="B109" sqref="B109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([152]Main!$J$5-[152]Main!$J$6)/HKD</f>
        <v>991.71512820512828</v>
      </c>
      <c r="G76" s="6">
        <f>+E76-F76</f>
        <v>23523.572694544873</v>
      </c>
      <c r="H76" s="3" t="s">
        <v>301</v>
      </c>
      <c r="I76" s="6">
        <f>+[152]Main!$J$3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1367</v>
      </c>
      <c r="C104" t="s">
        <v>34</v>
      </c>
    </row>
    <row r="105" spans="2:5" x14ac:dyDescent="0.2">
      <c r="B105" t="s">
        <v>1368</v>
      </c>
      <c r="C105" t="s">
        <v>34</v>
      </c>
      <c r="D105">
        <v>993</v>
      </c>
      <c r="E105">
        <v>2021</v>
      </c>
    </row>
    <row r="106" spans="2:5" x14ac:dyDescent="0.2">
      <c r="B106" t="s">
        <v>1369</v>
      </c>
      <c r="C106" t="s">
        <v>34</v>
      </c>
    </row>
    <row r="107" spans="2:5" x14ac:dyDescent="0.2">
      <c r="B107" t="s">
        <v>1370</v>
      </c>
      <c r="C107" t="s">
        <v>34</v>
      </c>
      <c r="D107">
        <v>1600</v>
      </c>
      <c r="E107">
        <v>2021</v>
      </c>
    </row>
    <row r="108" spans="2:5" x14ac:dyDescent="0.2">
      <c r="B108" t="s">
        <v>1412</v>
      </c>
      <c r="C108" t="s">
        <v>1411</v>
      </c>
      <c r="D108">
        <v>7000</v>
      </c>
      <c r="E108">
        <v>2001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Main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2024-10-22T16:56:02Z</dcterms:modified>
</cp:coreProperties>
</file>