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hkre\code\models\"/>
    </mc:Choice>
  </mc:AlternateContent>
  <xr:revisionPtr revIDLastSave="0" documentId="13_ncr:1_{5640785C-DE68-4E99-9676-0105FC6B45E0}" xr6:coauthVersionLast="47" xr6:coauthVersionMax="47" xr10:uidLastSave="{00000000-0000-0000-0000-000000000000}"/>
  <bookViews>
    <workbookView xWindow="-28890" yWindow="810" windowWidth="22605" windowHeight="19140" firstSheet="4" activeTab="11" xr2:uid="{68C6A242-C5F6-F84B-9F15-939E82734559}"/>
  </bookViews>
  <sheets>
    <sheet name="Main" sheetId="1" r:id="rId1"/>
    <sheet name="Companies" sheetId="3" r:id="rId2"/>
    <sheet name="Investors" sheetId="2" r:id="rId3"/>
    <sheet name="EO Avoid List" sheetId="17" r:id="rId4"/>
    <sheet name="Glossary" sheetId="4" r:id="rId5"/>
    <sheet name="Papers" sheetId="6" r:id="rId6"/>
    <sheet name="Top Papers" sheetId="16" r:id="rId7"/>
    <sheet name="LLM Vendors" sheetId="19" r:id="rId8"/>
    <sheet name="Inference" sheetId="18" r:id="rId9"/>
    <sheet name="Audio" sheetId="15" r:id="rId10"/>
    <sheet name="ASR" sheetId="20" r:id="rId11"/>
    <sheet name="Repos" sheetId="14" r:id="rId12"/>
    <sheet name="People" sheetId="7" r:id="rId13"/>
    <sheet name="Transformer" sheetId="5" r:id="rId14"/>
    <sheet name="DeepMind" sheetId="10" r:id="rId15"/>
    <sheet name="OpenAI" sheetId="9" r:id="rId16"/>
    <sheet name="Meta" sheetId="11" r:id="rId17"/>
    <sheet name="Math" sheetId="13" r:id="rId18"/>
  </sheets>
  <externalReferences>
    <externalReference r:id="rId19"/>
  </externalReferences>
  <definedNames>
    <definedName name="_xlnm._FilterDatabase" localSheetId="1" hidden="1">Companies!$A$2:$M$454</definedName>
    <definedName name="CAD">[1]FX!$C$7</definedName>
    <definedName name="EUR">[1]FX!$C$4</definedName>
    <definedName name="HKD">[1]FX!$C$2</definedName>
    <definedName name="JPY">[1]FX!$C$6</definedName>
    <definedName name="RMB">[1]FX!$C$3</definedName>
    <definedName name="SEK">[1]FX!$C$5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4" i="3" l="1"/>
  <c r="G55" i="3"/>
  <c r="D1" i="3"/>
  <c r="G1674" i="2"/>
  <c r="F1674" i="2"/>
  <c r="G233" i="2"/>
  <c r="G297" i="2"/>
  <c r="G2748" i="2"/>
  <c r="F582" i="2"/>
  <c r="G1661" i="2"/>
  <c r="F1661" i="2"/>
  <c r="G56" i="3"/>
  <c r="G47" i="3"/>
  <c r="G2030" i="2"/>
  <c r="F2034" i="2"/>
  <c r="F4233" i="2"/>
  <c r="F3754" i="2"/>
  <c r="F2242" i="2"/>
  <c r="G2715" i="2"/>
  <c r="G2375" i="2"/>
  <c r="F2377" i="2"/>
  <c r="G2205" i="2"/>
  <c r="F2207" i="2"/>
  <c r="F2581" i="2"/>
  <c r="G1314" i="2"/>
  <c r="F1317" i="2"/>
  <c r="G57" i="3"/>
  <c r="F608" i="2"/>
  <c r="G1132" i="2"/>
  <c r="F1132" i="2"/>
  <c r="G2626" i="2"/>
  <c r="F2626" i="2"/>
  <c r="G1354" i="2"/>
  <c r="F1354" i="2"/>
  <c r="G35" i="3"/>
  <c r="G61" i="3"/>
  <c r="G32" i="3"/>
  <c r="G31" i="3"/>
  <c r="G19" i="3"/>
  <c r="G1412" i="2"/>
  <c r="F1415" i="2"/>
  <c r="F1412" i="2" s="1"/>
  <c r="F2355" i="2"/>
  <c r="F356" i="2"/>
  <c r="G180" i="2"/>
  <c r="G27" i="3"/>
  <c r="G26" i="3"/>
  <c r="G769" i="2"/>
  <c r="G892" i="2"/>
  <c r="G25" i="3"/>
  <c r="G24" i="3"/>
  <c r="F2055" i="2"/>
  <c r="F4231" i="2"/>
  <c r="F53" i="2"/>
  <c r="F4230" i="2"/>
  <c r="F555" i="2"/>
  <c r="F904" i="2"/>
  <c r="F1244" i="2"/>
  <c r="F3541" i="2"/>
  <c r="G23" i="3"/>
  <c r="G22" i="3"/>
  <c r="G21" i="3"/>
  <c r="G20" i="3"/>
  <c r="F20" i="2"/>
  <c r="F153" i="2"/>
  <c r="G15" i="3"/>
  <c r="G13" i="3"/>
  <c r="G11" i="3"/>
  <c r="F1171" i="2"/>
  <c r="F1166" i="2" s="1"/>
  <c r="F2054" i="2"/>
  <c r="F107" i="2"/>
  <c r="F3811" i="2"/>
  <c r="F534" i="2"/>
  <c r="F178" i="2"/>
  <c r="F52" i="2"/>
  <c r="F265" i="2"/>
  <c r="F4225" i="2"/>
  <c r="F3536" i="2"/>
  <c r="F191" i="2"/>
  <c r="F3636" i="2"/>
  <c r="F1056" i="2"/>
  <c r="F669" i="2"/>
  <c r="F4221" i="2"/>
  <c r="F941" i="2"/>
  <c r="F784" i="2"/>
  <c r="F355" i="2"/>
  <c r="F4206" i="2"/>
  <c r="F606" i="2"/>
  <c r="F142" i="2"/>
  <c r="F152" i="2"/>
  <c r="F4216" i="2"/>
  <c r="F106" i="2"/>
  <c r="F658" i="2"/>
  <c r="G525" i="2"/>
  <c r="F533" i="2"/>
  <c r="F177" i="2"/>
  <c r="E177" i="2"/>
  <c r="F1697" i="2"/>
  <c r="F264" i="2"/>
  <c r="F3535" i="2"/>
  <c r="F190" i="2"/>
  <c r="F488" i="2"/>
  <c r="F1205" i="2"/>
  <c r="F1055" i="2"/>
  <c r="F668" i="2"/>
  <c r="F940" i="2"/>
  <c r="F322" i="2"/>
  <c r="F354" i="2"/>
  <c r="F1566" i="2"/>
  <c r="G536" i="2"/>
  <c r="K539" i="2"/>
  <c r="G2051" i="2"/>
  <c r="F2053" i="2"/>
  <c r="F105" i="2"/>
  <c r="F4213" i="2"/>
  <c r="G651" i="2"/>
  <c r="F657" i="2"/>
  <c r="G22" i="2"/>
  <c r="F51" i="2"/>
  <c r="G1182" i="2"/>
  <c r="F1188" i="2"/>
  <c r="G1694" i="2"/>
  <c r="F1696" i="2"/>
  <c r="F538" i="2"/>
  <c r="F4210" i="2"/>
  <c r="G484" i="2"/>
  <c r="F487" i="2"/>
  <c r="G1198" i="2"/>
  <c r="F1204" i="2"/>
  <c r="F4208" i="2"/>
  <c r="G664" i="2"/>
  <c r="F667" i="2"/>
  <c r="F783" i="2"/>
  <c r="F903" i="2"/>
  <c r="F4204" i="2"/>
  <c r="G715" i="2"/>
  <c r="F719" i="2"/>
  <c r="F715" i="2" s="1"/>
  <c r="E719" i="2"/>
  <c r="G1058" i="2"/>
  <c r="F1060" i="2"/>
  <c r="F1058" i="2" s="1"/>
  <c r="G1843" i="2"/>
  <c r="F1845" i="2"/>
  <c r="F1843" i="2" s="1"/>
  <c r="G109" i="2"/>
  <c r="F140" i="2"/>
  <c r="I32" i="15"/>
  <c r="I33" i="15"/>
  <c r="M17" i="15"/>
  <c r="I61" i="15"/>
  <c r="I31" i="15"/>
  <c r="I30" i="15"/>
  <c r="F2051" i="2" l="1"/>
  <c r="F1694" i="2"/>
  <c r="I29" i="15"/>
  <c r="I22" i="15"/>
  <c r="I27" i="15"/>
  <c r="I28" i="15"/>
  <c r="I43" i="15"/>
  <c r="I21" i="15"/>
  <c r="I26" i="15"/>
  <c r="I19" i="15"/>
  <c r="G18" i="15"/>
  <c r="I18" i="15" s="1"/>
  <c r="I23" i="15"/>
  <c r="I25" i="15"/>
  <c r="I20" i="15"/>
  <c r="I24" i="15"/>
  <c r="I17" i="15"/>
  <c r="G297" i="3"/>
  <c r="F2343" i="2"/>
  <c r="F4199" i="2"/>
  <c r="G336" i="3"/>
  <c r="G298" i="3"/>
  <c r="F853" i="2"/>
  <c r="F746" i="2"/>
  <c r="F1559" i="2"/>
  <c r="G411" i="3"/>
  <c r="G245" i="3"/>
  <c r="F4193" i="2"/>
  <c r="F4191" i="2"/>
  <c r="F3649" i="2"/>
  <c r="G1044" i="2"/>
  <c r="G291" i="3"/>
  <c r="G293" i="3"/>
  <c r="F4189" i="2"/>
  <c r="F4187" i="2"/>
  <c r="F4188" i="2"/>
  <c r="F4050" i="2"/>
  <c r="G584" i="2"/>
  <c r="F594" i="2"/>
  <c r="F4186" i="2"/>
  <c r="F1589" i="2"/>
  <c r="F2759" i="2"/>
  <c r="G2893" i="2"/>
  <c r="G2759" i="2"/>
  <c r="G346" i="3"/>
  <c r="G214" i="3"/>
  <c r="F3359" i="2"/>
  <c r="G3359" i="2"/>
  <c r="F4183" i="2"/>
  <c r="G1431" i="2"/>
  <c r="F4181" i="2"/>
  <c r="G3124" i="2"/>
  <c r="F3128" i="2"/>
  <c r="F3819" i="2"/>
  <c r="F4179" i="2"/>
  <c r="F4178" i="2"/>
  <c r="F4177" i="2"/>
  <c r="F4176" i="2"/>
  <c r="G286" i="3"/>
  <c r="F1959" i="2"/>
  <c r="F2263" i="2"/>
  <c r="G321" i="3"/>
  <c r="N43" i="7"/>
  <c r="N1" i="7"/>
  <c r="L116" i="7"/>
  <c r="F3441" i="2"/>
  <c r="G1977" i="2"/>
  <c r="F187" i="3"/>
  <c r="G187" i="3" s="1"/>
  <c r="G188" i="3"/>
  <c r="G189" i="3"/>
  <c r="G329" i="3" l="1"/>
  <c r="G315" i="3"/>
  <c r="G314" i="3"/>
  <c r="G14" i="3"/>
  <c r="G9" i="3"/>
  <c r="D45" i="7" l="1"/>
  <c r="D118" i="7"/>
  <c r="L82" i="7"/>
  <c r="D64" i="7"/>
  <c r="D62" i="7"/>
  <c r="D77" i="7"/>
  <c r="D103" i="7"/>
  <c r="L105" i="7"/>
  <c r="L112" i="7"/>
  <c r="L121" i="7"/>
  <c r="L133" i="7"/>
  <c r="L111" i="7"/>
  <c r="L12" i="7"/>
  <c r="L127" i="7"/>
  <c r="L118" i="7"/>
  <c r="L117" i="7"/>
  <c r="L92" i="7"/>
  <c r="L114" i="7"/>
  <c r="L113" i="7"/>
  <c r="L91" i="7"/>
  <c r="L103" i="7"/>
  <c r="L129" i="7"/>
  <c r="L97" i="7"/>
  <c r="L124" i="7"/>
  <c r="L77" i="7"/>
  <c r="L132" i="7"/>
  <c r="L33" i="7"/>
  <c r="L25" i="7"/>
  <c r="L24" i="7"/>
  <c r="L23" i="7"/>
  <c r="L21" i="7"/>
  <c r="L19" i="7"/>
  <c r="L18" i="7"/>
  <c r="L15" i="7"/>
  <c r="L11" i="7"/>
  <c r="L10" i="7"/>
  <c r="L9" i="7"/>
  <c r="L8" i="7"/>
  <c r="L7" i="7"/>
  <c r="L6" i="7"/>
  <c r="L4" i="7"/>
  <c r="L3" i="7"/>
  <c r="D30" i="7"/>
  <c r="G3" i="2"/>
  <c r="D69" i="7"/>
  <c r="F638" i="2"/>
  <c r="F2726" i="2"/>
  <c r="F2899" i="2"/>
  <c r="G254" i="3"/>
  <c r="G2720" i="2"/>
  <c r="G1422" i="2"/>
  <c r="G451" i="3"/>
  <c r="G2164" i="2"/>
  <c r="G2168" i="2"/>
  <c r="G1592" i="2"/>
  <c r="G1596" i="2"/>
  <c r="G2057" i="2"/>
  <c r="G1811" i="2"/>
  <c r="G1495" i="2"/>
  <c r="F1495" i="2"/>
  <c r="G1273" i="2"/>
  <c r="F1273" i="2"/>
  <c r="G1383" i="2"/>
  <c r="F1383" i="2"/>
  <c r="G2885" i="2"/>
  <c r="F2885" i="2"/>
  <c r="G2711" i="2"/>
  <c r="G2587" i="2"/>
  <c r="F2587" i="2"/>
  <c r="G3407" i="2"/>
  <c r="F3407" i="2"/>
  <c r="G1190" i="2"/>
  <c r="F1190" i="2"/>
  <c r="G1946" i="2"/>
  <c r="F1946" i="2"/>
  <c r="G2210" i="2"/>
  <c r="G2509" i="2"/>
  <c r="G1627" i="2"/>
  <c r="G3215" i="2"/>
  <c r="G281" i="3"/>
  <c r="G2039" i="2"/>
  <c r="G434" i="3"/>
  <c r="G415" i="3"/>
  <c r="G3280" i="2"/>
  <c r="F3280" i="2"/>
  <c r="F2848" i="2"/>
  <c r="G219" i="3"/>
  <c r="F2345" i="2"/>
  <c r="G204" i="3"/>
  <c r="F967" i="2"/>
  <c r="F558" i="2"/>
  <c r="F636" i="2"/>
  <c r="F1908" i="2"/>
  <c r="F852" i="2"/>
  <c r="G206" i="3"/>
  <c r="F851" i="2"/>
  <c r="F1907" i="2"/>
  <c r="F635" i="2"/>
  <c r="F939" i="2"/>
  <c r="G1959" i="2"/>
  <c r="G3162" i="2"/>
  <c r="G2739" i="2"/>
  <c r="G3391" i="2"/>
  <c r="G1512" i="2"/>
  <c r="G2754" i="2"/>
  <c r="G3454" i="2"/>
  <c r="G2963" i="2"/>
  <c r="G2889" i="2"/>
  <c r="G3346" i="2"/>
  <c r="F3346" i="2"/>
  <c r="G3320" i="2"/>
  <c r="G3499" i="2"/>
  <c r="G203" i="3"/>
  <c r="G1933" i="2"/>
  <c r="G1864" i="2"/>
  <c r="G1296" i="2"/>
  <c r="G2610" i="2"/>
  <c r="G2135" i="2"/>
  <c r="F2135" i="2"/>
  <c r="G1331" i="2"/>
  <c r="G3387" i="2"/>
  <c r="G3395" i="2"/>
  <c r="G3035" i="2"/>
  <c r="G3140" i="2"/>
  <c r="G2779" i="2"/>
  <c r="G2173" i="2"/>
  <c r="G2693" i="2"/>
  <c r="G2927" i="2"/>
  <c r="G2600" i="2"/>
  <c r="G2518" i="2"/>
  <c r="G2522" i="2"/>
  <c r="G3330" i="2"/>
  <c r="G3292" i="2"/>
  <c r="F3292" i="2"/>
  <c r="G207" i="3"/>
  <c r="G3008" i="2"/>
  <c r="G3304" i="2"/>
  <c r="G2145" i="2"/>
  <c r="F2145" i="2"/>
  <c r="G2655" i="2"/>
  <c r="F2655" i="2"/>
  <c r="G3202" i="2"/>
  <c r="G3468" i="2"/>
  <c r="F3468" i="2"/>
  <c r="F3165" i="2"/>
  <c r="F3162" i="2" s="1"/>
  <c r="F3323" i="2"/>
  <c r="F3320" i="2" s="1"/>
  <c r="F3501" i="2"/>
  <c r="F3499" i="2" s="1"/>
  <c r="G1619" i="2"/>
  <c r="F1619" i="2"/>
  <c r="G1406" i="2"/>
  <c r="G3411" i="2"/>
  <c r="F3411" i="2"/>
  <c r="G3458" i="2"/>
  <c r="F3462" i="2"/>
  <c r="F398" i="2"/>
  <c r="F4149" i="2"/>
  <c r="G2014" i="2"/>
  <c r="G982" i="2"/>
  <c r="G3023" i="2"/>
  <c r="F3023" i="2"/>
  <c r="G1254" i="2"/>
  <c r="G2249" i="2"/>
  <c r="F2249" i="2"/>
  <c r="G3441" i="2"/>
  <c r="G3325" i="2"/>
  <c r="G3146" i="2"/>
  <c r="F3146" i="2"/>
  <c r="G2562" i="2"/>
  <c r="G2910" i="2"/>
  <c r="G2631" i="2"/>
  <c r="F2631" i="2"/>
  <c r="G3120" i="2"/>
  <c r="F3120" i="2"/>
  <c r="G2959" i="2"/>
  <c r="F2959" i="2"/>
  <c r="G3066" i="2"/>
  <c r="F3066" i="2"/>
  <c r="G2919" i="2"/>
  <c r="F263" i="2"/>
  <c r="G217" i="3"/>
  <c r="G228" i="3"/>
  <c r="G182" i="3"/>
  <c r="G205" i="3"/>
  <c r="G171" i="3"/>
  <c r="F2983" i="2"/>
  <c r="F2125" i="2"/>
  <c r="G216" i="3"/>
  <c r="G1792" i="2"/>
  <c r="G218" i="3"/>
  <c r="F2535" i="2"/>
  <c r="G215" i="3"/>
  <c r="F4120" i="2" l="1"/>
  <c r="F451" i="2"/>
  <c r="G1900" i="2"/>
  <c r="F1905" i="2"/>
  <c r="F1900" i="2" s="1"/>
  <c r="F450" i="2"/>
  <c r="F3009" i="2"/>
  <c r="F3008" i="2" s="1"/>
  <c r="F2890" i="2"/>
  <c r="F2889" i="2" s="1"/>
  <c r="F2964" i="2"/>
  <c r="F2963" i="2" s="1"/>
  <c r="F708" i="2"/>
  <c r="F3456" i="2"/>
  <c r="F2757" i="2"/>
  <c r="F2754" i="2" s="1"/>
  <c r="F2751" i="2"/>
  <c r="F2748" i="2" s="1"/>
  <c r="F1691" i="2"/>
  <c r="G213" i="3"/>
  <c r="F4000" i="2"/>
  <c r="F3455" i="2"/>
  <c r="F1371" i="2"/>
  <c r="F3328" i="2"/>
  <c r="F3325" i="2" s="1"/>
  <c r="F1394" i="2"/>
  <c r="F1387" i="2" s="1"/>
  <c r="F2048" i="2"/>
  <c r="F294" i="2"/>
  <c r="F3393" i="2"/>
  <c r="F3391" i="2" s="1"/>
  <c r="G212" i="3"/>
  <c r="F1822" i="2"/>
  <c r="F516" i="2"/>
  <c r="F2913" i="2"/>
  <c r="G142" i="3"/>
  <c r="F2741" i="2"/>
  <c r="F2739" i="2" s="1"/>
  <c r="F3967" i="2"/>
  <c r="F2921" i="2"/>
  <c r="F2912" i="2"/>
  <c r="F3810" i="2"/>
  <c r="F514" i="2"/>
  <c r="F2920" i="2"/>
  <c r="F2911" i="2"/>
  <c r="G2365" i="2"/>
  <c r="F2365" i="2"/>
  <c r="F3484" i="2"/>
  <c r="F4118" i="2"/>
  <c r="F3427" i="2"/>
  <c r="F4117" i="2"/>
  <c r="G141" i="3"/>
  <c r="G3136" i="2"/>
  <c r="F3136" i="2"/>
  <c r="G3112" i="2"/>
  <c r="F3426" i="2"/>
  <c r="G248" i="3"/>
  <c r="F424" i="2"/>
  <c r="F2510" i="2"/>
  <c r="F2509" i="2" s="1"/>
  <c r="F1369" i="2"/>
  <c r="B12" i="9"/>
  <c r="B13" i="9" s="1"/>
  <c r="B14" i="9" s="1"/>
  <c r="G2923" i="2"/>
  <c r="G124" i="3"/>
  <c r="F3354" i="2"/>
  <c r="F2399" i="2"/>
  <c r="G2399" i="2"/>
  <c r="G116" i="3"/>
  <c r="G1853" i="2"/>
  <c r="F1855" i="2"/>
  <c r="F1853" i="2" s="1"/>
  <c r="G3031" i="2"/>
  <c r="G3219" i="2"/>
  <c r="G2689" i="2"/>
  <c r="F2691" i="2"/>
  <c r="F2689" i="2" s="1"/>
  <c r="F1078" i="2"/>
  <c r="F3454" i="2" l="1"/>
  <c r="F2910" i="2"/>
  <c r="F2919" i="2"/>
  <c r="B15" i="9"/>
  <c r="B16" i="9" s="1"/>
  <c r="B17" i="9" s="1"/>
  <c r="B18" i="9" s="1"/>
  <c r="B19" i="9" s="1"/>
  <c r="B20" i="9" s="1"/>
  <c r="B21" i="9" s="1"/>
  <c r="B22" i="9" s="1"/>
  <c r="B23" i="9" s="1"/>
  <c r="B24" i="9" s="1"/>
  <c r="B25" i="9" s="1"/>
  <c r="B26" i="9" s="1"/>
  <c r="B27" i="9" s="1"/>
  <c r="B28" i="9" s="1"/>
  <c r="B29" i="9" s="1"/>
  <c r="B30" i="9" s="1"/>
  <c r="B31" i="9" s="1"/>
  <c r="B32" i="9" s="1"/>
  <c r="B33" i="9" s="1"/>
  <c r="B34" i="9" s="1"/>
  <c r="B35" i="9" s="1"/>
  <c r="B36" i="9" s="1"/>
  <c r="B37" i="9" s="1"/>
  <c r="B38" i="9" s="1"/>
  <c r="B39" i="9" s="1"/>
  <c r="B40" i="9" s="1"/>
  <c r="B41" i="9" s="1"/>
  <c r="B42" i="9" s="1"/>
  <c r="B43" i="9" s="1"/>
  <c r="B44" i="9" s="1"/>
  <c r="B45" i="9" s="1"/>
  <c r="B46" i="9" s="1"/>
  <c r="B47" i="9" s="1"/>
  <c r="G112" i="3"/>
  <c r="G93" i="3"/>
  <c r="F1653" i="2"/>
  <c r="F2482" i="2"/>
  <c r="G1322" i="2"/>
  <c r="F1326" i="2"/>
  <c r="F889" i="2"/>
  <c r="F877" i="2" s="1"/>
  <c r="F1898" i="2"/>
  <c r="G74" i="3"/>
  <c r="G108" i="3"/>
  <c r="F2211" i="2"/>
  <c r="F2210" i="2" s="1"/>
  <c r="G111" i="3"/>
  <c r="F948" i="2"/>
  <c r="F1137" i="2"/>
  <c r="F1173" i="2"/>
  <c r="F1639" i="2"/>
  <c r="F1655" i="2"/>
  <c r="F1670" i="2"/>
  <c r="F444" i="2"/>
  <c r="F428" i="2" s="1"/>
  <c r="F1161" i="2"/>
  <c r="G109" i="3"/>
  <c r="G29" i="3"/>
  <c r="G161" i="3"/>
  <c r="G184" i="3"/>
  <c r="G153" i="3"/>
  <c r="G170" i="3"/>
  <c r="G82" i="3"/>
  <c r="G77" i="3"/>
  <c r="G70" i="3"/>
  <c r="G40" i="3"/>
  <c r="G65" i="3"/>
  <c r="G72" i="3"/>
  <c r="G63" i="3"/>
  <c r="G52" i="3"/>
  <c r="G89" i="3"/>
  <c r="G83" i="3"/>
  <c r="G81" i="3"/>
  <c r="G79" i="3"/>
  <c r="G67" i="3"/>
  <c r="G51" i="3"/>
  <c r="G48" i="3"/>
  <c r="G85" i="3"/>
  <c r="G80" i="3"/>
  <c r="G68" i="3"/>
  <c r="G64" i="3"/>
  <c r="G69" i="3"/>
  <c r="G71" i="3"/>
  <c r="G59" i="3"/>
  <c r="G110" i="3"/>
  <c r="G60" i="3"/>
  <c r="G75" i="3"/>
  <c r="G76" i="3"/>
  <c r="G78" i="3"/>
  <c r="G66" i="3"/>
  <c r="G53" i="3"/>
  <c r="G100" i="3"/>
  <c r="F3980" i="2"/>
  <c r="F3979" i="2"/>
  <c r="F3978" i="2"/>
  <c r="F3977" i="2"/>
  <c r="F3976" i="2"/>
  <c r="F3975" i="2"/>
  <c r="F1026" i="2"/>
  <c r="F99" i="2"/>
  <c r="F3866" i="2"/>
  <c r="F98" i="2"/>
  <c r="F2564" i="2"/>
  <c r="F422" i="2"/>
  <c r="F3775" i="2"/>
  <c r="F3774" i="2"/>
  <c r="F3773" i="2"/>
  <c r="F421" i="2"/>
  <c r="F3772" i="2"/>
  <c r="F2563" i="2"/>
  <c r="F3771" i="2"/>
  <c r="F396" i="2"/>
  <c r="F1346" i="2"/>
  <c r="G38" i="3"/>
  <c r="G30" i="3"/>
  <c r="G34" i="3"/>
  <c r="G132" i="3"/>
  <c r="G36" i="3"/>
  <c r="G39" i="3"/>
  <c r="G37" i="3"/>
  <c r="G43" i="3"/>
  <c r="G44" i="3"/>
  <c r="G45" i="3"/>
  <c r="F3221" i="2"/>
  <c r="F3219" i="2" s="1"/>
  <c r="F1928" i="2"/>
  <c r="F3909" i="2"/>
  <c r="G268" i="2"/>
  <c r="F290" i="2"/>
  <c r="F2713" i="2"/>
  <c r="F1492" i="2"/>
  <c r="F288" i="2"/>
  <c r="F2712" i="2"/>
  <c r="F2174" i="2"/>
  <c r="F2173" i="2" s="1"/>
  <c r="F1466" i="2"/>
  <c r="F2711" i="2" l="1"/>
  <c r="F2562" i="2"/>
  <c r="B48" i="9"/>
  <c r="B49" i="9" s="1"/>
  <c r="B50" i="9" s="1"/>
  <c r="B51" i="9" s="1"/>
  <c r="B52" i="9" s="1"/>
  <c r="B53" i="9" s="1"/>
  <c r="B54" i="9" s="1"/>
  <c r="B55" i="9" s="1"/>
  <c r="B56" i="9" s="1"/>
  <c r="B57" i="9" s="1"/>
  <c r="B58" i="9" s="1"/>
  <c r="B59" i="9" s="1"/>
  <c r="B60" i="9" s="1"/>
  <c r="B61" i="9" s="1"/>
  <c r="B62" i="9" s="1"/>
  <c r="B63" i="9" s="1"/>
  <c r="B64" i="9" s="1"/>
  <c r="B65" i="9" s="1"/>
  <c r="B66" i="9" s="1"/>
  <c r="B67" i="9" s="1"/>
  <c r="B68" i="9" s="1"/>
  <c r="B69" i="9" s="1"/>
  <c r="B70" i="9" s="1"/>
  <c r="B71" i="9" s="1"/>
  <c r="G166" i="3"/>
  <c r="G157" i="3"/>
  <c r="G185" i="3"/>
  <c r="G159" i="3"/>
  <c r="G169" i="3"/>
  <c r="G41" i="3"/>
  <c r="G149" i="3"/>
  <c r="G181" i="3"/>
  <c r="G163" i="3"/>
  <c r="G174" i="3"/>
  <c r="G156" i="3"/>
  <c r="G162" i="3"/>
  <c r="G192" i="3"/>
  <c r="G154" i="3"/>
  <c r="G150" i="3"/>
  <c r="G168" i="3"/>
  <c r="G167" i="3"/>
  <c r="G160" i="3"/>
  <c r="G179" i="3"/>
  <c r="G155" i="3"/>
  <c r="G158" i="3"/>
  <c r="G186" i="3"/>
  <c r="G91" i="3"/>
  <c r="G148" i="3"/>
  <c r="G147" i="3"/>
  <c r="G144" i="3"/>
  <c r="G145" i="3"/>
  <c r="G137" i="3"/>
  <c r="G146" i="3"/>
  <c r="G105" i="3"/>
  <c r="G134" i="3"/>
  <c r="G139" i="3"/>
  <c r="G138" i="3"/>
  <c r="G143" i="3"/>
  <c r="G135" i="3"/>
  <c r="G140" i="3"/>
  <c r="G136" i="3"/>
  <c r="G87" i="3"/>
  <c r="G126" i="3"/>
  <c r="G165" i="3"/>
  <c r="G128" i="3"/>
  <c r="G122" i="3"/>
  <c r="G131" i="3"/>
  <c r="B72" i="9" l="1"/>
  <c r="B73" i="9" s="1"/>
  <c r="B74" i="9" s="1"/>
  <c r="B75" i="9" s="1"/>
  <c r="B76" i="9" s="1"/>
  <c r="G119" i="3"/>
  <c r="G120" i="3"/>
  <c r="G121" i="3"/>
  <c r="G129" i="3"/>
  <c r="G125" i="3"/>
  <c r="G133" i="3"/>
  <c r="G130" i="3"/>
  <c r="G117" i="3"/>
  <c r="G115" i="3"/>
  <c r="G118" i="3"/>
  <c r="G114" i="3"/>
  <c r="G113" i="3"/>
  <c r="G98" i="3"/>
  <c r="G107" i="3"/>
  <c r="G104" i="3"/>
  <c r="G101" i="3"/>
  <c r="G102" i="3"/>
  <c r="G92" i="3"/>
  <c r="G94" i="3"/>
  <c r="G97" i="3"/>
  <c r="G86" i="3"/>
  <c r="G99" i="3"/>
  <c r="G96" i="3"/>
  <c r="G95" i="3"/>
  <c r="G90" i="3"/>
  <c r="G1194" i="2"/>
  <c r="G2955" i="2"/>
  <c r="G1839" i="2"/>
  <c r="F1839" i="2"/>
  <c r="G3423" i="2"/>
  <c r="G2351" i="2"/>
  <c r="F519" i="2"/>
  <c r="G2915" i="2"/>
  <c r="F94" i="2" l="1"/>
  <c r="F1509" i="2"/>
  <c r="F1504" i="2" s="1"/>
  <c r="F2073" i="2"/>
  <c r="F2070" i="2" s="1"/>
  <c r="F1866" i="2"/>
  <c r="F1864" i="2" s="1"/>
  <c r="F1689" i="2"/>
  <c r="F2620" i="2"/>
  <c r="F3425" i="2"/>
  <c r="F3423" i="2" s="1"/>
  <c r="F1688" i="2"/>
  <c r="F394" i="2"/>
  <c r="F2202" i="2"/>
  <c r="F259" i="2"/>
  <c r="F1220" i="2"/>
  <c r="F392" i="2"/>
  <c r="F258" i="2"/>
  <c r="G1260" i="2"/>
  <c r="F1263" i="2"/>
  <c r="F902" i="2"/>
  <c r="F391" i="2"/>
  <c r="G1729" i="2"/>
  <c r="F1729" i="2"/>
  <c r="G1759" i="2"/>
  <c r="F1759" i="2"/>
  <c r="G3103" i="2"/>
  <c r="F3103" i="2"/>
  <c r="G2336" i="2"/>
  <c r="G2972" i="2"/>
  <c r="G1655" i="2"/>
  <c r="G2514" i="2"/>
  <c r="G1988" i="2"/>
  <c r="G610" i="2"/>
  <c r="F610" i="2"/>
  <c r="G1222" i="2"/>
  <c r="G2774" i="2"/>
  <c r="F1755" i="2"/>
  <c r="F3993" i="2"/>
  <c r="F2777" i="2"/>
  <c r="F1187" i="2"/>
  <c r="F1182" i="2" s="1"/>
  <c r="F1754" i="2"/>
  <c r="F2776" i="2"/>
  <c r="F2516" i="2"/>
  <c r="F2514" i="2" s="1"/>
  <c r="F2775" i="2"/>
  <c r="F1990" i="2"/>
  <c r="F1988" i="2" s="1"/>
  <c r="G1105" i="2"/>
  <c r="F1105" i="2"/>
  <c r="F814" i="2"/>
  <c r="F2638" i="2"/>
  <c r="F2635" i="2" s="1"/>
  <c r="G948" i="2"/>
  <c r="G2189" i="2"/>
  <c r="G2131" i="2"/>
  <c r="G3012" i="2"/>
  <c r="G1639" i="2"/>
  <c r="G3239" i="2"/>
  <c r="G2159" i="2"/>
  <c r="G2464" i="2"/>
  <c r="G2475" i="2"/>
  <c r="F933" i="2"/>
  <c r="F901" i="2"/>
  <c r="G1799" i="2"/>
  <c r="F1004" i="2"/>
  <c r="F1804" i="2"/>
  <c r="F1219" i="2"/>
  <c r="F1003" i="2"/>
  <c r="F932" i="2"/>
  <c r="F1803" i="2"/>
  <c r="F1801" i="2"/>
  <c r="F2477" i="2"/>
  <c r="F2466" i="2"/>
  <c r="F2161" i="2"/>
  <c r="F1800" i="2"/>
  <c r="F2476" i="2"/>
  <c r="F2465" i="2"/>
  <c r="G2321" i="2"/>
  <c r="F1000" i="2"/>
  <c r="F900" i="2"/>
  <c r="F2160" i="2"/>
  <c r="F2981" i="2"/>
  <c r="F2976" i="2" s="1"/>
  <c r="F745" i="2"/>
  <c r="F3996" i="2"/>
  <c r="F3241" i="2"/>
  <c r="G2983" i="2"/>
  <c r="G2312" i="2"/>
  <c r="F2312" i="2"/>
  <c r="G2075" i="2"/>
  <c r="F2811" i="2"/>
  <c r="F2809" i="2" s="1"/>
  <c r="E2811" i="2"/>
  <c r="G2809" i="2"/>
  <c r="F3240" i="2"/>
  <c r="G1937" i="2"/>
  <c r="F90" i="2"/>
  <c r="F285" i="2"/>
  <c r="F2077" i="2"/>
  <c r="F2075" i="2" s="1"/>
  <c r="F742" i="2"/>
  <c r="G1824" i="2"/>
  <c r="F1824" i="2"/>
  <c r="G2155" i="2"/>
  <c r="G1137" i="2"/>
  <c r="G1499" i="2"/>
  <c r="G971" i="2"/>
  <c r="G1568" i="2"/>
  <c r="G1418" i="2"/>
  <c r="G914" i="2"/>
  <c r="F914" i="2"/>
  <c r="G2080" i="2"/>
  <c r="F2080" i="2"/>
  <c r="G2843" i="2"/>
  <c r="F2845" i="2"/>
  <c r="F2843" i="2" s="1"/>
  <c r="F3750" i="2"/>
  <c r="F1269" i="2"/>
  <c r="F3660" i="2"/>
  <c r="F3659" i="2"/>
  <c r="F2234" i="2"/>
  <c r="F3658" i="2"/>
  <c r="F3657" i="2"/>
  <c r="F3656" i="2"/>
  <c r="F3655" i="2"/>
  <c r="F3654" i="2"/>
  <c r="F3653" i="2"/>
  <c r="F3652" i="2"/>
  <c r="F1953" i="2"/>
  <c r="F3648" i="2"/>
  <c r="G1572" i="2"/>
  <c r="G1880" i="2"/>
  <c r="G1301" i="2"/>
  <c r="G748" i="2"/>
  <c r="F748" i="2"/>
  <c r="G855" i="2"/>
  <c r="F908" i="2"/>
  <c r="G491" i="2"/>
  <c r="F1799" i="2" l="1"/>
  <c r="F1207" i="2"/>
  <c r="F2774" i="2"/>
  <c r="F3239" i="2"/>
  <c r="F2475" i="2"/>
  <c r="F2464" i="2"/>
  <c r="F2159" i="2"/>
  <c r="G2485" i="2"/>
  <c r="G1743" i="2"/>
  <c r="G1348" i="2"/>
  <c r="F1348" i="2"/>
  <c r="G918" i="2"/>
  <c r="G943" i="2"/>
  <c r="G952" i="2"/>
  <c r="G3399" i="2"/>
  <c r="G2901" i="2"/>
  <c r="F2901" i="2"/>
  <c r="G2674" i="2"/>
  <c r="G2546" i="2"/>
  <c r="G2503" i="2"/>
  <c r="G2881" i="2"/>
  <c r="G2906" i="2"/>
  <c r="G1062" i="2"/>
  <c r="G3039" i="2"/>
  <c r="G1733" i="2"/>
  <c r="F1733" i="2"/>
  <c r="G3051" i="2"/>
  <c r="G3316" i="2"/>
  <c r="G1950" i="2"/>
  <c r="G2997" i="2"/>
  <c r="F2997" i="2"/>
  <c r="G2993" i="2"/>
  <c r="F2993" i="2"/>
  <c r="G2530" i="2"/>
  <c r="G3367" i="2"/>
  <c r="F3367" i="2"/>
  <c r="F3310" i="2"/>
  <c r="F3308" i="2" s="1"/>
  <c r="L3309" i="2"/>
  <c r="G3308" i="2"/>
  <c r="G3251" i="2"/>
  <c r="G2493" i="2"/>
  <c r="F2493" i="2"/>
  <c r="G2308" i="2"/>
  <c r="G1890" i="2"/>
  <c r="G2968" i="2"/>
  <c r="G2316" i="2"/>
  <c r="G2450" i="2"/>
  <c r="G3446" i="2"/>
  <c r="G1447" i="2"/>
  <c r="G3495" i="2"/>
  <c r="F3495" i="2"/>
  <c r="G3477" i="2"/>
  <c r="G2221" i="2"/>
  <c r="F2221" i="2"/>
  <c r="G2789" i="2"/>
  <c r="G2066" i="2"/>
  <c r="F2066" i="2"/>
  <c r="G2062" i="2"/>
  <c r="F2062" i="2"/>
  <c r="G2552" i="2"/>
  <c r="F2552" i="2"/>
  <c r="G2357" i="2"/>
  <c r="F2357" i="2"/>
  <c r="G3062" i="2"/>
  <c r="G2764" i="2"/>
  <c r="G446" i="2"/>
  <c r="G2670" i="2"/>
  <c r="F2670" i="2"/>
  <c r="F2947" i="2"/>
  <c r="G2947" i="2"/>
  <c r="G2943" i="2"/>
  <c r="F2943" i="2"/>
  <c r="G2939" i="2"/>
  <c r="G2526" i="2"/>
  <c r="F2526" i="2"/>
  <c r="G3415" i="2"/>
  <c r="F3415" i="2"/>
  <c r="G2769" i="2"/>
  <c r="G2326" i="2"/>
  <c r="F2326" i="2"/>
  <c r="G2794" i="2"/>
  <c r="G3099" i="2"/>
  <c r="F3099" i="2"/>
  <c r="G2931" i="2"/>
  <c r="F2931" i="2"/>
  <c r="G2799" i="2"/>
  <c r="F2799" i="2"/>
  <c r="G3193" i="2"/>
  <c r="F3193" i="2"/>
  <c r="G3047" i="2"/>
  <c r="G3167" i="2"/>
  <c r="F3167" i="2"/>
  <c r="G2430" i="2"/>
  <c r="F2430" i="2"/>
  <c r="G2540" i="2"/>
  <c r="G2411" i="2"/>
  <c r="F2411" i="2"/>
  <c r="G2593" i="2"/>
  <c r="G3184" i="2"/>
  <c r="F3184" i="2"/>
  <c r="G1472" i="2"/>
  <c r="G1173" i="2"/>
  <c r="G1942" i="2"/>
  <c r="F1942" i="2"/>
  <c r="G1894" i="2"/>
  <c r="G2084" i="2"/>
  <c r="G1466" i="2"/>
  <c r="G1886" i="2"/>
  <c r="F1886" i="2"/>
  <c r="G3491" i="2"/>
  <c r="F3491" i="2"/>
  <c r="G1038" i="2"/>
  <c r="G1265" i="2"/>
  <c r="G2641" i="2"/>
  <c r="G3338" i="2"/>
  <c r="G3507" i="2"/>
  <c r="F3507" i="2"/>
  <c r="G2394" i="2"/>
  <c r="G3197" i="2"/>
  <c r="G3312" i="2"/>
  <c r="G2976" i="2"/>
  <c r="G3076" i="2"/>
  <c r="G3070" i="2"/>
  <c r="G2935" i="2"/>
  <c r="G977" i="2"/>
  <c r="G3227" i="2"/>
  <c r="F3227" i="2"/>
  <c r="G3419" i="2"/>
  <c r="F3419" i="2"/>
  <c r="G2678" i="2"/>
  <c r="G2566" i="2"/>
  <c r="F2566" i="2"/>
  <c r="G2460" i="2"/>
  <c r="G2149" i="2"/>
  <c r="G2579" i="2"/>
  <c r="G2295" i="2"/>
  <c r="G1306" i="2"/>
  <c r="G3481" i="2"/>
  <c r="G660" i="2"/>
  <c r="F660" i="2"/>
  <c r="G3154" i="2"/>
  <c r="F3154" i="2"/>
  <c r="G3017" i="2"/>
  <c r="F3017" i="2"/>
  <c r="G2479" i="2"/>
  <c r="G3231" i="2"/>
  <c r="G3089" i="2"/>
  <c r="F3089" i="2"/>
  <c r="G3116" i="2"/>
  <c r="F3116" i="2"/>
  <c r="G3189" i="2"/>
  <c r="G2263" i="2"/>
  <c r="G2345" i="2"/>
  <c r="G1857" i="2"/>
  <c r="G2827" i="2"/>
  <c r="F2827" i="2"/>
  <c r="G2735" i="2"/>
  <c r="F2735" i="2"/>
  <c r="G2848" i="2"/>
  <c r="G3354" i="2"/>
  <c r="G3288" i="2"/>
  <c r="F3288" i="2"/>
  <c r="G3296" i="2"/>
  <c r="F3296" i="2"/>
  <c r="G3342" i="2"/>
  <c r="F3342" i="2"/>
  <c r="G1635" i="2"/>
  <c r="G2240" i="2"/>
  <c r="G2635" i="2"/>
  <c r="G3206" i="2"/>
  <c r="G1623" i="2"/>
  <c r="F1623" i="2"/>
  <c r="G2989" i="2"/>
  <c r="G3043" i="2"/>
  <c r="F3043" i="2"/>
  <c r="G2784" i="2"/>
  <c r="F2784" i="2"/>
  <c r="G3027" i="2"/>
  <c r="F3027" i="2"/>
  <c r="G3486" i="2"/>
  <c r="G1747" i="2"/>
  <c r="G3094" i="2"/>
  <c r="G3284" i="2"/>
  <c r="F3284" i="2"/>
  <c r="F3334" i="2"/>
  <c r="G3334" i="2"/>
  <c r="G2557" i="2"/>
  <c r="F2557" i="2"/>
  <c r="G3429" i="2"/>
  <c r="F3429" i="2"/>
  <c r="G3433" i="2"/>
  <c r="F3433" i="2"/>
  <c r="G3403" i="2"/>
  <c r="F3403" i="2"/>
  <c r="G3437" i="2"/>
  <c r="F3437" i="2"/>
  <c r="G3223" i="2"/>
  <c r="F3223" i="2"/>
  <c r="G1453" i="2"/>
  <c r="G3001" i="2"/>
  <c r="G2804" i="2"/>
  <c r="F2804" i="2"/>
  <c r="G2704" i="2"/>
  <c r="F2606" i="2"/>
  <c r="F2605" i="2" s="1"/>
  <c r="G2605" i="2"/>
  <c r="G3243" i="2"/>
  <c r="G1647" i="2"/>
  <c r="G3269" i="2"/>
  <c r="G3247" i="2"/>
  <c r="G3371" i="2"/>
  <c r="G3375" i="2"/>
  <c r="G3379" i="2"/>
  <c r="G1050" i="2"/>
  <c r="G3350" i="2"/>
  <c r="G2005" i="2"/>
  <c r="F2007" i="2"/>
  <c r="F2005" i="2" s="1"/>
  <c r="F1806" i="2"/>
  <c r="G1670" i="2"/>
  <c r="G3180" i="2"/>
  <c r="G2226" i="2"/>
  <c r="F2226" i="2"/>
  <c r="G3503" i="2"/>
  <c r="F3505" i="2"/>
  <c r="F3503" i="2" s="1"/>
  <c r="F2117" i="2"/>
  <c r="G3260" i="2"/>
  <c r="F2215" i="2"/>
  <c r="F3014" i="2"/>
  <c r="F2372" i="2"/>
  <c r="G2117" i="2"/>
  <c r="G2814" i="2"/>
  <c r="F2814" i="2"/>
  <c r="F3013" i="2"/>
  <c r="G2369" i="2"/>
  <c r="F2371" i="2"/>
  <c r="G2215" i="2"/>
  <c r="F1573" i="2"/>
  <c r="F1572" i="2" s="1"/>
  <c r="E1573" i="2"/>
  <c r="F3678" i="2"/>
  <c r="E3678" i="2"/>
  <c r="G1600" i="2"/>
  <c r="F2370" i="2"/>
  <c r="E2370" i="2"/>
  <c r="F3677" i="2"/>
  <c r="E3677" i="2"/>
  <c r="F3676" i="2"/>
  <c r="E3676" i="2"/>
  <c r="F3675" i="2"/>
  <c r="E3675" i="2"/>
  <c r="G1226" i="2"/>
  <c r="F42" i="3"/>
  <c r="G42" i="3" s="1"/>
  <c r="E3582" i="2"/>
  <c r="E3581" i="2"/>
  <c r="E1106" i="2"/>
  <c r="D58" i="3"/>
  <c r="F58" i="3"/>
  <c r="G58" i="3" s="1"/>
  <c r="F1196" i="2"/>
  <c r="F1194" i="2" s="1"/>
  <c r="F592" i="2"/>
  <c r="F3584" i="2"/>
  <c r="F1939" i="2"/>
  <c r="F3646" i="2"/>
  <c r="F2191" i="2"/>
  <c r="F2189" i="2" s="1"/>
  <c r="F2133" i="2"/>
  <c r="F2131" i="2" s="1"/>
  <c r="F3619" i="2"/>
  <c r="F3618" i="2"/>
  <c r="F3617" i="2"/>
  <c r="F3616" i="2"/>
  <c r="F3615" i="2"/>
  <c r="F3614" i="2"/>
  <c r="F3613" i="2"/>
  <c r="F3612" i="2"/>
  <c r="F3611" i="2"/>
  <c r="G2101" i="2"/>
  <c r="G3108" i="2"/>
  <c r="G2822" i="2"/>
  <c r="G1605" i="2"/>
  <c r="G2853" i="2"/>
  <c r="G2622" i="2"/>
  <c r="F3464" i="2"/>
  <c r="G3464" i="2"/>
  <c r="G3300" i="2"/>
  <c r="F3300" i="2"/>
  <c r="G1643" i="2"/>
  <c r="G2236" i="2"/>
  <c r="G1737" i="2"/>
  <c r="G1336" i="2"/>
  <c r="G1912" i="2"/>
  <c r="F1912" i="2"/>
  <c r="G1177" i="2"/>
  <c r="G1815" i="2"/>
  <c r="G3450" i="2"/>
  <c r="F3450" i="2"/>
  <c r="G1965" i="2"/>
  <c r="F1965" i="2"/>
  <c r="G1917" i="2"/>
  <c r="G1631" i="2"/>
  <c r="G1699" i="2"/>
  <c r="G2361" i="2"/>
  <c r="G2009" i="2"/>
  <c r="G1955" i="2"/>
  <c r="G1561" i="2"/>
  <c r="F2862" i="2"/>
  <c r="F2682" i="2"/>
  <c r="F2498" i="2"/>
  <c r="F2444" i="2"/>
  <c r="F2424" i="2"/>
  <c r="F2387" i="2"/>
  <c r="F2289" i="2"/>
  <c r="F2285" i="2"/>
  <c r="F1712" i="2"/>
  <c r="F1517" i="2"/>
  <c r="F1478" i="2"/>
  <c r="J428" i="2"/>
  <c r="J519" i="2"/>
  <c r="T46" i="3"/>
  <c r="G46" i="3" s="1"/>
  <c r="Z50" i="3"/>
  <c r="G50" i="3" s="1"/>
  <c r="F73" i="3"/>
  <c r="Q73" i="3"/>
  <c r="F106" i="3"/>
  <c r="F402" i="3"/>
  <c r="F9" i="2"/>
  <c r="F3" i="2" s="1"/>
  <c r="M22" i="2"/>
  <c r="N22" i="2"/>
  <c r="R22" i="2"/>
  <c r="F23" i="2"/>
  <c r="F27" i="2"/>
  <c r="P22" i="2" s="1"/>
  <c r="F31" i="2"/>
  <c r="O22" i="2" s="1"/>
  <c r="F41" i="2"/>
  <c r="F42" i="2"/>
  <c r="F43" i="2"/>
  <c r="F44" i="2"/>
  <c r="F47" i="2"/>
  <c r="G56" i="2"/>
  <c r="N56" i="2"/>
  <c r="Q56" i="2"/>
  <c r="F60" i="2"/>
  <c r="F62" i="2"/>
  <c r="P56" i="2" s="1"/>
  <c r="F71" i="2"/>
  <c r="F78" i="2"/>
  <c r="F81" i="2"/>
  <c r="R109" i="2"/>
  <c r="F115" i="2"/>
  <c r="F123" i="2"/>
  <c r="O109" i="2" s="1"/>
  <c r="F126" i="2"/>
  <c r="Q109" i="2" s="1"/>
  <c r="F131" i="2"/>
  <c r="F132" i="2"/>
  <c r="G155" i="2"/>
  <c r="O155" i="2"/>
  <c r="R155" i="2"/>
  <c r="F156" i="2"/>
  <c r="F160" i="2"/>
  <c r="G164" i="2"/>
  <c r="O164" i="2"/>
  <c r="R164" i="2"/>
  <c r="F165" i="2"/>
  <c r="P164" i="2" s="1"/>
  <c r="F169" i="2"/>
  <c r="G144" i="2"/>
  <c r="O144" i="2"/>
  <c r="R144" i="2"/>
  <c r="F145" i="2"/>
  <c r="F148" i="2"/>
  <c r="G171" i="2"/>
  <c r="O171" i="2"/>
  <c r="Q171" i="2"/>
  <c r="F172" i="2"/>
  <c r="O180" i="2"/>
  <c r="F181" i="2"/>
  <c r="F186" i="2"/>
  <c r="F187" i="2"/>
  <c r="F189" i="2"/>
  <c r="G194" i="2"/>
  <c r="F199" i="2"/>
  <c r="F208" i="2"/>
  <c r="F215" i="2"/>
  <c r="F216" i="2"/>
  <c r="F220" i="2"/>
  <c r="F223" i="2"/>
  <c r="F224" i="2"/>
  <c r="F229" i="2"/>
  <c r="G325" i="2"/>
  <c r="F326" i="2"/>
  <c r="F325" i="2" s="1"/>
  <c r="G329" i="2"/>
  <c r="F330" i="2"/>
  <c r="F332" i="2"/>
  <c r="F334" i="2"/>
  <c r="F350" i="2"/>
  <c r="F351" i="2"/>
  <c r="F352" i="2"/>
  <c r="G453" i="2"/>
  <c r="F456" i="2"/>
  <c r="F457" i="2"/>
  <c r="E458" i="2"/>
  <c r="F459" i="2"/>
  <c r="F461" i="2"/>
  <c r="E463" i="2"/>
  <c r="F463" i="2"/>
  <c r="G400" i="2"/>
  <c r="F405" i="2"/>
  <c r="F409" i="2"/>
  <c r="F418" i="2"/>
  <c r="F420" i="2"/>
  <c r="G465" i="2"/>
  <c r="F466" i="2"/>
  <c r="F467" i="2"/>
  <c r="G469" i="2"/>
  <c r="F470" i="2"/>
  <c r="F471" i="2"/>
  <c r="F274" i="2"/>
  <c r="F268" i="2" s="1"/>
  <c r="F235" i="2"/>
  <c r="F233" i="2" s="1"/>
  <c r="F249" i="2"/>
  <c r="F251" i="2"/>
  <c r="F254" i="2"/>
  <c r="G358" i="2"/>
  <c r="F362" i="2"/>
  <c r="F373" i="2"/>
  <c r="L378" i="2"/>
  <c r="F382" i="2"/>
  <c r="F383" i="2"/>
  <c r="F386" i="2"/>
  <c r="G473" i="2"/>
  <c r="F474" i="2"/>
  <c r="F478" i="2"/>
  <c r="F479" i="2"/>
  <c r="F482" i="2"/>
  <c r="F313" i="2"/>
  <c r="F297" i="2" s="1"/>
  <c r="G496" i="2"/>
  <c r="F502" i="2"/>
  <c r="F513" i="2"/>
  <c r="G519" i="2"/>
  <c r="G428" i="2"/>
  <c r="G541" i="2"/>
  <c r="F543" i="2"/>
  <c r="F544" i="2"/>
  <c r="F545" i="2"/>
  <c r="F552" i="2"/>
  <c r="F553" i="2"/>
  <c r="G558" i="2"/>
  <c r="G597" i="2"/>
  <c r="F598" i="2"/>
  <c r="F599" i="2"/>
  <c r="F527" i="2"/>
  <c r="F531" i="2"/>
  <c r="G640" i="2"/>
  <c r="F644" i="2"/>
  <c r="F647" i="2"/>
  <c r="F649" i="2"/>
  <c r="G572" i="2"/>
  <c r="F573" i="2"/>
  <c r="F578" i="2"/>
  <c r="G614" i="2"/>
  <c r="F618" i="2"/>
  <c r="F620" i="2"/>
  <c r="F623" i="2"/>
  <c r="F624" i="2"/>
  <c r="F625" i="2"/>
  <c r="F626" i="2"/>
  <c r="F627" i="2"/>
  <c r="G671" i="2"/>
  <c r="F672" i="2"/>
  <c r="F673" i="2"/>
  <c r="F674" i="2"/>
  <c r="F676" i="2"/>
  <c r="F677" i="2"/>
  <c r="G686" i="2"/>
  <c r="F689" i="2"/>
  <c r="F695" i="2"/>
  <c r="G708" i="2"/>
  <c r="G752" i="2"/>
  <c r="F753" i="2"/>
  <c r="F760" i="2"/>
  <c r="F762" i="2"/>
  <c r="G817" i="2"/>
  <c r="F818" i="2"/>
  <c r="F820" i="2"/>
  <c r="F821" i="2"/>
  <c r="G869" i="2"/>
  <c r="F872" i="2"/>
  <c r="F873" i="2"/>
  <c r="G787" i="2"/>
  <c r="F789" i="2"/>
  <c r="F791" i="2"/>
  <c r="F792" i="2"/>
  <c r="F794" i="2"/>
  <c r="G806" i="2"/>
  <c r="F807" i="2"/>
  <c r="F808" i="2"/>
  <c r="G908" i="2"/>
  <c r="G826" i="2"/>
  <c r="K826" i="2"/>
  <c r="F844" i="2"/>
  <c r="F849" i="2"/>
  <c r="G859" i="2"/>
  <c r="F861" i="2"/>
  <c r="F862" i="2"/>
  <c r="F863" i="2"/>
  <c r="F864" i="2"/>
  <c r="G877" i="2"/>
  <c r="F485" i="2"/>
  <c r="F484" i="2" s="1"/>
  <c r="G1006" i="2"/>
  <c r="F1014" i="2"/>
  <c r="F1015" i="2"/>
  <c r="F1023" i="2"/>
  <c r="G1028" i="2"/>
  <c r="F1029" i="2"/>
  <c r="F1030" i="2"/>
  <c r="F1031" i="2"/>
  <c r="G956" i="2"/>
  <c r="F958" i="2"/>
  <c r="F959" i="2"/>
  <c r="F960" i="2"/>
  <c r="F964" i="2"/>
  <c r="F965" i="2"/>
  <c r="G1082" i="2"/>
  <c r="F1086" i="2"/>
  <c r="F1087" i="2"/>
  <c r="F1089" i="2"/>
  <c r="E1090" i="2"/>
  <c r="F1090" i="2"/>
  <c r="G1109" i="2"/>
  <c r="F1110" i="2"/>
  <c r="F1111" i="2"/>
  <c r="F1121" i="2"/>
  <c r="F1125" i="2"/>
  <c r="F1127" i="2"/>
  <c r="G721" i="2"/>
  <c r="F732" i="2"/>
  <c r="F734" i="2"/>
  <c r="F741" i="2"/>
  <c r="G1141" i="2"/>
  <c r="F1144" i="2"/>
  <c r="F1145" i="2"/>
  <c r="G1093" i="2"/>
  <c r="F1095" i="2"/>
  <c r="F1099" i="2"/>
  <c r="F1100" i="2"/>
  <c r="F773" i="2"/>
  <c r="F777" i="2"/>
  <c r="G1070" i="2"/>
  <c r="F1071" i="2"/>
  <c r="F1070" i="2" s="1"/>
  <c r="J1070" i="2" s="1"/>
  <c r="G1246" i="2"/>
  <c r="F1251" i="2"/>
  <c r="F1246" i="2" s="1"/>
  <c r="F895" i="2"/>
  <c r="F897" i="2"/>
  <c r="G1278" i="2"/>
  <c r="F1282" i="2"/>
  <c r="F1283" i="2"/>
  <c r="F1291" i="2"/>
  <c r="G986" i="2"/>
  <c r="F994" i="2"/>
  <c r="F986" i="2" s="1"/>
  <c r="G922" i="2"/>
  <c r="F924" i="2"/>
  <c r="F926" i="2"/>
  <c r="F927" i="2"/>
  <c r="G936" i="2"/>
  <c r="F937" i="2"/>
  <c r="F936" i="2" s="1"/>
  <c r="F587" i="2"/>
  <c r="G1387" i="2"/>
  <c r="G1166" i="2"/>
  <c r="G1342" i="2"/>
  <c r="F1343" i="2"/>
  <c r="F1344" i="2"/>
  <c r="F1345" i="2"/>
  <c r="G1371" i="2"/>
  <c r="G1459" i="2"/>
  <c r="E1464" i="2"/>
  <c r="F1464" i="2"/>
  <c r="F1459" i="2" s="1"/>
  <c r="G1478" i="2"/>
  <c r="G1235" i="2"/>
  <c r="F1239" i="2"/>
  <c r="F1240" i="2"/>
  <c r="E1241" i="2"/>
  <c r="F1241" i="2" s="1"/>
  <c r="G1397" i="2"/>
  <c r="F1400" i="2"/>
  <c r="F1401" i="2"/>
  <c r="G1359" i="2"/>
  <c r="F1360" i="2"/>
  <c r="F1363" i="2"/>
  <c r="F1366" i="2"/>
  <c r="F1367" i="2"/>
  <c r="F1432" i="2"/>
  <c r="F1434" i="2"/>
  <c r="F1435" i="2"/>
  <c r="G1207" i="2"/>
  <c r="G1517" i="2"/>
  <c r="I1517" i="2"/>
  <c r="G1529" i="2"/>
  <c r="F1534" i="2"/>
  <c r="G1537" i="2"/>
  <c r="F1553" i="2"/>
  <c r="F1554" i="2"/>
  <c r="F1555" i="2"/>
  <c r="G1576" i="2"/>
  <c r="F1577" i="2"/>
  <c r="F1578" i="2"/>
  <c r="F1581" i="2"/>
  <c r="F1583" i="2"/>
  <c r="F1584" i="2"/>
  <c r="F1585" i="2"/>
  <c r="G1612" i="2"/>
  <c r="F1614" i="2"/>
  <c r="F1612" i="2" s="1"/>
  <c r="G1148" i="2"/>
  <c r="F1149" i="2"/>
  <c r="F1148" i="2" s="1"/>
  <c r="G1485" i="2"/>
  <c r="F1488" i="2"/>
  <c r="F1485" i="2" s="1"/>
  <c r="G1712" i="2"/>
  <c r="F1678" i="2"/>
  <c r="F1679" i="2"/>
  <c r="F1687" i="2"/>
  <c r="G1806" i="2"/>
  <c r="G1779" i="2"/>
  <c r="F1780" i="2"/>
  <c r="F1781" i="2"/>
  <c r="F1784" i="2"/>
  <c r="G1828" i="2"/>
  <c r="F1830" i="2"/>
  <c r="F1831" i="2"/>
  <c r="F1835" i="2"/>
  <c r="G1835" i="2"/>
  <c r="G1847" i="2"/>
  <c r="F1848" i="2"/>
  <c r="F1847" i="2" s="1"/>
  <c r="G1869" i="2"/>
  <c r="F1870" i="2"/>
  <c r="F1876" i="2"/>
  <c r="G1504" i="2"/>
  <c r="G1766" i="2"/>
  <c r="F1767" i="2"/>
  <c r="F1768" i="2"/>
  <c r="F1773" i="2"/>
  <c r="G2020" i="2"/>
  <c r="F2021" i="2"/>
  <c r="F2024" i="2"/>
  <c r="F2026" i="2"/>
  <c r="G2090" i="2"/>
  <c r="F2091" i="2"/>
  <c r="F2096" i="2"/>
  <c r="F1984" i="2"/>
  <c r="F1977" i="2" s="1"/>
  <c r="G2108" i="2"/>
  <c r="F2111" i="2"/>
  <c r="F2108" i="2" s="1"/>
  <c r="G2139" i="2"/>
  <c r="F2140" i="2"/>
  <c r="F2139" i="2" s="1"/>
  <c r="G2178" i="2"/>
  <c r="F2181" i="2"/>
  <c r="F2183" i="2"/>
  <c r="G2270" i="2"/>
  <c r="F2272" i="2"/>
  <c r="F2270" i="2" s="1"/>
  <c r="G2274" i="2"/>
  <c r="F2276" i="2"/>
  <c r="F2274" i="2" s="1"/>
  <c r="G2285" i="2"/>
  <c r="F1200" i="2"/>
  <c r="F1198" i="2" s="1"/>
  <c r="G2301" i="2"/>
  <c r="F2302" i="2"/>
  <c r="F2303" i="2"/>
  <c r="G1718" i="2"/>
  <c r="F1719" i="2"/>
  <c r="F1720" i="2"/>
  <c r="G2253" i="2"/>
  <c r="F2255" i="2"/>
  <c r="F2258" i="2"/>
  <c r="G2331" i="2"/>
  <c r="F2332" i="2"/>
  <c r="F2333" i="2"/>
  <c r="G2289" i="2"/>
  <c r="G2193" i="2"/>
  <c r="F2197" i="2"/>
  <c r="F2198" i="2"/>
  <c r="G2382" i="2"/>
  <c r="F2383" i="2"/>
  <c r="F2382" i="2" s="1"/>
  <c r="G2387" i="2"/>
  <c r="G2406" i="2"/>
  <c r="F2407" i="2"/>
  <c r="F2409" i="2"/>
  <c r="G2415" i="2"/>
  <c r="F2416" i="2"/>
  <c r="F2417" i="2"/>
  <c r="G2424" i="2"/>
  <c r="G1705" i="2"/>
  <c r="F1706" i="2"/>
  <c r="F1705" i="2" s="1"/>
  <c r="G2437" i="2"/>
  <c r="F2438" i="2"/>
  <c r="F2437" i="2" s="1"/>
  <c r="G2444" i="2"/>
  <c r="G2454" i="2"/>
  <c r="F2456" i="2"/>
  <c r="F2454" i="2" s="1"/>
  <c r="G2468" i="2"/>
  <c r="F2472" i="2"/>
  <c r="F2468" i="2" s="1"/>
  <c r="G2489" i="2"/>
  <c r="F2490" i="2"/>
  <c r="F2489" i="2" s="1"/>
  <c r="G1970" i="2"/>
  <c r="F1971" i="2"/>
  <c r="F1970" i="2" s="1"/>
  <c r="G2498" i="2"/>
  <c r="F2570" i="2"/>
  <c r="G2570" i="2"/>
  <c r="G1922" i="2"/>
  <c r="F1926" i="2"/>
  <c r="F1922" i="2" s="1"/>
  <c r="G2614" i="2"/>
  <c r="F2615" i="2"/>
  <c r="F2614" i="2" s="1"/>
  <c r="F2650" i="2"/>
  <c r="G2650" i="2"/>
  <c r="G2574" i="2"/>
  <c r="F2576" i="2"/>
  <c r="F2574" i="2" s="1"/>
  <c r="G2659" i="2"/>
  <c r="F2663" i="2"/>
  <c r="F2664" i="2"/>
  <c r="G2666" i="2"/>
  <c r="F2668" i="2"/>
  <c r="F2666" i="2" s="1"/>
  <c r="G1993" i="2"/>
  <c r="F1994" i="2"/>
  <c r="F1993" i="2" s="1"/>
  <c r="G2682" i="2"/>
  <c r="F2698" i="2"/>
  <c r="G2698" i="2"/>
  <c r="G2070" i="2"/>
  <c r="G2230" i="2"/>
  <c r="F2232" i="2"/>
  <c r="F2233" i="2"/>
  <c r="G2728" i="2"/>
  <c r="F2729" i="2"/>
  <c r="F2730" i="2"/>
  <c r="G2125" i="2"/>
  <c r="G2535" i="2"/>
  <c r="G2818" i="2"/>
  <c r="F2820" i="2"/>
  <c r="F2818" i="2" s="1"/>
  <c r="G2834" i="2"/>
  <c r="F2835" i="2"/>
  <c r="F2834" i="2" s="1"/>
  <c r="F2838" i="2"/>
  <c r="G2838" i="2"/>
  <c r="G2858" i="2"/>
  <c r="F2859" i="2"/>
  <c r="F2858" i="2" s="1"/>
  <c r="G2862" i="2"/>
  <c r="G2873" i="2"/>
  <c r="F2876" i="2"/>
  <c r="F2873" i="2" s="1"/>
  <c r="G2868" i="2"/>
  <c r="F2869" i="2"/>
  <c r="F2868" i="2" s="1"/>
  <c r="G2951" i="2"/>
  <c r="F2952" i="2"/>
  <c r="F2951" i="2" s="1"/>
  <c r="G2743" i="2"/>
  <c r="F2745" i="2"/>
  <c r="F2743" i="2" s="1"/>
  <c r="F3077" i="2"/>
  <c r="F3076" i="2" s="1"/>
  <c r="G3080" i="2"/>
  <c r="F3081" i="2"/>
  <c r="F3080" i="2" s="1"/>
  <c r="F1562" i="2"/>
  <c r="F1561" i="2" s="1"/>
  <c r="F3084" i="2"/>
  <c r="G3084" i="2"/>
  <c r="G3150" i="2"/>
  <c r="F3151" i="2"/>
  <c r="F3152" i="2"/>
  <c r="G3158" i="2"/>
  <c r="F3159" i="2"/>
  <c r="F3158" i="2" s="1"/>
  <c r="F3171" i="2"/>
  <c r="G3171" i="2"/>
  <c r="G3175" i="2"/>
  <c r="F3176" i="2"/>
  <c r="F3175" i="2" s="1"/>
  <c r="F3211" i="2"/>
  <c r="G3211" i="2"/>
  <c r="G3130" i="2"/>
  <c r="F3132" i="2"/>
  <c r="F3130" i="2" s="1"/>
  <c r="G3235" i="2"/>
  <c r="F3236" i="2"/>
  <c r="F3237" i="2"/>
  <c r="F3255" i="2"/>
  <c r="G3255" i="2"/>
  <c r="G3265" i="2"/>
  <c r="F3266" i="2"/>
  <c r="F3265" i="2" s="1"/>
  <c r="G3273" i="2"/>
  <c r="F3274" i="2"/>
  <c r="F3277" i="2"/>
  <c r="G3383" i="2"/>
  <c r="F3384" i="2"/>
  <c r="F3383" i="2" s="1"/>
  <c r="G3056" i="2"/>
  <c r="F3058" i="2"/>
  <c r="F3056" i="2" s="1"/>
  <c r="G3473" i="2"/>
  <c r="F3475" i="2"/>
  <c r="F3473" i="2" s="1"/>
  <c r="F3540" i="2"/>
  <c r="F1957" i="2"/>
  <c r="F1955" i="2" s="1"/>
  <c r="F2011" i="2"/>
  <c r="F2009" i="2" s="1"/>
  <c r="F2363" i="2"/>
  <c r="F2361" i="2" s="1"/>
  <c r="F1633" i="2"/>
  <c r="F1631" i="2" s="1"/>
  <c r="F1919" i="2"/>
  <c r="F1917" i="2" s="1"/>
  <c r="E1920" i="2"/>
  <c r="F1701" i="2"/>
  <c r="F1702" i="2"/>
  <c r="F3744" i="2"/>
  <c r="F3761" i="2"/>
  <c r="F3762" i="2"/>
  <c r="F3780" i="2"/>
  <c r="F3781" i="2"/>
  <c r="F3782" i="2"/>
  <c r="F3783" i="2"/>
  <c r="F3784" i="2"/>
  <c r="F3785" i="2"/>
  <c r="F3786" i="2"/>
  <c r="F3787" i="2"/>
  <c r="F3788" i="2"/>
  <c r="F3845" i="2"/>
  <c r="F3846" i="2"/>
  <c r="F3847" i="2"/>
  <c r="F3852" i="2"/>
  <c r="F2352" i="2"/>
  <c r="F2351" i="2" s="1"/>
  <c r="F3854" i="2"/>
  <c r="F2916" i="2"/>
  <c r="F2915" i="2" s="1"/>
  <c r="F3867" i="2"/>
  <c r="F1817" i="2"/>
  <c r="E1820" i="2"/>
  <c r="F1820" i="2" s="1"/>
  <c r="F1821" i="2"/>
  <c r="F3877" i="2"/>
  <c r="F3902" i="2"/>
  <c r="F3216" i="2"/>
  <c r="F3215" i="2" s="1"/>
  <c r="F3910" i="2"/>
  <c r="F3911" i="2"/>
  <c r="F3912" i="2"/>
  <c r="F3913" i="2"/>
  <c r="F3914" i="2"/>
  <c r="F3915" i="2"/>
  <c r="F3916" i="2"/>
  <c r="F1337" i="2"/>
  <c r="F1336" i="2" s="1"/>
  <c r="F1738" i="2"/>
  <c r="F1737" i="2" s="1"/>
  <c r="F3927" i="2"/>
  <c r="F3928" i="2"/>
  <c r="F3929" i="2"/>
  <c r="F3930" i="2"/>
  <c r="F3931" i="2"/>
  <c r="F3932" i="2"/>
  <c r="F3933" i="2"/>
  <c r="F3934" i="2"/>
  <c r="F3935" i="2"/>
  <c r="F3937" i="2"/>
  <c r="F1179" i="2"/>
  <c r="F1180" i="2"/>
  <c r="F3181" i="2"/>
  <c r="F3180" i="2" s="1"/>
  <c r="F3950" i="2"/>
  <c r="F3951" i="2"/>
  <c r="F3983" i="2"/>
  <c r="F2237" i="2"/>
  <c r="F2238" i="2"/>
  <c r="F1644" i="2"/>
  <c r="F1645" i="2"/>
  <c r="F4012" i="2"/>
  <c r="F4017" i="2"/>
  <c r="F4018" i="2"/>
  <c r="F4019" i="2"/>
  <c r="F4020" i="2"/>
  <c r="F4021" i="2"/>
  <c r="F4072" i="2"/>
  <c r="F4073" i="2"/>
  <c r="F4074" i="2"/>
  <c r="F4121" i="2"/>
  <c r="F4122" i="2"/>
  <c r="F4123" i="2"/>
  <c r="F4137" i="2"/>
  <c r="F4138" i="2"/>
  <c r="F4139" i="2"/>
  <c r="F4140" i="2"/>
  <c r="F2623" i="2"/>
  <c r="F2624" i="2"/>
  <c r="F2854" i="2"/>
  <c r="F2855" i="2"/>
  <c r="F2823" i="2"/>
  <c r="F2824" i="2"/>
  <c r="F3109" i="2"/>
  <c r="F3110" i="2"/>
  <c r="F2102" i="2"/>
  <c r="F2101" i="2" s="1"/>
  <c r="F3351" i="2"/>
  <c r="F3350" i="2" s="1"/>
  <c r="F3372" i="2"/>
  <c r="F3371" i="2" s="1"/>
  <c r="F3261" i="2"/>
  <c r="F3260" i="2" s="1"/>
  <c r="F3248" i="2"/>
  <c r="F3247" i="2" s="1"/>
  <c r="F3270" i="2"/>
  <c r="F3269" i="2" s="1"/>
  <c r="F3244" i="2"/>
  <c r="F3243" i="2" s="1"/>
  <c r="F3376" i="2"/>
  <c r="F3375" i="2" s="1"/>
  <c r="F1648" i="2"/>
  <c r="F1647" i="2" s="1"/>
  <c r="F2707" i="2"/>
  <c r="F2704" i="2" s="1"/>
  <c r="F3004" i="2"/>
  <c r="F3001" i="2" s="1"/>
  <c r="F1457" i="2"/>
  <c r="F1453" i="2" s="1" a="1"/>
  <c r="F1453" i="2" s="1"/>
  <c r="F3095" i="2"/>
  <c r="F3096" i="2"/>
  <c r="F3487" i="2"/>
  <c r="F3488" i="2"/>
  <c r="F1749" i="2"/>
  <c r="F1750" i="2"/>
  <c r="F1424" i="2"/>
  <c r="F1425" i="2"/>
  <c r="F2990" i="2"/>
  <c r="F2989" i="2" s="1"/>
  <c r="F3207" i="2"/>
  <c r="F3206" i="2" s="1"/>
  <c r="F3936" i="2"/>
  <c r="F1636" i="2"/>
  <c r="F1635" i="2" s="1"/>
  <c r="F2241" i="2"/>
  <c r="F2245" i="2"/>
  <c r="F1858" i="2"/>
  <c r="F1859" i="2"/>
  <c r="F2723" i="2"/>
  <c r="F2720" i="2" s="1"/>
  <c r="F3232" i="2"/>
  <c r="F3231" i="2" s="1"/>
  <c r="F3190" i="2"/>
  <c r="F3189" i="2" s="1"/>
  <c r="F2480" i="2"/>
  <c r="F2479" i="2" s="1"/>
  <c r="F3483" i="2"/>
  <c r="F3481" i="2" s="1"/>
  <c r="F1318" i="2"/>
  <c r="F1320" i="2"/>
  <c r="F2208" i="2"/>
  <c r="F2205" i="2" s="1"/>
  <c r="F2580" i="2"/>
  <c r="F2582" i="2"/>
  <c r="F2583" i="2"/>
  <c r="F2584" i="2"/>
  <c r="F2376" i="2"/>
  <c r="F2378" i="2"/>
  <c r="F2379" i="2"/>
  <c r="F2380" i="2"/>
  <c r="F2716" i="2"/>
  <c r="F2718" i="2"/>
  <c r="F3753" i="2"/>
  <c r="F3756" i="2"/>
  <c r="F3757" i="2"/>
  <c r="F2031" i="2"/>
  <c r="F2035" i="2"/>
  <c r="F3758" i="2"/>
  <c r="F2150" i="2"/>
  <c r="F2151" i="2"/>
  <c r="F2679" i="2"/>
  <c r="F2680" i="2"/>
  <c r="F2461" i="2"/>
  <c r="F2462" i="2"/>
  <c r="F1307" i="2"/>
  <c r="F1308" i="2"/>
  <c r="F3918" i="2"/>
  <c r="F3919" i="2"/>
  <c r="F3920" i="2"/>
  <c r="F3921" i="2"/>
  <c r="F3922" i="2"/>
  <c r="F4061" i="2"/>
  <c r="F4062" i="2"/>
  <c r="F4063" i="2"/>
  <c r="F4064" i="2"/>
  <c r="F4065" i="2"/>
  <c r="F4066" i="2"/>
  <c r="F3973" i="2"/>
  <c r="F3974" i="2"/>
  <c r="F979" i="2"/>
  <c r="F977" i="2" s="1"/>
  <c r="F2936" i="2"/>
  <c r="F2935" i="2" s="1"/>
  <c r="F3071" i="2"/>
  <c r="F3072" i="2"/>
  <c r="F3074" i="2"/>
  <c r="F3957" i="2"/>
  <c r="F3313" i="2"/>
  <c r="F3314" i="2"/>
  <c r="F3198" i="2"/>
  <c r="F3199" i="2"/>
  <c r="F3958" i="2"/>
  <c r="F2395" i="2"/>
  <c r="F2396" i="2"/>
  <c r="F3339" i="2"/>
  <c r="F3340" i="2"/>
  <c r="F3125" i="2"/>
  <c r="F3126" i="2"/>
  <c r="F3672" i="2"/>
  <c r="F3997" i="2"/>
  <c r="F2644" i="2"/>
  <c r="F2645" i="2"/>
  <c r="F1268" i="2"/>
  <c r="F1265" i="2" s="1"/>
  <c r="F1041" i="2"/>
  <c r="F1042" i="2"/>
  <c r="F3571" i="2"/>
  <c r="F3572" i="2"/>
  <c r="F537" i="2"/>
  <c r="F536" i="2" s="1"/>
  <c r="F2087" i="2"/>
  <c r="F2088" i="2"/>
  <c r="F1896" i="2"/>
  <c r="F1894" i="2" s="1"/>
  <c r="F1052" i="2"/>
  <c r="F1050" i="2" s="1"/>
  <c r="F1475" i="2"/>
  <c r="F1472" i="2" s="1"/>
  <c r="F2595" i="2"/>
  <c r="F2593" i="2" s="1"/>
  <c r="F2542" i="2"/>
  <c r="F2540" i="2" s="1"/>
  <c r="F3049" i="2"/>
  <c r="F3047" i="2" s="1"/>
  <c r="F1602" i="2"/>
  <c r="F1600" i="2" s="1"/>
  <c r="F2795" i="2"/>
  <c r="F2794" i="2" s="1"/>
  <c r="F2770" i="2"/>
  <c r="F2769" i="2" s="1"/>
  <c r="F2940" i="2"/>
  <c r="F2939" i="2" s="1"/>
  <c r="F2040" i="2"/>
  <c r="F2039" i="2" s="1"/>
  <c r="F3766" i="2"/>
  <c r="F3767" i="2"/>
  <c r="F3904" i="2"/>
  <c r="F3905" i="2"/>
  <c r="F3906" i="2"/>
  <c r="F3907" i="2"/>
  <c r="F3908" i="2"/>
  <c r="F3981" i="2"/>
  <c r="F3982" i="2"/>
  <c r="F3113" i="2"/>
  <c r="F3112" i="2" s="1"/>
  <c r="F3835" i="2"/>
  <c r="F2765" i="2"/>
  <c r="F2766" i="2"/>
  <c r="F3063" i="2"/>
  <c r="F3062" i="2" s="1"/>
  <c r="F3843" i="2"/>
  <c r="F3844" i="2"/>
  <c r="F3479" i="2"/>
  <c r="F3477" i="2" s="1"/>
  <c r="F4132" i="2"/>
  <c r="F2792" i="2"/>
  <c r="F2789" i="2" s="1"/>
  <c r="F2296" i="2"/>
  <c r="F2297" i="2"/>
  <c r="F2451" i="2"/>
  <c r="F2450" i="2" s="1"/>
  <c r="F2317" i="2"/>
  <c r="F2318" i="2"/>
  <c r="F3836" i="2"/>
  <c r="F2969" i="2"/>
  <c r="F2968" i="2" s="1"/>
  <c r="F3689" i="2"/>
  <c r="F3690" i="2"/>
  <c r="F3691" i="2"/>
  <c r="F1891" i="2"/>
  <c r="F1890" i="2" s="1"/>
  <c r="F3673" i="2"/>
  <c r="F3674" i="2"/>
  <c r="F3692" i="2"/>
  <c r="F3693" i="2"/>
  <c r="F3694" i="2"/>
  <c r="F2309" i="2"/>
  <c r="F2308" i="2" s="1"/>
  <c r="F3903" i="2"/>
  <c r="F1449" i="2"/>
  <c r="F1447" i="2" s="1"/>
  <c r="F4133" i="2"/>
  <c r="F4134" i="2"/>
  <c r="F4135" i="2"/>
  <c r="F4147" i="2"/>
  <c r="F4148" i="2"/>
  <c r="F4130" i="2"/>
  <c r="F4131" i="2"/>
  <c r="F447" i="2"/>
  <c r="F446" i="2" s="1"/>
  <c r="F4006" i="2"/>
  <c r="F4007" i="2"/>
  <c r="L3252" i="2"/>
  <c r="F3253" i="2"/>
  <c r="F3251" i="2" s="1"/>
  <c r="L2531" i="2"/>
  <c r="F2533" i="2"/>
  <c r="F2530" i="2" s="1"/>
  <c r="L3961" i="2"/>
  <c r="L2994" i="2"/>
  <c r="L2998" i="2"/>
  <c r="L3962" i="2"/>
  <c r="L1951" i="2"/>
  <c r="F1952" i="2"/>
  <c r="F1950" i="2" s="1"/>
  <c r="F3729" i="2"/>
  <c r="F3730" i="2"/>
  <c r="F3731" i="2"/>
  <c r="F2896" i="2"/>
  <c r="F2897" i="2"/>
  <c r="F4150" i="2"/>
  <c r="F4151" i="2"/>
  <c r="F4152" i="2"/>
  <c r="F4153" i="2"/>
  <c r="F3318" i="2"/>
  <c r="F3316" i="2" s="1"/>
  <c r="F3052" i="2"/>
  <c r="F3053" i="2"/>
  <c r="F3447" i="2"/>
  <c r="F3448" i="2"/>
  <c r="F3864" i="2"/>
  <c r="F3040" i="2"/>
  <c r="F3041" i="2"/>
  <c r="F3837" i="2"/>
  <c r="F3032" i="2"/>
  <c r="F3031" i="2" s="1"/>
  <c r="F2907" i="2"/>
  <c r="F2906" i="2" s="1"/>
  <c r="F3776" i="2"/>
  <c r="F2882" i="2"/>
  <c r="F2881" i="2" s="1"/>
  <c r="F2504" i="2"/>
  <c r="F2503" i="2" s="1"/>
  <c r="F2547" i="2"/>
  <c r="F2546" i="2" s="1"/>
  <c r="F3777" i="2"/>
  <c r="F2675" i="2"/>
  <c r="F2674" i="2" s="1"/>
  <c r="F3778" i="2"/>
  <c r="F3779" i="2"/>
  <c r="F3401" i="2"/>
  <c r="F3399" i="2" s="1"/>
  <c r="F4126" i="2"/>
  <c r="F4127" i="2"/>
  <c r="F4128" i="2"/>
  <c r="F4129" i="2"/>
  <c r="F953" i="2"/>
  <c r="F952" i="2" s="1"/>
  <c r="F3538" i="2"/>
  <c r="F652" i="2"/>
  <c r="F651" i="2" s="1"/>
  <c r="F3520" i="2"/>
  <c r="F3521" i="2"/>
  <c r="F3522" i="2"/>
  <c r="F944" i="2"/>
  <c r="F943" i="2" s="1"/>
  <c r="F1223" i="2"/>
  <c r="F1222" i="2" s="1"/>
  <c r="F919" i="2"/>
  <c r="F918" i="2" s="1"/>
  <c r="F3518" i="2"/>
  <c r="F492" i="2"/>
  <c r="F491" i="2" s="1"/>
  <c r="E494" i="2"/>
  <c r="F856" i="2"/>
  <c r="F855" i="2" s="1"/>
  <c r="F3548" i="2"/>
  <c r="F3549" i="2"/>
  <c r="F1302" i="2"/>
  <c r="F1303" i="2"/>
  <c r="F1304" i="2"/>
  <c r="F1884" i="2"/>
  <c r="F1880" i="2" s="1"/>
  <c r="F3564" i="2"/>
  <c r="F3565" i="2"/>
  <c r="F3566" i="2"/>
  <c r="F1419" i="2"/>
  <c r="F1418" i="2" s="1"/>
  <c r="F3567" i="2"/>
  <c r="F3568" i="2"/>
  <c r="F3569" i="2"/>
  <c r="F3559" i="2"/>
  <c r="F1569" i="2"/>
  <c r="E1570" i="2"/>
  <c r="F1570" i="2"/>
  <c r="F3560" i="2"/>
  <c r="F3626" i="2"/>
  <c r="F3627" i="2"/>
  <c r="F3628" i="2"/>
  <c r="F3629" i="2"/>
  <c r="F3630" i="2"/>
  <c r="F3631" i="2"/>
  <c r="F3632" i="2"/>
  <c r="F665" i="2"/>
  <c r="F664" i="2" s="1"/>
  <c r="F1500" i="2"/>
  <c r="F1502" i="2"/>
  <c r="F3599" i="2"/>
  <c r="F2156" i="2"/>
  <c r="F2155" i="2" s="1"/>
  <c r="F3798" i="2"/>
  <c r="F3986" i="2"/>
  <c r="F3552" i="2"/>
  <c r="F3553" i="2"/>
  <c r="F3554" i="2"/>
  <c r="F3555" i="2"/>
  <c r="F972" i="2"/>
  <c r="F974" i="2"/>
  <c r="F3556" i="2"/>
  <c r="F3557" i="2"/>
  <c r="F3558" i="2"/>
  <c r="F3528" i="2"/>
  <c r="F3529" i="2"/>
  <c r="F3530" i="2"/>
  <c r="F3531" i="2"/>
  <c r="F3686" i="2"/>
  <c r="F3687" i="2"/>
  <c r="F3688" i="2"/>
  <c r="F2973" i="2"/>
  <c r="F2974" i="2"/>
  <c r="F2956" i="2"/>
  <c r="F2957" i="2"/>
  <c r="F2924" i="2"/>
  <c r="F2925" i="2"/>
  <c r="F3872" i="2"/>
  <c r="F3873" i="2"/>
  <c r="F1256" i="2"/>
  <c r="F1254" i="2" s="1"/>
  <c r="F1064" i="2"/>
  <c r="F1062" i="2" s="1"/>
  <c r="E1067" i="2"/>
  <c r="F3563" i="2"/>
  <c r="F983" i="2"/>
  <c r="F982" i="2" s="1"/>
  <c r="F2487" i="2"/>
  <c r="F2485" i="2" s="1"/>
  <c r="F3724" i="2"/>
  <c r="F3725" i="2"/>
  <c r="F3726" i="2"/>
  <c r="F3727" i="2"/>
  <c r="F1046" i="2"/>
  <c r="F1044" i="2" s="1"/>
  <c r="F3562" i="2"/>
  <c r="F1407" i="2"/>
  <c r="F1408" i="2"/>
  <c r="F1409" i="2"/>
  <c r="F1608" i="2"/>
  <c r="F1605" i="2" s="1"/>
  <c r="F4125" i="2"/>
  <c r="F3203" i="2"/>
  <c r="F3202" i="2" s="1"/>
  <c r="F3849" i="2"/>
  <c r="F3850" i="2"/>
  <c r="F2322" i="2"/>
  <c r="F2321" i="2" s="1"/>
  <c r="F1938" i="2"/>
  <c r="F3900" i="2"/>
  <c r="F3901" i="2"/>
  <c r="F3305" i="2"/>
  <c r="F3304" i="2" s="1"/>
  <c r="F3331" i="2"/>
  <c r="F3332" i="2"/>
  <c r="F4075" i="2"/>
  <c r="F4076" i="2"/>
  <c r="F4077" i="2"/>
  <c r="F4078" i="2"/>
  <c r="F4079" i="2"/>
  <c r="F4080" i="2"/>
  <c r="F3898" i="2"/>
  <c r="F3899" i="2"/>
  <c r="F2523" i="2"/>
  <c r="F2522" i="2" s="1"/>
  <c r="F2519" i="2"/>
  <c r="F2518" i="2" s="1"/>
  <c r="F2601" i="2"/>
  <c r="F2600" i="2" s="1"/>
  <c r="F2928" i="2"/>
  <c r="F2927" i="2" s="1"/>
  <c r="F3892" i="2"/>
  <c r="F3893" i="2"/>
  <c r="F2694" i="2"/>
  <c r="F2696" i="2"/>
  <c r="F2780" i="2"/>
  <c r="F2779" i="2" s="1"/>
  <c r="F3923" i="2"/>
  <c r="F3141" i="2"/>
  <c r="F3142" i="2"/>
  <c r="F3143" i="2"/>
  <c r="F3144" i="2"/>
  <c r="F3036" i="2"/>
  <c r="F3035" i="2" s="1"/>
  <c r="F3396" i="2"/>
  <c r="F3397" i="2"/>
  <c r="F3388" i="2"/>
  <c r="F3389" i="2"/>
  <c r="F3987" i="2"/>
  <c r="F3459" i="2"/>
  <c r="F3460" i="2"/>
  <c r="F1332" i="2"/>
  <c r="F1331" i="2" s="1"/>
  <c r="I1333" i="2"/>
  <c r="I2136" i="2"/>
  <c r="F2611" i="2"/>
  <c r="F2610" i="2" s="1"/>
  <c r="F3759" i="2"/>
  <c r="F3760" i="2"/>
  <c r="K3517" i="2"/>
  <c r="K1261" i="2"/>
  <c r="F1262" i="2"/>
  <c r="F1260" i="2" s="1"/>
  <c r="F3668" i="2"/>
  <c r="K3668" i="2" s="1"/>
  <c r="F1227" i="2"/>
  <c r="F1228" i="2"/>
  <c r="K1228" i="2" s="1"/>
  <c r="K1229" i="2"/>
  <c r="K1230" i="2"/>
  <c r="F1323" i="2"/>
  <c r="F1324" i="2"/>
  <c r="K1324" i="2" s="1"/>
  <c r="K1325" i="2"/>
  <c r="E3577" i="2"/>
  <c r="E1298" i="2"/>
  <c r="E1299" i="2"/>
  <c r="F1299" i="2" s="1"/>
  <c r="F1296" i="2" s="1" a="1"/>
  <c r="F1296" i="2" s="1"/>
  <c r="E3578" i="2"/>
  <c r="E1934" i="2"/>
  <c r="F1935" i="2"/>
  <c r="F1933" i="2" s="1"/>
  <c r="E3579" i="2"/>
  <c r="E3561" i="2"/>
  <c r="F3561" i="2" s="1"/>
  <c r="F3840" i="2"/>
  <c r="F1513" i="2"/>
  <c r="F1514" i="2"/>
  <c r="F1628" i="2"/>
  <c r="F1629" i="2"/>
  <c r="F3643" i="2"/>
  <c r="F3644" i="2"/>
  <c r="F3807" i="2"/>
  <c r="F3661" i="2"/>
  <c r="F3662" i="2"/>
  <c r="F1744" i="2"/>
  <c r="F1743" i="2" s="1"/>
  <c r="F3594" i="2"/>
  <c r="F3595" i="2"/>
  <c r="F3751" i="2"/>
  <c r="F2058" i="2"/>
  <c r="F2057" i="2" s="1"/>
  <c r="F2165" i="2"/>
  <c r="F2164" i="2" s="1"/>
  <c r="F3623" i="2"/>
  <c r="F3624" i="2"/>
  <c r="F2169" i="2"/>
  <c r="F2168" i="2" s="1"/>
  <c r="E3516" i="2"/>
  <c r="E3544" i="2"/>
  <c r="F3544" i="2"/>
  <c r="F3721" i="2"/>
  <c r="F1793" i="2"/>
  <c r="F1792" i="2" s="1"/>
  <c r="F3722" i="2"/>
  <c r="F1593" i="2"/>
  <c r="F1592" i="2" s="1"/>
  <c r="F1597" i="2"/>
  <c r="F1596" i="2" s="1"/>
  <c r="F2015" i="2"/>
  <c r="F2014" i="2" s="1"/>
  <c r="F1812" i="2"/>
  <c r="F1811" i="2" s="1"/>
  <c r="F2341" i="2"/>
  <c r="F2336" i="2" s="1"/>
  <c r="F3381" i="2"/>
  <c r="F3379" i="2" s="1"/>
  <c r="F572" i="2" l="1"/>
  <c r="F2030" i="2"/>
  <c r="F2375" i="2"/>
  <c r="F1314" i="2"/>
  <c r="F892" i="2"/>
  <c r="F597" i="2"/>
  <c r="F541" i="2"/>
  <c r="F329" i="2"/>
  <c r="J329" i="2" s="1"/>
  <c r="F180" i="2"/>
  <c r="F769" i="2"/>
  <c r="F22" i="2"/>
  <c r="F1235" i="2"/>
  <c r="F144" i="2"/>
  <c r="F1406" i="2"/>
  <c r="F109" i="2"/>
  <c r="J109" i="2" s="1"/>
  <c r="F56" i="2"/>
  <c r="J56" i="2" s="1"/>
  <c r="F640" i="2"/>
  <c r="F525" i="2"/>
  <c r="P171" i="2"/>
  <c r="F171" i="2"/>
  <c r="F194" i="2"/>
  <c r="J194" i="2" s="1"/>
  <c r="J233" i="2"/>
  <c r="F721" i="2"/>
  <c r="P144" i="2"/>
  <c r="F1576" i="2"/>
  <c r="F1109" i="2"/>
  <c r="F1529" i="2"/>
  <c r="F584" i="2"/>
  <c r="F1028" i="2"/>
  <c r="F1431" i="2"/>
  <c r="F3124" i="2"/>
  <c r="F1779" i="2"/>
  <c r="F614" i="2"/>
  <c r="F2893" i="2"/>
  <c r="F1422" i="2"/>
  <c r="F1627" i="2"/>
  <c r="F671" i="2"/>
  <c r="F358" i="2"/>
  <c r="J358" i="2" s="1"/>
  <c r="F956" i="2"/>
  <c r="F826" i="2"/>
  <c r="K827" i="2" s="1"/>
  <c r="F1512" i="2"/>
  <c r="F3387" i="2"/>
  <c r="F3395" i="2"/>
  <c r="F3140" i="2"/>
  <c r="F2693" i="2"/>
  <c r="F3330" i="2"/>
  <c r="F3458" i="2"/>
  <c r="F496" i="2"/>
  <c r="J496" i="2" s="1"/>
  <c r="F752" i="2"/>
  <c r="J752" i="2" s="1"/>
  <c r="F686" i="2"/>
  <c r="F1815" i="2"/>
  <c r="F2641" i="2"/>
  <c r="F400" i="2"/>
  <c r="J400" i="2" s="1"/>
  <c r="F1359" i="2"/>
  <c r="F2923" i="2"/>
  <c r="F1766" i="2"/>
  <c r="F155" i="2"/>
  <c r="F2369" i="2"/>
  <c r="F1141" i="2"/>
  <c r="F1322" i="2"/>
  <c r="Q22" i="2"/>
  <c r="K1323" i="2"/>
  <c r="F1718" i="2"/>
  <c r="F1869" i="2"/>
  <c r="F1038" i="2"/>
  <c r="F971" i="2"/>
  <c r="F1006" i="2"/>
  <c r="G73" i="3"/>
  <c r="F1278" i="2"/>
  <c r="F465" i="2"/>
  <c r="F473" i="2"/>
  <c r="F1342" i="2"/>
  <c r="F453" i="2"/>
  <c r="G106" i="3"/>
  <c r="F2955" i="2"/>
  <c r="F787" i="2"/>
  <c r="J787" i="2" s="1"/>
  <c r="F1857" i="2"/>
  <c r="F2193" i="2"/>
  <c r="K1262" i="2"/>
  <c r="F1747" i="2"/>
  <c r="F2972" i="2"/>
  <c r="F806" i="2"/>
  <c r="F1177" i="2"/>
  <c r="F1093" i="2"/>
  <c r="K1227" i="2"/>
  <c r="F1226" i="2"/>
  <c r="F1828" i="2"/>
  <c r="F3012" i="2"/>
  <c r="F922" i="2"/>
  <c r="F1306" i="2"/>
  <c r="F1937" i="2"/>
  <c r="F1499" i="2"/>
  <c r="F1568" i="2"/>
  <c r="F2230" i="2"/>
  <c r="F1301" i="2"/>
  <c r="F817" i="2"/>
  <c r="F869" i="2"/>
  <c r="F1082" i="2"/>
  <c r="F859" i="2"/>
  <c r="F3039" i="2"/>
  <c r="F3051" i="2"/>
  <c r="F2316" i="2"/>
  <c r="F3446" i="2"/>
  <c r="F2764" i="2"/>
  <c r="F2084" i="2"/>
  <c r="F3338" i="2"/>
  <c r="F2394" i="2"/>
  <c r="F3197" i="2"/>
  <c r="F3312" i="2"/>
  <c r="F3070" i="2"/>
  <c r="F2678" i="2"/>
  <c r="F2460" i="2"/>
  <c r="F2149" i="2"/>
  <c r="F2715" i="2"/>
  <c r="F2579" i="2"/>
  <c r="F2295" i="2"/>
  <c r="F2240" i="2"/>
  <c r="F3486" i="2"/>
  <c r="F3094" i="2"/>
  <c r="F2253" i="2"/>
  <c r="F2178" i="2"/>
  <c r="F1397" i="2"/>
  <c r="F3108" i="2"/>
  <c r="F2822" i="2"/>
  <c r="F2853" i="2"/>
  <c r="F2622" i="2"/>
  <c r="F1643" i="2"/>
  <c r="F2236" i="2"/>
  <c r="F1699" i="2"/>
  <c r="F2331" i="2"/>
  <c r="F2659" i="2"/>
  <c r="F2406" i="2"/>
  <c r="F2728" i="2"/>
  <c r="F2415" i="2"/>
  <c r="F2301" i="2"/>
  <c r="F2020" i="2"/>
  <c r="F2090" i="2"/>
  <c r="F469" i="2"/>
  <c r="J1517" i="2"/>
  <c r="J936" i="2"/>
  <c r="J297" i="2"/>
  <c r="F164" i="2"/>
  <c r="J164" i="2" s="1"/>
  <c r="F3235" i="2"/>
  <c r="J268" i="2"/>
  <c r="F3273" i="2"/>
  <c r="F3150" i="2"/>
  <c r="O56" i="2"/>
  <c r="P155" i="2"/>
  <c r="P109" i="2"/>
  <c r="P180"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tc={51C92E37-DC66-445F-B7C1-D928A98C02E8}</author>
    <author>tc={80A28482-ED17-42CA-81DC-B11526A2510F}</author>
    <author>tc={95B9BA71-F98F-47B9-9FF5-DCBB545C57FD}</author>
    <author>tc={B3A91AAE-D344-4DAE-9C26-07636C662E5A}</author>
    <author>tc={B20FE0A1-64FD-974B-9BE7-ABFDD63D6646}</author>
    <author>tc={69C5854F-5F53-45FD-9C2C-9AA83F4DCC04}</author>
    <author>tc={6821AE8A-BAF7-4CCD-9678-73378ECCA884}</author>
    <author>tc={5B718418-E3EC-41E7-9E32-CC14B770FD78}</author>
    <author>tc={A44B3A7C-A8A9-41D1-8BE0-7E2500CA5BFD}</author>
    <author>tc={613BD39E-F03E-463E-A54F-07982A0EA45E}</author>
    <author>tc={BA9245D9-6C01-4F87-8A15-EC4AE5802C30}</author>
    <author>tc={E29F7D1D-7AF5-4541-BD1A-8261973D4DE0}</author>
    <author>tc={919461BB-9FEF-4D66-8757-CD72F4F1D58F}</author>
    <author>tc={76A183B3-66DA-4506-B94B-252442EF63C7}</author>
    <author>tc={83E4713B-E1CA-4261-8B8D-5A8CA0096F3C}</author>
    <author>tc={D88C9B5E-BF60-084A-9570-4043F212FF6E}</author>
    <author>tc={0194A46F-5F99-9E46-9EAD-33834CE23B16}</author>
    <author>tc={ADD1D653-0938-4BD0-AD14-DACCACA024A8}</author>
    <author>tc={537E8F40-4DC9-CE4D-858B-3E752C329843}</author>
    <author>tc={4844C0AE-1F12-4844-A7ED-7C6A898EC718}</author>
    <author>tc={C71BE2CF-85E9-8140-864A-695CC0C40F7C}</author>
    <author>tc={D653EC94-32EB-CC4F-8437-45786B7F8E67}</author>
    <author>tc={DC3C9334-BC74-254F-8CD8-E902D066E8ED}</author>
    <author>tc={2E608F2F-90E0-8444-ACBD-61FDA866A781}</author>
    <author>tc={F65168F1-5657-814B-A3B8-9D75C1D1B21E}</author>
    <author>tc={155EAEDA-F22A-5443-A55A-846AA7C93035}</author>
    <author>tc={92596AFE-6AAF-324C-AB10-7CE2A26F5F75}</author>
    <author>tc={ADEBDD3F-0378-E642-BB59-B9F3B8CA7869}</author>
  </authors>
  <commentList>
    <comment ref="G2" authorId="0" shapeId="0" xr:uid="{51C92E37-DC66-445F-B7C1-D928A98C02E8}">
      <text>
        <t>[Threaded comment]
Your version of Excel allows you to read this threaded comment; however, any edits to it will get removed if the file is opened in a newer version of Excel. Learn more: https://go.microsoft.com/fwlink/?linkid=870924
Comment:
    Total, pre-IPO</t>
      </text>
    </comment>
    <comment ref="T11" authorId="1" shapeId="0" xr:uid="{80A28482-ED17-42CA-81DC-B11526A2510F}">
      <text>
        <t>[Threaded comment]
Your version of Excel allows you to read this threaded comment; however, any edits to it will get removed if the file is opened in a newer version of Excel. Learn more: https://go.microsoft.com/fwlink/?linkid=870924
Comment:
    27B</t>
      </text>
    </comment>
    <comment ref="W11" authorId="2" shapeId="0" xr:uid="{95B9BA71-F98F-47B9-9FF5-DCBB545C57FD}">
      <text>
        <t>[Threaded comment]
Your version of Excel allows you to read this threaded comment; however, any edits to it will get removed if the file is opened in a newer version of Excel. Learn more: https://go.microsoft.com/fwlink/?linkid=870924
Comment:
    5.8B valuation</t>
      </text>
    </comment>
    <comment ref="Z11" authorId="3" shapeId="0" xr:uid="{B3A91AAE-D344-4DAE-9C26-07636C662E5A}">
      <text>
        <t>[Threaded comment]
Your version of Excel allows you to read this threaded comment; however, any edits to it will get removed if the file is opened in a newer version of Excel. Learn more: https://go.microsoft.com/fwlink/?linkid=870924
Comment:
    2.5B valuation</t>
      </text>
    </comment>
    <comment ref="J14" authorId="4" shapeId="0" xr:uid="{B20FE0A1-64FD-974B-9BE7-ABFDD63D6646}">
      <text>
        <t>[Threaded comment]
Your version of Excel allows you to read this threaded comment; however, any edits to it will get removed if the file is opened in a newer version of Excel. Learn more: https://go.microsoft.com/fwlink/?linkid=870924
Comment:
    Tom Built GPT-3</t>
      </text>
    </comment>
    <comment ref="T19" authorId="5" shapeId="0" xr:uid="{69C5854F-5F53-45FD-9C2C-9AA83F4DCC04}">
      <text>
        <t>[Threaded comment]
Your version of Excel allows you to read this threaded comment; however, any edits to it will get removed if the file is opened in a newer version of Excel. Learn more: https://go.microsoft.com/fwlink/?linkid=870924
Comment:
    1.1B valuation</t>
      </text>
    </comment>
    <comment ref="Q20" authorId="6" shapeId="0" xr:uid="{6821AE8A-BAF7-4CCD-9678-73378ECCA884}">
      <text>
        <t>[Threaded comment]
Your version of Excel allows you to read this threaded comment; however, any edits to it will get removed if the file is opened in a newer version of Excel. Learn more: https://go.microsoft.com/fwlink/?linkid=870924
Comment:
    5200m valuation</t>
      </text>
    </comment>
    <comment ref="T20" authorId="7" shapeId="0" xr:uid="{5B718418-E3EC-41E7-9E32-CC14B770FD78}">
      <text>
        <t>[Threaded comment]
Your version of Excel allows you to read this threaded comment; however, any edits to it will get removed if the file is opened in a newer version of Excel. Learn more: https://go.microsoft.com/fwlink/?linkid=870924
Comment:
    5000 valuation</t>
      </text>
    </comment>
    <comment ref="W20" authorId="8" shapeId="0" xr:uid="{A44B3A7C-A8A9-41D1-8BE0-7E2500CA5BFD}">
      <text>
        <t>[Threaded comment]
Your version of Excel allows you to read this threaded comment; however, any edits to it will get removed if the file is opened in a newer version of Excel. Learn more: https://go.microsoft.com/fwlink/?linkid=870924
Comment:
    2500m valuation</t>
      </text>
    </comment>
    <comment ref="T23" authorId="9" shapeId="0" xr:uid="{613BD39E-F03E-463E-A54F-07982A0EA45E}">
      <text>
        <t>[Threaded comment]
Your version of Excel allows you to read this threaded comment; however, any edits to it will get removed if the file is opened in a newer version of Excel. Learn more: https://go.microsoft.com/fwlink/?linkid=870924
Comment:
    685m valuation</t>
      </text>
    </comment>
    <comment ref="AE26" authorId="10" shapeId="0" xr:uid="{BA9245D9-6C01-4F87-8A15-EC4AE5802C30}">
      <text>
        <t>[Threaded comment]
Your version of Excel allows you to read this threaded comment; however, any edits to it will get removed if the file is opened in a newer version of Excel. Learn more: https://go.microsoft.com/fwlink/?linkid=870924
Comment:
    www.heypi.com</t>
      </text>
    </comment>
    <comment ref="AF26" authorId="11" shapeId="0" xr:uid="{E29F7D1D-7AF5-4541-BD1A-8261973D4DE0}">
      <text>
        <t>[Threaded comment]
Your version of Excel allows you to read this threaded comment; however, any edits to it will get removed if the file is opened in a newer version of Excel. Learn more: https://go.microsoft.com/fwlink/?linkid=870924
Comment:
    0.651907 for inflection.ai,
1.922m for heypi.com</t>
      </text>
    </comment>
    <comment ref="AG26" authorId="12" shapeId="0" xr:uid="{919461BB-9FEF-4D66-8757-CD72F4F1D58F}">
      <text>
        <t>[Threaded comment]
Your version of Excel allows you to read this threaded comment; however, any edits to it will get removed if the file is opened in a newer version of Excel. Learn more: https://go.microsoft.com/fwlink/?linkid=870924
Comment:
    2:22 for inflection.ai
6:31 for heypi.com</t>
      </text>
    </comment>
    <comment ref="Q27" authorId="13" shapeId="0" xr:uid="{76A183B3-66DA-4506-B94B-252442EF63C7}">
      <text>
        <t>[Threaded comment]
Your version of Excel allows you to read this threaded comment; however, any edits to it will get removed if the file is opened in a newer version of Excel. Learn more: https://go.microsoft.com/fwlink/?linkid=870924
Comment:
    2.4B</t>
      </text>
    </comment>
    <comment ref="T27" authorId="14" shapeId="0" xr:uid="{83E4713B-E1CA-4261-8B8D-5A8CA0096F3C}">
      <text>
        <t>[Threaded comment]
Your version of Excel allows you to read this threaded comment; however, any edits to it will get removed if the file is opened in a newer version of Excel. Learn more: https://go.microsoft.com/fwlink/?linkid=870924
Comment:
    1.7B valuation</t>
      </text>
    </comment>
    <comment ref="Q29" authorId="15" shapeId="0" xr:uid="{D88C9B5E-BF60-084A-9570-4043F212FF6E}">
      <text>
        <t>[Threaded comment]
Your version of Excel allows you to read this threaded comment; however, any edits to it will get removed if the file is opened in a newer version of Excel. Learn more: https://go.microsoft.com/fwlink/?linkid=870924
Comment:
    1.8B valuation</t>
      </text>
    </comment>
    <comment ref="Q30" authorId="16" shapeId="0" xr:uid="{0194A46F-5F99-9E46-9EAD-33834CE23B16}">
      <text>
        <t>[Threaded comment]
Your version of Excel allows you to read this threaded comment; however, any edits to it will get removed if the file is opened in a newer version of Excel. Learn more: https://go.microsoft.com/fwlink/?linkid=870924
Comment:
    1.1B valuation</t>
      </text>
    </comment>
    <comment ref="Q31" authorId="17" shapeId="0" xr:uid="{ADD1D653-0938-4BD0-AD14-DACCACA024A8}">
      <text>
        <t>[Threaded comment]
Your version of Excel allows you to read this threaded comment; however, any edits to it will get removed if the file is opened in a newer version of Excel. Learn more: https://go.microsoft.com/fwlink/?linkid=870924
Comment:
    4.2B valuation</t>
      </text>
    </comment>
    <comment ref="Q34" authorId="18" shapeId="0" xr:uid="{537E8F40-4DC9-CE4D-858B-3E752C329843}">
      <text>
        <t>[Threaded comment]
Your version of Excel allows you to read this threaded comment; however, any edits to it will get removed if the file is opened in a newer version of Excel. Learn more: https://go.microsoft.com/fwlink/?linkid=870924
Comment:
    880m valuation</t>
      </text>
    </comment>
    <comment ref="T35" authorId="19" shapeId="0" xr:uid="{4844C0AE-1F12-4844-A7ED-7C6A898EC718}">
      <text>
        <t>[Threaded comment]
Your version of Excel allows you to read this threaded comment; however, any edits to it will get removed if the file is opened in a newer version of Excel. Learn more: https://go.microsoft.com/fwlink/?linkid=870924
Comment:
    1B valuation</t>
      </text>
    </comment>
    <comment ref="Q38" authorId="20" shapeId="0" xr:uid="{C71BE2CF-85E9-8140-864A-695CC0C40F7C}">
      <text>
        <t>[Threaded comment]
Your version of Excel allows you to read this threaded comment; however, any edits to it will get removed if the file is opened in a newer version of Excel. Learn more: https://go.microsoft.com/fwlink/?linkid=870924
Comment:
    830m valuation</t>
      </text>
    </comment>
    <comment ref="Q48" authorId="21" shapeId="0" xr:uid="{D653EC94-32EB-CC4F-8437-45786B7F8E67}">
      <text>
        <t>[Threaded comment]
Your version of Excel allows you to read this threaded comment; however, any edits to it will get removed if the file is opened in a newer version of Excel. Learn more: https://go.microsoft.com/fwlink/?linkid=870924
Comment:
    875m valuation</t>
      </text>
    </comment>
    <comment ref="Q77" authorId="22" shapeId="0" xr:uid="{DC3C9334-BC74-254F-8CD8-E902D066E8ED}">
      <text>
        <t>[Threaded comment]
Your version of Excel allows you to read this threaded comment; however, any edits to it will get removed if the file is opened in a newer version of Excel. Learn more: https://go.microsoft.com/fwlink/?linkid=870924
Comment:
    780m valuation</t>
      </text>
    </comment>
    <comment ref="T89" authorId="23" shapeId="0" xr:uid="{2E608F2F-90E0-8444-ACBD-61FDA866A781}">
      <text>
        <t>[Threaded comment]
Your version of Excel allows you to read this threaded comment; however, any edits to it will get removed if the file is opened in a newer version of Excel. Learn more: https://go.microsoft.com/fwlink/?linkid=870924
Comment:
    210m valuation</t>
      </text>
    </comment>
    <comment ref="R103" authorId="24" shapeId="0" xr:uid="{F65168F1-5657-814B-A3B8-9D75C1D1B21E}">
      <text>
        <t>[Threaded comment]
Your version of Excel allows you to read this threaded comment; however, any edits to it will get removed if the file is opened in a newer version of Excel. Learn more: https://go.microsoft.com/fwlink/?linkid=870924
Comment:
    65m pre-money</t>
      </text>
    </comment>
    <comment ref="Q132" authorId="25" shapeId="0" xr:uid="{155EAEDA-F22A-5443-A55A-846AA7C93035}">
      <text>
        <t>[Threaded comment]
Your version of Excel allows you to read this threaded comment; however, any edits to it will get removed if the file is opened in a newer version of Excel. Learn more: https://go.microsoft.com/fwlink/?linkid=870924
Comment:
    1.8B valuation</t>
      </text>
    </comment>
    <comment ref="T132" authorId="26" shapeId="0" xr:uid="{92596AFE-6AAF-324C-AB10-7CE2A26F5F75}">
      <text>
        <t>[Threaded comment]
Your version of Excel allows you to read this threaded comment; however, any edits to it will get removed if the file is opened in a newer version of Excel. Learn more: https://go.microsoft.com/fwlink/?linkid=870924
Comment:
    1.5B valuation</t>
      </text>
    </comment>
    <comment ref="D149" authorId="27" shapeId="0" xr:uid="{ADEBDD3F-0378-E642-BB59-B9F3B8CA7869}">
      <text>
        <t>[Threaded comment]
Your version of Excel allows you to read this threaded comment; however, any edits to it will get removed if the file is opened in a newer version of Excel. Learn more: https://go.microsoft.com/fwlink/?linkid=870924
Comment:
    https://techcrunch.com/2022/11/10/ai-powered-note-taking-app-mem-raises-23-5m-openai/</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tc={7A7C6198-3353-CD40-BB00-F8E9A98CCF06}</author>
    <author>tc={E6DDF9CC-FB36-C74C-965A-666BFAA0DE62}</author>
    <author>tc={305D004E-E51A-144D-BE51-991B59019DC4}</author>
    <author>tc={2693FE7F-F554-E548-8264-1036732DDEF4}</author>
    <author>tc={36903FD1-2927-8148-989B-855E86E2A333}</author>
  </authors>
  <commentList>
    <comment ref="J115" authorId="0" shapeId="0" xr:uid="{7A7C6198-3353-CD40-BB00-F8E9A98CCF06}">
      <text>
        <t>[Threaded comment]
Your version of Excel allows you to read this threaded comment; however, any edits to it will get removed if the file is opened in a newer version of Excel. Learn more: https://go.microsoft.com/fwlink/?linkid=870924
Comment:
    Was 22% IRR</t>
      </text>
    </comment>
    <comment ref="J116" authorId="1" shapeId="0" xr:uid="{E6DDF9CC-FB36-C74C-965A-666BFAA0DE62}">
      <text>
        <t>[Threaded comment]
Your version of Excel allows you to read this threaded comment; however, any edits to it will get removed if the file is opened in a newer version of Excel. Learn more: https://go.microsoft.com/fwlink/?linkid=870924
Comment:
    Was 23% IRR</t>
      </text>
    </comment>
    <comment ref="J117" authorId="2" shapeId="0" xr:uid="{305D004E-E51A-144D-BE51-991B59019DC4}">
      <text>
        <t>[Threaded comment]
Your version of Excel allows you to read this threaded comment; however, any edits to it will get removed if the file is opened in a newer version of Excel. Learn more: https://go.microsoft.com/fwlink/?linkid=870924
Comment:
    Was 39% IRR</t>
      </text>
    </comment>
    <comment ref="I826" authorId="3" shapeId="0" xr:uid="{2693FE7F-F554-E548-8264-1036732DDEF4}">
      <text>
        <t>[Threaded comment]
Your version of Excel allows you to read this threaded comment; however, any edits to it will get removed if the file is opened in a newer version of Excel. Learn more: https://go.microsoft.com/fwlink/?linkid=870924
Comment:
    Amplify Partners V, Amplify Select (6/13/22)</t>
      </text>
    </comment>
    <comment ref="I1070" authorId="4" shapeId="0" xr:uid="{36903FD1-2927-8148-989B-855E86E2A333}">
      <text>
        <t>[Threaded comment]
Your version of Excel allows you to read this threaded comment; however, any edits to it will get removed if the file is opened in a newer version of Excel. Learn more: https://go.microsoft.com/fwlink/?linkid=870924
Comment:
    Radical Ventures II (5/7/19)</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Martin Shkreli</author>
  </authors>
  <commentList>
    <comment ref="F25" authorId="0" shapeId="0" xr:uid="{7C1BFE3B-E211-5D4F-A93A-F18F1887C896}">
      <text>
        <r>
          <rPr>
            <b/>
            <sz val="10"/>
            <color rgb="FF000000"/>
            <rFont val="Tahoma"/>
            <family val="2"/>
          </rPr>
          <t>Martin Shkreli:</t>
        </r>
        <r>
          <rPr>
            <sz val="10"/>
            <color rgb="FF000000"/>
            <rFont val="Tahoma"/>
            <family val="2"/>
          </rPr>
          <t xml:space="preserve">
</t>
        </r>
        <r>
          <rPr>
            <sz val="10"/>
            <color rgb="FF000000"/>
            <rFont val="Tahoma"/>
            <family val="2"/>
          </rPr>
          <t xml:space="preserve">complained about universe 6/11/17
</t>
        </r>
        <r>
          <rPr>
            <sz val="10"/>
            <color rgb="FF000000"/>
            <rFont val="Tahoma"/>
            <family val="2"/>
          </rPr>
          <t xml:space="preserve">https://blog.aqnichol.com/2017/06/11/why-im-remaking-openai-universe/
</t>
        </r>
        <r>
          <rPr>
            <sz val="10"/>
            <color rgb="FF000000"/>
            <rFont val="Tahoma"/>
            <family val="2"/>
          </rPr>
          <t xml:space="preserve">
</t>
        </r>
        <r>
          <rPr>
            <sz val="10"/>
            <color rgb="FF000000"/>
            <rFont val="Tahoma"/>
            <family val="2"/>
          </rPr>
          <t>1/30/20 seems to have left and come back</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<sst xmlns="http://schemas.openxmlformats.org/spreadsheetml/2006/main" count="23757" uniqueCount="7991">
  <si>
    <t>OpenAI</t>
  </si>
  <si>
    <t>N/A</t>
  </si>
  <si>
    <t>K2 Global</t>
  </si>
  <si>
    <t>Shield AI</t>
  </si>
  <si>
    <t>Seed</t>
  </si>
  <si>
    <t>Series A</t>
  </si>
  <si>
    <t>Founder Collective</t>
  </si>
  <si>
    <t>Series B</t>
  </si>
  <si>
    <t>Series D</t>
  </si>
  <si>
    <t>Series E</t>
  </si>
  <si>
    <t>Breyer Capital</t>
  </si>
  <si>
    <t>Disruptive</t>
  </si>
  <si>
    <t>Homebrew</t>
  </si>
  <si>
    <t>Riot Ventures</t>
  </si>
  <si>
    <t>Snowpoint</t>
  </si>
  <si>
    <t>Shift Technology</t>
  </si>
  <si>
    <t>HDS Capital</t>
  </si>
  <si>
    <t>Elaia</t>
  </si>
  <si>
    <t>Series C</t>
  </si>
  <si>
    <t>IRIS</t>
  </si>
  <si>
    <t>Advent International</t>
  </si>
  <si>
    <t>Alma Mundi Ventures</t>
  </si>
  <si>
    <t>Graphcore</t>
  </si>
  <si>
    <t>C4 Ventures</t>
  </si>
  <si>
    <t>Chrysalis</t>
  </si>
  <si>
    <t>Mayfair Equity Partners</t>
  </si>
  <si>
    <t>M&amp;G Investments</t>
  </si>
  <si>
    <t>Molten Ventures</t>
  </si>
  <si>
    <t>YTWO</t>
  </si>
  <si>
    <t>Light Years Beyond</t>
  </si>
  <si>
    <t>Wuyuan Capital</t>
  </si>
  <si>
    <t>Source Code Capital</t>
  </si>
  <si>
    <t>Meero</t>
  </si>
  <si>
    <t>Aglae Ventures</t>
  </si>
  <si>
    <t>Cascade (Ventures, Investment Fund)</t>
  </si>
  <si>
    <t>GR Capital</t>
  </si>
  <si>
    <t>Idinvest Partners</t>
  </si>
  <si>
    <t>White Star</t>
  </si>
  <si>
    <t>Avenir</t>
  </si>
  <si>
    <t>Skydio</t>
  </si>
  <si>
    <t>CAA Ventures</t>
  </si>
  <si>
    <t>Parcel B</t>
  </si>
  <si>
    <t>Levitate</t>
  </si>
  <si>
    <t>Axon</t>
  </si>
  <si>
    <t>Hercules Capital</t>
  </si>
  <si>
    <t>UP Partners</t>
  </si>
  <si>
    <t>Linse Capital</t>
  </si>
  <si>
    <t>ThoughtSpot</t>
  </si>
  <si>
    <t>HarbourVest Partners</t>
  </si>
  <si>
    <t>ServiceNow</t>
  </si>
  <si>
    <t>Decacorn Capital</t>
  </si>
  <si>
    <t>Future Fund</t>
  </si>
  <si>
    <t>Eightfold AI</t>
  </si>
  <si>
    <t>Series F</t>
  </si>
  <si>
    <t>Capital One Ventures</t>
  </si>
  <si>
    <t>Gong</t>
  </si>
  <si>
    <t>NextWorld Capital</t>
  </si>
  <si>
    <t>Builder.ai</t>
  </si>
  <si>
    <t>Deepcore</t>
  </si>
  <si>
    <t>IFC (International Finance Corporation)</t>
  </si>
  <si>
    <t>Revo Capital</t>
  </si>
  <si>
    <t>Blue Lion Global</t>
  </si>
  <si>
    <t>Jungle Ventures</t>
  </si>
  <si>
    <t>Qatar Investment Authority</t>
  </si>
  <si>
    <t>Vastai Technologies</t>
  </si>
  <si>
    <t>Sirius Capital</t>
  </si>
  <si>
    <t>Kuaishou</t>
  </si>
  <si>
    <t>China Internet Investment Fund</t>
  </si>
  <si>
    <t>China Science and Technology Innovation</t>
  </si>
  <si>
    <t>Glory Ventures</t>
  </si>
  <si>
    <t>Mouhua Science and Technology</t>
  </si>
  <si>
    <t>Murf.AI</t>
  </si>
  <si>
    <t>Matrix Partners (China, India)</t>
  </si>
  <si>
    <t>PICC</t>
  </si>
  <si>
    <t>Cerebras</t>
  </si>
  <si>
    <t>Benchmark</t>
  </si>
  <si>
    <t>Eclipse Ventures</t>
  </si>
  <si>
    <t>Vy Capital</t>
  </si>
  <si>
    <t>Empede Capital</t>
  </si>
  <si>
    <t>Alpha Wave Ventures</t>
  </si>
  <si>
    <t>Enflame</t>
  </si>
  <si>
    <t>China Equity</t>
  </si>
  <si>
    <t>RiverHead Capital</t>
  </si>
  <si>
    <t>Yunhe Partners</t>
  </si>
  <si>
    <t>Delta Capital</t>
  </si>
  <si>
    <t>Summitview</t>
  </si>
  <si>
    <t>CICC Alpha</t>
  </si>
  <si>
    <t>D-ID</t>
  </si>
  <si>
    <t>Pegasus Tech Ventures</t>
  </si>
  <si>
    <t>AI Alliance</t>
  </si>
  <si>
    <t>Hyundai Motor</t>
  </si>
  <si>
    <t>Omron Ventures</t>
  </si>
  <si>
    <t>AXA Venture Partners</t>
  </si>
  <si>
    <t>Maverick Ventures</t>
  </si>
  <si>
    <t>OIF Ventures</t>
  </si>
  <si>
    <t>Enlitic</t>
  </si>
  <si>
    <t>Alium Capital</t>
  </si>
  <si>
    <t>Capitol Health</t>
  </si>
  <si>
    <t>Marubeni</t>
  </si>
  <si>
    <t>Regal Funds</t>
  </si>
  <si>
    <t>The Jagen Group</t>
  </si>
  <si>
    <t>Thorney Investment</t>
  </si>
  <si>
    <t>Digital Reasoning</t>
  </si>
  <si>
    <t>SC Ventures</t>
  </si>
  <si>
    <t>Lemhi Ventures</t>
  </si>
  <si>
    <t>Partnership Fund for NYC</t>
  </si>
  <si>
    <t>Square Capital</t>
  </si>
  <si>
    <t>BNP Paribas</t>
  </si>
  <si>
    <t>Eigen Technologies</t>
  </si>
  <si>
    <t>Lakestar</t>
  </si>
  <si>
    <t>Rad AI</t>
  </si>
  <si>
    <t>Array Ventures</t>
  </si>
  <si>
    <t>Fifty Years</t>
  </si>
  <si>
    <t>GMO VenturePartners</t>
  </si>
  <si>
    <t>Harmonix Fund</t>
  </si>
  <si>
    <t>Precursor Ventures</t>
  </si>
  <si>
    <t>UP2398</t>
  </si>
  <si>
    <t>City Light Capital</t>
  </si>
  <si>
    <t>Kickstart</t>
  </si>
  <si>
    <t>OCV</t>
  </si>
  <si>
    <t>Santa Barbara Venture Partners</t>
  </si>
  <si>
    <t>Artis Ventures</t>
  </si>
  <si>
    <t>Lovo</t>
  </si>
  <si>
    <t>Primer Sazze Partners</t>
  </si>
  <si>
    <t>Kakao</t>
  </si>
  <si>
    <t>Goodwater Capital</t>
  </si>
  <si>
    <t>PKO Investments</t>
  </si>
  <si>
    <t>Hashed</t>
  </si>
  <si>
    <t>Workera</t>
  </si>
  <si>
    <t>Sozo Ventures</t>
  </si>
  <si>
    <t>Jump Capital</t>
  </si>
  <si>
    <t>WEKA</t>
  </si>
  <si>
    <t>CID Group</t>
  </si>
  <si>
    <t>Mellanox Capital</t>
  </si>
  <si>
    <t>Seagate Technology</t>
  </si>
  <si>
    <t>Western Digital Capital</t>
  </si>
  <si>
    <t>Ibex Investors</t>
  </si>
  <si>
    <t>Hitachi Ventures</t>
  </si>
  <si>
    <t>10D</t>
  </si>
  <si>
    <t>Gemini Israel Ventures</t>
  </si>
  <si>
    <t>Key 1 Capital</t>
  </si>
  <si>
    <t>Lumir Ventures</t>
  </si>
  <si>
    <t>MoreTech Ventures</t>
  </si>
  <si>
    <t>Generation</t>
  </si>
  <si>
    <t>Playment</t>
  </si>
  <si>
    <t>SAIF Partners</t>
  </si>
  <si>
    <t>Sparkland</t>
  </si>
  <si>
    <t>3</t>
  </si>
  <si>
    <t>PatSnap</t>
  </si>
  <si>
    <t>Global Brain Corporation</t>
  </si>
  <si>
    <t>7</t>
  </si>
  <si>
    <t>Summit Partners</t>
  </si>
  <si>
    <t>8</t>
  </si>
  <si>
    <t>Qualgro VC</t>
  </si>
  <si>
    <t>Dataiku</t>
  </si>
  <si>
    <t>Wilco</t>
  </si>
  <si>
    <t>Alven</t>
  </si>
  <si>
    <t>Stripes</t>
  </si>
  <si>
    <t>Dawn Capital</t>
  </si>
  <si>
    <t>Lightrock</t>
  </si>
  <si>
    <t>Eurazeo</t>
  </si>
  <si>
    <t>Pony.ai</t>
  </si>
  <si>
    <t>Polaris Capital Group</t>
  </si>
  <si>
    <t>Puhua Capital</t>
  </si>
  <si>
    <t>Silicon Valley Future Capital</t>
  </si>
  <si>
    <t>VMS Asset Management</t>
  </si>
  <si>
    <t>Legend Capital (including Legend Star)</t>
  </si>
  <si>
    <t>DCM Ventures</t>
  </si>
  <si>
    <t>Delong Capital</t>
  </si>
  <si>
    <t>Hongtai Capital</t>
  </si>
  <si>
    <t>Kunlun</t>
  </si>
  <si>
    <t>FAW Group</t>
  </si>
  <si>
    <t>5Y Capital</t>
  </si>
  <si>
    <t>Brunei Investment Agency</t>
  </si>
  <si>
    <t>ClearVue Partners</t>
  </si>
  <si>
    <t>Ontario Teachers'</t>
  </si>
  <si>
    <t>Dataminr</t>
  </si>
  <si>
    <t>General Advance</t>
  </si>
  <si>
    <t>Viceroy Ventures</t>
  </si>
  <si>
    <t>Deep Fork Capital</t>
  </si>
  <si>
    <t>SuRo Capital</t>
  </si>
  <si>
    <t>Wharton Equity Partners</t>
  </si>
  <si>
    <t>Richmond Global Ventures</t>
  </si>
  <si>
    <t>Venrock</t>
  </si>
  <si>
    <t>WorldQuant</t>
  </si>
  <si>
    <t>Blue Ivy Ventures</t>
  </si>
  <si>
    <t>Kite Ventures</t>
  </si>
  <si>
    <t>Planven Investiments</t>
  </si>
  <si>
    <t>Vulcan Capital</t>
  </si>
  <si>
    <t>ArrowMark Partners</t>
  </si>
  <si>
    <t>DNS Capital</t>
  </si>
  <si>
    <t>Eden Global</t>
  </si>
  <si>
    <t>AnyVision</t>
  </si>
  <si>
    <t>Eldridge</t>
  </si>
  <si>
    <t>Lurra Capital</t>
  </si>
  <si>
    <t>Reinvent Capital</t>
  </si>
  <si>
    <t>The Pritzker Organization</t>
  </si>
  <si>
    <t>Momenta</t>
  </si>
  <si>
    <t>Blue Lake Capital</t>
  </si>
  <si>
    <t>UnityVC</t>
  </si>
  <si>
    <t>China Merchants Group</t>
  </si>
  <si>
    <t>InnoVen Capital</t>
  </si>
  <si>
    <t>NIO Capital</t>
  </si>
  <si>
    <t>Pagoda</t>
  </si>
  <si>
    <t>IDG Capital</t>
  </si>
  <si>
    <t>Mercedes-Benz Group</t>
  </si>
  <si>
    <t>YF Capital</t>
  </si>
  <si>
    <t>SAIC Motor</t>
  </si>
  <si>
    <t>SambaNova Systems</t>
  </si>
  <si>
    <t>Redline Capital</t>
  </si>
  <si>
    <t>GIC (Singapore)</t>
  </si>
  <si>
    <t>4Paradigm</t>
  </si>
  <si>
    <t>Huyu Equity Investment Fund</t>
  </si>
  <si>
    <t>Agricultural Bank of China</t>
  </si>
  <si>
    <t>Bank of Communications</t>
  </si>
  <si>
    <t>China Poly Group</t>
  </si>
  <si>
    <t>CTBC Bank</t>
  </si>
  <si>
    <t>Three Gorges Capital</t>
  </si>
  <si>
    <t>Tusholdings</t>
  </si>
  <si>
    <t>Capikris Foundation</t>
  </si>
  <si>
    <t>Co-Stone Venture</t>
  </si>
  <si>
    <t>Lenovo</t>
  </si>
  <si>
    <t>China Development Bank</t>
  </si>
  <si>
    <t>China Jianyin</t>
  </si>
  <si>
    <t>China Securities</t>
  </si>
  <si>
    <t>FountainVest</t>
  </si>
  <si>
    <t>Haitong Securities</t>
  </si>
  <si>
    <t>Jinyi Capital</t>
  </si>
  <si>
    <t>Junci Investment</t>
  </si>
  <si>
    <t>Boyu</t>
  </si>
  <si>
    <t>HOPU</t>
  </si>
  <si>
    <t>Primavera Capital</t>
  </si>
  <si>
    <t>MEGVII</t>
  </si>
  <si>
    <t>CCB International</t>
  </si>
  <si>
    <t>Sinovation</t>
  </si>
  <si>
    <t>Foxteq</t>
  </si>
  <si>
    <t>China Reform Holdings</t>
  </si>
  <si>
    <t>Russia-China Investment Fund</t>
  </si>
  <si>
    <t>Sunshine Insurance Group</t>
  </si>
  <si>
    <t>Foxconn</t>
  </si>
  <si>
    <t>Cerebras Systems</t>
  </si>
  <si>
    <t>ADIA (Abu Dhabi Growth Fund)</t>
  </si>
  <si>
    <t>Alibaba (Ant)</t>
  </si>
  <si>
    <t>Bank of China Group Investment</t>
  </si>
  <si>
    <t>ICBC Asset Management</t>
  </si>
  <si>
    <t>UBTech Robotics</t>
  </si>
  <si>
    <t>Qiming Venture Partners</t>
  </si>
  <si>
    <t>CDH Investments</t>
  </si>
  <si>
    <t>CreditEase</t>
  </si>
  <si>
    <t>Green Pine Capital Partners</t>
  </si>
  <si>
    <t>Haier</t>
  </si>
  <si>
    <t>Minsheng Securities</t>
  </si>
  <si>
    <t>Telstra Ventures</t>
  </si>
  <si>
    <t>Nuro</t>
  </si>
  <si>
    <t>Chipotle</t>
  </si>
  <si>
    <t>Baillie Gifford</t>
  </si>
  <si>
    <t>Kroger</t>
  </si>
  <si>
    <t>Woven Capital</t>
  </si>
  <si>
    <t>OpenSpace</t>
  </si>
  <si>
    <t>AngelList Talent</t>
  </si>
  <si>
    <t>Fairhaven</t>
  </si>
  <si>
    <t>National Science Foundation</t>
  </si>
  <si>
    <t>Sterling.VC</t>
  </si>
  <si>
    <t>Goldcrest</t>
  </si>
  <si>
    <t>Suffolk Technologies</t>
  </si>
  <si>
    <t>WeWork Labs</t>
  </si>
  <si>
    <t>New World Development</t>
  </si>
  <si>
    <t>Zigg Capital</t>
  </si>
  <si>
    <t>Alpaca VC</t>
  </si>
  <si>
    <t>Fischer Homes</t>
  </si>
  <si>
    <t>GreenPoint Partners</t>
  </si>
  <si>
    <t>Harmonic Growth</t>
  </si>
  <si>
    <t>JLL Spark</t>
  </si>
  <si>
    <t>Navitas</t>
  </si>
  <si>
    <t>Nine Four Ventures</t>
  </si>
  <si>
    <t>Sino Group</t>
  </si>
  <si>
    <t>Taronga Ventures</t>
  </si>
  <si>
    <t>Datrics</t>
  </si>
  <si>
    <t>Pre-Seed</t>
  </si>
  <si>
    <t>QPDigital</t>
  </si>
  <si>
    <t>Altair Capital</t>
  </si>
  <si>
    <t>Ambi Robotics</t>
  </si>
  <si>
    <t>Pitney Bowes</t>
  </si>
  <si>
    <t>Pictory</t>
  </si>
  <si>
    <t>Voyager Capital</t>
  </si>
  <si>
    <t>FUSE</t>
  </si>
  <si>
    <t>Unsupervised</t>
  </si>
  <si>
    <t>Eniac Ventures</t>
  </si>
  <si>
    <t>NextGen Venture Partners</t>
  </si>
  <si>
    <t>Neural Magic</t>
  </si>
  <si>
    <t>Amdocs</t>
  </si>
  <si>
    <t>Ridgeline</t>
  </si>
  <si>
    <t>Almotive</t>
  </si>
  <si>
    <t>Tamares</t>
  </si>
  <si>
    <t>Inventure</t>
  </si>
  <si>
    <t>Lead Ventures</t>
  </si>
  <si>
    <t>Prime Ventures</t>
  </si>
  <si>
    <t>AI focused</t>
  </si>
  <si>
    <t>Botpress</t>
  </si>
  <si>
    <t>Hike Ventures</t>
  </si>
  <si>
    <t>overtime.vc</t>
  </si>
  <si>
    <t>Real Ventures</t>
  </si>
  <si>
    <t>Ava</t>
  </si>
  <si>
    <t>Boost VC</t>
  </si>
  <si>
    <t>Cantos</t>
  </si>
  <si>
    <t>Seraph Group</t>
  </si>
  <si>
    <t>Toms Shoes</t>
  </si>
  <si>
    <t>Day One</t>
  </si>
  <si>
    <t>FrenchFounders</t>
  </si>
  <si>
    <t>Ring Capital</t>
  </si>
  <si>
    <t>Primer</t>
  </si>
  <si>
    <t>Steadfast</t>
  </si>
  <si>
    <t>US Innovative Technology Fund</t>
  </si>
  <si>
    <t>Landing AI</t>
  </si>
  <si>
    <t>DRIVE Catalyst</t>
  </si>
  <si>
    <t>Taiwania Capital Management</t>
  </si>
  <si>
    <t>Walsin Lihwa</t>
  </si>
  <si>
    <t>McRock Capital</t>
  </si>
  <si>
    <t>AMP Robotics</t>
  </si>
  <si>
    <t>Blue Earth Capital</t>
  </si>
  <si>
    <t>Range Ventures</t>
  </si>
  <si>
    <t>Tao Capital Partners</t>
  </si>
  <si>
    <t>XN</t>
  </si>
  <si>
    <t>BV Investment Ventures</t>
  </si>
  <si>
    <t>Closed Loop Partners</t>
  </si>
  <si>
    <t>Congruent Ventures</t>
  </si>
  <si>
    <t>Prelude Ventures</t>
  </si>
  <si>
    <t>Sidewalk Infrastructure Partners</t>
  </si>
  <si>
    <t>Baidu Ventures</t>
  </si>
  <si>
    <t>BotChain</t>
  </si>
  <si>
    <t>Avalon Ventures</t>
  </si>
  <si>
    <t>Galaxy Digital</t>
  </si>
  <si>
    <t>Common Sense Machines</t>
  </si>
  <si>
    <t>Blindspot Ventures</t>
  </si>
  <si>
    <t>Omidyar Technology Ventures</t>
  </si>
  <si>
    <t>Toyota Ventures</t>
  </si>
  <si>
    <t>Twosense.ai</t>
  </si>
  <si>
    <t>Brand New Matter</t>
  </si>
  <si>
    <t>LogicBoost Labs</t>
  </si>
  <si>
    <t>Atypical Ventures</t>
  </si>
  <si>
    <t>Preface Ventures</t>
  </si>
  <si>
    <t>Retrocausal</t>
  </si>
  <si>
    <t>Atland Ventures</t>
  </si>
  <si>
    <t>Incubate Fund</t>
  </si>
  <si>
    <t>Argon Ventures</t>
  </si>
  <si>
    <t>Hypertherm Ventures</t>
  </si>
  <si>
    <t>Differential Ventures</t>
  </si>
  <si>
    <t>Sourceress</t>
  </si>
  <si>
    <t>10x Group</t>
  </si>
  <si>
    <t>Endure Capital</t>
  </si>
  <si>
    <t>Rogue Insight Capital</t>
  </si>
  <si>
    <t>Navina</t>
  </si>
  <si>
    <t>Grove Ventures</t>
  </si>
  <si>
    <t>Schusterman Foundation</t>
  </si>
  <si>
    <t>ALIVE Israel HealthTech Fund</t>
  </si>
  <si>
    <t>Noogata</t>
  </si>
  <si>
    <t>Inference</t>
  </si>
  <si>
    <t>Team8</t>
  </si>
  <si>
    <t>Allon Ventures</t>
  </si>
  <si>
    <t>Eight Roads Ventures</t>
  </si>
  <si>
    <t>Curai Health</t>
  </si>
  <si>
    <t>Civilization Ventures</t>
  </si>
  <si>
    <t>Morningside Venture</t>
  </si>
  <si>
    <t>Ada Health</t>
  </si>
  <si>
    <t>F4</t>
  </si>
  <si>
    <t>Inteligo</t>
  </si>
  <si>
    <t>Mutschler Ventures</t>
  </si>
  <si>
    <t>Cumberland VC</t>
  </si>
  <si>
    <t>June Fund</t>
  </si>
  <si>
    <t>Vitruvian Partners</t>
  </si>
  <si>
    <t>Red River West</t>
  </si>
  <si>
    <t>Farallon</t>
  </si>
  <si>
    <t>Bertelsmann</t>
  </si>
  <si>
    <t>Bayer</t>
  </si>
  <si>
    <t>Ada (CX)</t>
  </si>
  <si>
    <t>Two Small Fish</t>
  </si>
  <si>
    <t>Leaders Fund</t>
  </si>
  <si>
    <t>Ramen Ventures</t>
  </si>
  <si>
    <t>Burst Capital</t>
  </si>
  <si>
    <t>Giant Ventures</t>
  </si>
  <si>
    <t>Version One Ventures</t>
  </si>
  <si>
    <t>Rossum</t>
  </si>
  <si>
    <t>StartupYard</t>
  </si>
  <si>
    <t>Dig Ventures</t>
  </si>
  <si>
    <t>MITON</t>
  </si>
  <si>
    <t>Verissimo Ventures</t>
  </si>
  <si>
    <t>Uniphore</t>
  </si>
  <si>
    <t>Indian Angel Network</t>
  </si>
  <si>
    <t>YourNest Venture Capital</t>
  </si>
  <si>
    <t>IIFL Finance</t>
  </si>
  <si>
    <t>JC2 Ventures</t>
  </si>
  <si>
    <t>CXO Fund</t>
  </si>
  <si>
    <t>Patni Wealth Advisors</t>
  </si>
  <si>
    <t>Chiratae Ventures</t>
  </si>
  <si>
    <t>Iron Pillar</t>
  </si>
  <si>
    <t>National Grid Partners</t>
  </si>
  <si>
    <t>Serena</t>
  </si>
  <si>
    <t>Sistema Capital</t>
  </si>
  <si>
    <t>SiMa AI</t>
  </si>
  <si>
    <t>Adage Capital</t>
  </si>
  <si>
    <t>Alter Venture Partners</t>
  </si>
  <si>
    <t>After Venture Partners</t>
  </si>
  <si>
    <t>+ND Capital</t>
  </si>
  <si>
    <t>Synthesia</t>
  </si>
  <si>
    <t>LDV Capital</t>
  </si>
  <si>
    <t>MMC Ventures</t>
  </si>
  <si>
    <t>s16vc</t>
  </si>
  <si>
    <t>nVentures</t>
  </si>
  <si>
    <t>Kogniz</t>
  </si>
  <si>
    <t>The Entrepreneurs' Fund</t>
  </si>
  <si>
    <t>H. Barton Asset Management</t>
  </si>
  <si>
    <t>The Indy Fund</t>
  </si>
  <si>
    <t>VentureStudio</t>
  </si>
  <si>
    <t>Ulu Ventures</t>
  </si>
  <si>
    <t>CloudFactory</t>
  </si>
  <si>
    <t>Weatherford</t>
  </si>
  <si>
    <t>Paravision</t>
  </si>
  <si>
    <t>Cherubic Ventures</t>
  </si>
  <si>
    <t>Atomic</t>
  </si>
  <si>
    <t>HID Global</t>
  </si>
  <si>
    <t>Red Cell Partners</t>
  </si>
  <si>
    <t>Marlinspike Capital</t>
  </si>
  <si>
    <t>Perot Jain</t>
  </si>
  <si>
    <t>J2 Ventures</t>
  </si>
  <si>
    <t>Covariant</t>
  </si>
  <si>
    <t>Frees Fund</t>
  </si>
  <si>
    <t>Gates Frontier Fund</t>
  </si>
  <si>
    <t>Northgate Capital</t>
  </si>
  <si>
    <t>Yembo</t>
  </si>
  <si>
    <t>Imagen Capital Partners</t>
  </si>
  <si>
    <t>HireEZ</t>
  </si>
  <si>
    <t>Petuum</t>
  </si>
  <si>
    <t>Northern Light Venture Capital</t>
  </si>
  <si>
    <t>Oriza Ventures</t>
  </si>
  <si>
    <t>Advantech</t>
  </si>
  <si>
    <t>Zegami</t>
  </si>
  <si>
    <t>Future Planet Capital</t>
  </si>
  <si>
    <t>Oxford Investment Consultants (Oxford Science Enterprises, Oxford University Innovation)</t>
  </si>
  <si>
    <t>RT Capital Management</t>
  </si>
  <si>
    <t>Birdie</t>
  </si>
  <si>
    <t>Astella</t>
  </si>
  <si>
    <t>Endeavor Catalyst</t>
  </si>
  <si>
    <t>Fusion Fund</t>
  </si>
  <si>
    <t>Scale-Up Ventures</t>
  </si>
  <si>
    <t>Illuminate Ventures</t>
  </si>
  <si>
    <t>Upload Ventures</t>
  </si>
  <si>
    <t>AssemblyAI</t>
  </si>
  <si>
    <t>TechNexus</t>
  </si>
  <si>
    <t>Aisera</t>
  </si>
  <si>
    <t>First Round Capital</t>
  </si>
  <si>
    <t>Sherpalo Ventures</t>
  </si>
  <si>
    <t>True Ventures</t>
  </si>
  <si>
    <t>Webb Investment Network</t>
  </si>
  <si>
    <t>Thoma Bravo</t>
  </si>
  <si>
    <t>CLARA Analytics</t>
  </si>
  <si>
    <t>Aspen Capital Group</t>
  </si>
  <si>
    <t>Utilidata</t>
  </si>
  <si>
    <t>American Electric Power</t>
  </si>
  <si>
    <t>Braemar</t>
  </si>
  <si>
    <t>Keyframe</t>
  </si>
  <si>
    <t>MUUS</t>
  </si>
  <si>
    <t>Pieces</t>
  </si>
  <si>
    <t>Children's Health</t>
  </si>
  <si>
    <t>Concord Health Partners</t>
  </si>
  <si>
    <t>OSF Ventures</t>
  </si>
  <si>
    <t>Tabnine</t>
  </si>
  <si>
    <t>Hetz Ventures</t>
  </si>
  <si>
    <t>OurCrowd</t>
  </si>
  <si>
    <t>TPY Capital</t>
  </si>
  <si>
    <t>Dust</t>
  </si>
  <si>
    <t>Connect</t>
  </si>
  <si>
    <t>GG1</t>
  </si>
  <si>
    <t>Seedcamp</t>
  </si>
  <si>
    <t>Tiny Super Computer Investment Company</t>
  </si>
  <si>
    <t>XYZ Venture Capital</t>
  </si>
  <si>
    <t>Woebot Health</t>
  </si>
  <si>
    <t>Social Discovery Group</t>
  </si>
  <si>
    <t>Kicker Ventures</t>
  </si>
  <si>
    <t>What If Ventures</t>
  </si>
  <si>
    <t>Owl Ventures</t>
  </si>
  <si>
    <t>Jazz Venture Partners</t>
  </si>
  <si>
    <t>Resemble AI</t>
  </si>
  <si>
    <t>AET Fund</t>
  </si>
  <si>
    <t>Facet</t>
  </si>
  <si>
    <t>10X Capital</t>
  </si>
  <si>
    <t>Basis Set Ventures</t>
  </si>
  <si>
    <t>Slow Ventures</t>
  </si>
  <si>
    <t>Spacecadet Ventures</t>
  </si>
  <si>
    <t>Two Sigma Ventures</t>
  </si>
  <si>
    <t>DataRobot</t>
  </si>
  <si>
    <t>Accomplice</t>
  </si>
  <si>
    <t>Omega Venture Partners</t>
  </si>
  <si>
    <t>AllianceBernstein</t>
  </si>
  <si>
    <t>DFJ Growth</t>
  </si>
  <si>
    <t>EDBI</t>
  </si>
  <si>
    <t>Geodesic Capital</t>
  </si>
  <si>
    <t>GoldenArc Capital</t>
  </si>
  <si>
    <t>Meritech Capital</t>
  </si>
  <si>
    <t>World Innovation Lab</t>
  </si>
  <si>
    <t>Hewlett Packard Enterprise</t>
  </si>
  <si>
    <t>J-Ventures</t>
  </si>
  <si>
    <t>ClearBridge Investments</t>
  </si>
  <si>
    <t>Glynn Capital</t>
  </si>
  <si>
    <t>Oryx Ventures</t>
  </si>
  <si>
    <t>Series G</t>
  </si>
  <si>
    <t>Counterpoint Global</t>
  </si>
  <si>
    <t>HMC Capital</t>
  </si>
  <si>
    <t>Sutter Hill Ventures</t>
  </si>
  <si>
    <t>Altimeter</t>
  </si>
  <si>
    <t>Consensus</t>
  </si>
  <si>
    <t>Bettor Capital</t>
  </si>
  <si>
    <t>Chey Capital</t>
  </si>
  <si>
    <t>Laurence Innovation</t>
  </si>
  <si>
    <t>Permit Ventures</t>
  </si>
  <si>
    <t>Winklevoss Capital</t>
  </si>
  <si>
    <t>Draper Associates</t>
  </si>
  <si>
    <t>Paperspace</t>
  </si>
  <si>
    <t>Ludlow Ventures</t>
  </si>
  <si>
    <t>Rocketship.vc</t>
  </si>
  <si>
    <t>SineWave Ventures</t>
  </si>
  <si>
    <t>People.ai</t>
  </si>
  <si>
    <t>Aventures Capital</t>
  </si>
  <si>
    <t>408 Ventures</t>
  </si>
  <si>
    <t>CSC Upshot</t>
  </si>
  <si>
    <t>Garage Technology Ventures</t>
  </si>
  <si>
    <t>Fiddler AI</t>
  </si>
  <si>
    <t>Haystack</t>
  </si>
  <si>
    <t>Zillionize</t>
  </si>
  <si>
    <t>Mindrock Capital</t>
  </si>
  <si>
    <t>Frontline Ventures</t>
  </si>
  <si>
    <t>Maropost Ventures</t>
  </si>
  <si>
    <t>Sand Hill Angels</t>
  </si>
  <si>
    <t>Akkadian Ventures</t>
  </si>
  <si>
    <t>Artera</t>
  </si>
  <si>
    <t>Freestyle Capital</t>
  </si>
  <si>
    <t>Health Velocity Capital</t>
  </si>
  <si>
    <t>Jackson Square Ventures</t>
  </si>
  <si>
    <t>Martin Ventures</t>
  </si>
  <si>
    <t>Structure Capital</t>
  </si>
  <si>
    <t>Summation Health Ventures</t>
  </si>
  <si>
    <t>Lead Edge Capital</t>
  </si>
  <si>
    <t>Mimica Automation</t>
  </si>
  <si>
    <t>PolyAI</t>
  </si>
  <si>
    <t>Entrepreneur First</t>
  </si>
  <si>
    <t>Passion Capital</t>
  </si>
  <si>
    <t>Georgian</t>
  </si>
  <si>
    <t>Reka AI</t>
  </si>
  <si>
    <t>DST Global</t>
  </si>
  <si>
    <t>Hyro</t>
  </si>
  <si>
    <t>Cornell Tech</t>
  </si>
  <si>
    <t>Angel</t>
  </si>
  <si>
    <t>Dorm Room Fund</t>
  </si>
  <si>
    <t>Black Opal Ventures</t>
  </si>
  <si>
    <t>Hanaco Venture Capital</t>
  </si>
  <si>
    <t>K20 Fund</t>
  </si>
  <si>
    <t>Liberty Mutual Strategic Ventures</t>
  </si>
  <si>
    <t>Mindset Ventures</t>
  </si>
  <si>
    <t>Spero Ventures</t>
  </si>
  <si>
    <t>Macquarie Capital</t>
  </si>
  <si>
    <t>prezent.ai</t>
  </si>
  <si>
    <t>WestWave Capital</t>
  </si>
  <si>
    <t>Greycroft</t>
  </si>
  <si>
    <t>NinjaTech AI</t>
  </si>
  <si>
    <t>Candou Ventures</t>
  </si>
  <si>
    <t>SRI Ventures</t>
  </si>
  <si>
    <t>Ask-AI</t>
  </si>
  <si>
    <t>Alliance Global Partners</t>
  </si>
  <si>
    <t>Firsthand Technology Value Fund</t>
  </si>
  <si>
    <t>Gefen Capital</t>
  </si>
  <si>
    <t>GuideStar Ventures</t>
  </si>
  <si>
    <t>Interplay</t>
  </si>
  <si>
    <t>Web Summit Ventures</t>
  </si>
  <si>
    <t>State of Mind Ventures</t>
  </si>
  <si>
    <t>Capitol</t>
  </si>
  <si>
    <t>AirAngels</t>
  </si>
  <si>
    <t>Designer Fund</t>
  </si>
  <si>
    <t>Fuel Capital</t>
  </si>
  <si>
    <t>Nomad Capital</t>
  </si>
  <si>
    <t>Sanno Capital</t>
  </si>
  <si>
    <t>Tokyo Black</t>
  </si>
  <si>
    <t>One AI</t>
  </si>
  <si>
    <t>TechAviv Founder Partners</t>
  </si>
  <si>
    <t>Mana</t>
  </si>
  <si>
    <t>Flash Ventures</t>
  </si>
  <si>
    <t>Protex AI</t>
  </si>
  <si>
    <t>CircleRock</t>
  </si>
  <si>
    <t>Elkstone Capital Partners</t>
  </si>
  <si>
    <t>Flexport</t>
  </si>
  <si>
    <t>Playfair Capital</t>
  </si>
  <si>
    <t>SCOR Ventures</t>
  </si>
  <si>
    <t>Notion Capital</t>
  </si>
  <si>
    <t>Kubiya.ai</t>
  </si>
  <si>
    <t>Hyperwise</t>
  </si>
  <si>
    <t>Kognitos</t>
  </si>
  <si>
    <t>Wipro Ventures</t>
  </si>
  <si>
    <t>Clear Ventures</t>
  </si>
  <si>
    <t>Yoodli</t>
  </si>
  <si>
    <t>Allen Institute for AI</t>
  </si>
  <si>
    <t>J4.Ventures</t>
  </si>
  <si>
    <t>Observe.AI</t>
  </si>
  <si>
    <t>Liquid 2 Ventures</t>
  </si>
  <si>
    <t>MGV</t>
  </si>
  <si>
    <t>01 Advisors</t>
  </si>
  <si>
    <t>Next47</t>
  </si>
  <si>
    <t>NGP Capital</t>
  </si>
  <si>
    <t>Steadview Capital</t>
  </si>
  <si>
    <t>K Health</t>
  </si>
  <si>
    <t>Blackpine</t>
  </si>
  <si>
    <t>Elevance Health</t>
  </si>
  <si>
    <t>14W</t>
  </si>
  <si>
    <t>Bienville Capital</t>
  </si>
  <si>
    <t>BoxGroup</t>
  </si>
  <si>
    <t>Counterpart Advisors</t>
  </si>
  <si>
    <t>Kaiser Permanente</t>
  </si>
  <si>
    <t>LTS Investments</t>
  </si>
  <si>
    <t>Marcy Venture Partners</t>
  </si>
  <si>
    <t>Max Ventures</t>
  </si>
  <si>
    <t>Primary Ventures</t>
  </si>
  <si>
    <t>PICO Venture Partners</t>
  </si>
  <si>
    <t>Valor Equity Partners</t>
  </si>
  <si>
    <t>Play.ht</t>
  </si>
  <si>
    <t>500 Global</t>
  </si>
  <si>
    <t>Zoovu</t>
  </si>
  <si>
    <t>FTV Capital</t>
  </si>
  <si>
    <t>Supernormal</t>
  </si>
  <si>
    <t>Acequia Capital</t>
  </si>
  <si>
    <t>EQT Ventures</t>
  </si>
  <si>
    <t>byFounders</t>
  </si>
  <si>
    <t>Balderton Capital</t>
  </si>
  <si>
    <t>Elevation Capital</t>
  </si>
  <si>
    <t>Got It AI</t>
  </si>
  <si>
    <t>Relan Global</t>
  </si>
  <si>
    <t>Robin AI</t>
  </si>
  <si>
    <t>Forward Partners</t>
  </si>
  <si>
    <t>Episode 1</t>
  </si>
  <si>
    <t>CodiumAI</t>
  </si>
  <si>
    <t>Vine Ventures</t>
  </si>
  <si>
    <t>Percepta</t>
  </si>
  <si>
    <t>Rephrase AI</t>
  </si>
  <si>
    <t>Techstars</t>
  </si>
  <si>
    <t>Lavendar</t>
  </si>
  <si>
    <t>Signia Venture Partners</t>
  </si>
  <si>
    <t>LatticeFlow</t>
  </si>
  <si>
    <t>b2venture</t>
  </si>
  <si>
    <t>Voxel51</t>
  </si>
  <si>
    <t>Shasta Ventures</t>
  </si>
  <si>
    <t>Synthetaic</t>
  </si>
  <si>
    <t>Titletown Tech</t>
  </si>
  <si>
    <t>Lupa Systems</t>
  </si>
  <si>
    <t>Baseten</t>
  </si>
  <si>
    <t>South Park Commons</t>
  </si>
  <si>
    <t>Faros AI</t>
  </si>
  <si>
    <t>Fixie.ai</t>
  </si>
  <si>
    <t>Signalfire</t>
  </si>
  <si>
    <t>hOS</t>
  </si>
  <si>
    <t>IA Ventures</t>
  </si>
  <si>
    <t>Vectice</t>
  </si>
  <si>
    <t>Silicon Valley Bank (SVB Capital)</t>
  </si>
  <si>
    <t>Crosslink Capital</t>
  </si>
  <si>
    <t>Conjecture</t>
  </si>
  <si>
    <t>Plural Platform</t>
  </si>
  <si>
    <t>Bridgewise</t>
  </si>
  <si>
    <t>Mangrove VC / Capital Partners</t>
  </si>
  <si>
    <t>Synthesis AI</t>
  </si>
  <si>
    <t>468 Capital</t>
  </si>
  <si>
    <t>Ascertain</t>
  </si>
  <si>
    <t>Hume AI</t>
  </si>
  <si>
    <t>Aegis Ventures</t>
  </si>
  <si>
    <t>Northwell Holdings</t>
  </si>
  <si>
    <t>Zowie</t>
  </si>
  <si>
    <t>Pre Seed</t>
  </si>
  <si>
    <t>Inovo</t>
  </si>
  <si>
    <t>SuperAnnotate</t>
  </si>
  <si>
    <t>Fathom Capital</t>
  </si>
  <si>
    <t>Point Nine</t>
  </si>
  <si>
    <t>Runa Capital</t>
  </si>
  <si>
    <t>Encord</t>
  </si>
  <si>
    <t>Crane</t>
  </si>
  <si>
    <t>Tenyx</t>
  </si>
  <si>
    <t>StageOne Ventures</t>
  </si>
  <si>
    <t>Gan.ai</t>
  </si>
  <si>
    <t>Surge</t>
  </si>
  <si>
    <t>Xembly</t>
  </si>
  <si>
    <t>Ascend</t>
  </si>
  <si>
    <t>Harvey</t>
  </si>
  <si>
    <t>Conviction VC</t>
  </si>
  <si>
    <t>Neo Cybernetica</t>
  </si>
  <si>
    <t>B5 Capital</t>
  </si>
  <si>
    <t>Numbers Station</t>
  </si>
  <si>
    <t>Predibase</t>
  </si>
  <si>
    <t>Modular</t>
  </si>
  <si>
    <t>Factory</t>
  </si>
  <si>
    <t>Observe.ai</t>
  </si>
  <si>
    <t>Datagen Technologies</t>
  </si>
  <si>
    <t>Scale Venture Partners</t>
  </si>
  <si>
    <t>Daloopa</t>
  </si>
  <si>
    <t>Nexus Venture Partners</t>
  </si>
  <si>
    <t>Mem</t>
  </si>
  <si>
    <t>Firestreak</t>
  </si>
  <si>
    <t>Writesonic</t>
  </si>
  <si>
    <t>Soma Capital</t>
  </si>
  <si>
    <t>Inworld AI</t>
  </si>
  <si>
    <t>LG Technology Ventures (LG CNS)</t>
  </si>
  <si>
    <t>DarwinAI</t>
  </si>
  <si>
    <t>Obvious Ventures</t>
  </si>
  <si>
    <t>Mistral AI</t>
  </si>
  <si>
    <t>Headline</t>
  </si>
  <si>
    <t>GraphCore</t>
  </si>
  <si>
    <t>LocalGlobe (Latitude)</t>
  </si>
  <si>
    <t>Telmai</t>
  </si>
  <si>
    <t>Glasswing Ventures</t>
  </si>
  <si>
    <t>Bee Partners</t>
  </si>
  <si>
    <t>Boom Capital</t>
  </si>
  <si>
    <t>iRobot Ventures</t>
  </si>
  <si>
    <t>Kubera Venture Capital</t>
  </si>
  <si>
    <t>PJC</t>
  </si>
  <si>
    <t>Abridge</t>
  </si>
  <si>
    <t>KdT Ventures</t>
  </si>
  <si>
    <t>Union Square Ventures</t>
  </si>
  <si>
    <t>CopyAI</t>
  </si>
  <si>
    <t>Roboflow</t>
  </si>
  <si>
    <t>Craft Ventures</t>
  </si>
  <si>
    <t>Pactum</t>
  </si>
  <si>
    <t>Atomico</t>
  </si>
  <si>
    <t>Metaplanet Holdings</t>
  </si>
  <si>
    <t>Hour One</t>
  </si>
  <si>
    <t>Amaranthine</t>
  </si>
  <si>
    <t>Galaxy Interactive</t>
  </si>
  <si>
    <t>Kindred Ventures</t>
  </si>
  <si>
    <t>Remagine Ventures</t>
  </si>
  <si>
    <t>Phaidra</t>
  </si>
  <si>
    <t>Flying Fish Partners</t>
  </si>
  <si>
    <t>Character</t>
  </si>
  <si>
    <t>Root and Shoot Ventures</t>
  </si>
  <si>
    <t>Starshot Capital</t>
  </si>
  <si>
    <t>Deci AI</t>
  </si>
  <si>
    <t>ICON - Israel</t>
  </si>
  <si>
    <t>Fort Ross Ventures</t>
  </si>
  <si>
    <t>Emerge</t>
  </si>
  <si>
    <t>Square Peg</t>
  </si>
  <si>
    <t>BluePointe Ventures</t>
  </si>
  <si>
    <t>Amino Capital</t>
  </si>
  <si>
    <t>Atlas Pacific Capital</t>
  </si>
  <si>
    <t>Broom Ventures</t>
  </si>
  <si>
    <t>Rebel Fund</t>
  </si>
  <si>
    <t>OthersideAI</t>
  </si>
  <si>
    <t>New York Venture Partners</t>
  </si>
  <si>
    <t>Chapter One Ventures</t>
  </si>
  <si>
    <t>Hustle Fund</t>
  </si>
  <si>
    <t>Tiny VC</t>
  </si>
  <si>
    <t>VAS Ventures</t>
  </si>
  <si>
    <t>AV8 Ventures</t>
  </si>
  <si>
    <t>Atelier Ventures</t>
  </si>
  <si>
    <t>Position Ventures</t>
  </si>
  <si>
    <t>CapitalX</t>
  </si>
  <si>
    <t>Berkeley SkyDeck Fund</t>
  </si>
  <si>
    <t>Granatus Ventures</t>
  </si>
  <si>
    <t>SmartGateVC</t>
  </si>
  <si>
    <t>Harvard Management</t>
  </si>
  <si>
    <t>NJF</t>
  </si>
  <si>
    <t>Outcomes Fund</t>
  </si>
  <si>
    <t>Next Level Ventures</t>
  </si>
  <si>
    <t>LETA Capital</t>
  </si>
  <si>
    <t>Jasper</t>
  </si>
  <si>
    <t>Quarry</t>
  </si>
  <si>
    <t>Autonomize AI</t>
  </si>
  <si>
    <t>Next Practices Group</t>
  </si>
  <si>
    <t>ATX Venture Partners</t>
  </si>
  <si>
    <t>Loop Ventures</t>
  </si>
  <si>
    <t>Producement</t>
  </si>
  <si>
    <t>Docusign</t>
  </si>
  <si>
    <t>Wispr</t>
  </si>
  <si>
    <t>Modern Venture Partners</t>
  </si>
  <si>
    <t>Credo AI</t>
  </si>
  <si>
    <t>Village Global</t>
  </si>
  <si>
    <t>Caffeinated Capital</t>
  </si>
  <si>
    <t>Graft</t>
  </si>
  <si>
    <t>Essence VC</t>
  </si>
  <si>
    <t>Formula</t>
  </si>
  <si>
    <t>V7</t>
  </si>
  <si>
    <t>Miele Venture</t>
  </si>
  <si>
    <t>The.AI Ventures</t>
  </si>
  <si>
    <t>Meta</t>
  </si>
  <si>
    <t>Spellbook</t>
  </si>
  <si>
    <t>Bling Capital</t>
  </si>
  <si>
    <t>Concere Ventures</t>
  </si>
  <si>
    <t>N49P</t>
  </si>
  <si>
    <t>The LegalTech Fund</t>
  </si>
  <si>
    <t>Thomson Reuters Ventures</t>
  </si>
  <si>
    <t>Dreamers VC</t>
  </si>
  <si>
    <t>The Todd &amp; Rahul Angel Fund</t>
  </si>
  <si>
    <t>Floodgate</t>
  </si>
  <si>
    <t>Shrug Capital</t>
  </si>
  <si>
    <t>HOF Capital</t>
  </si>
  <si>
    <t>.406 Ventures</t>
  </si>
  <si>
    <t>Good News Ventures</t>
  </si>
  <si>
    <t>Weaviate</t>
  </si>
  <si>
    <t>SAV</t>
  </si>
  <si>
    <t>Abacus.AI</t>
  </si>
  <si>
    <t>Koshla Ventures</t>
  </si>
  <si>
    <t>AAF Management</t>
  </si>
  <si>
    <t>Four Cities</t>
  </si>
  <si>
    <t>Strawberry Creek Ventures</t>
  </si>
  <si>
    <t>Scale.ai</t>
  </si>
  <si>
    <t>Outlander Fund</t>
  </si>
  <si>
    <t>Wisdom Ventures</t>
  </si>
  <si>
    <t>NaHCO3</t>
  </si>
  <si>
    <t>SapientAI</t>
  </si>
  <si>
    <t>Correlation Ventures</t>
  </si>
  <si>
    <t>Asset Management Ventures (AMV)</t>
  </si>
  <si>
    <t>Speak</t>
  </si>
  <si>
    <t>Buckley Ventures</t>
  </si>
  <si>
    <t>Critical Ventures</t>
  </si>
  <si>
    <t>Booz Allen</t>
  </si>
  <si>
    <t>Esri</t>
  </si>
  <si>
    <t>FPV Ventures</t>
  </si>
  <si>
    <t>eLab Ventures</t>
  </si>
  <si>
    <t>ACVC</t>
  </si>
  <si>
    <t>Cercano Management</t>
  </si>
  <si>
    <t>wiz.ai</t>
  </si>
  <si>
    <t>Insignia Venture Partners</t>
  </si>
  <si>
    <t>K3 Ventures</t>
  </si>
  <si>
    <t>Singtel Innov8</t>
  </si>
  <si>
    <t>Wavemaker</t>
  </si>
  <si>
    <t>Gaorang</t>
  </si>
  <si>
    <t>deepdub</t>
  </si>
  <si>
    <t>Stardom Ventures</t>
  </si>
  <si>
    <t>Booster Ventures</t>
  </si>
  <si>
    <t>Material V</t>
  </si>
  <si>
    <t>Orby AI</t>
  </si>
  <si>
    <t>Pear VC</t>
  </si>
  <si>
    <t>Whistler Capital Partners</t>
  </si>
  <si>
    <t>Anyscale</t>
  </si>
  <si>
    <t>Ant Group</t>
  </si>
  <si>
    <t>Coelius Capital</t>
  </si>
  <si>
    <t>Cota Capital</t>
  </si>
  <si>
    <t>Morado Ventures</t>
  </si>
  <si>
    <t>Pathbreaker Ventures</t>
  </si>
  <si>
    <t>Cerca Partners</t>
  </si>
  <si>
    <t>Digital Horizon</t>
  </si>
  <si>
    <t>NordicNinjaVC</t>
  </si>
  <si>
    <t>Taavet+Sten</t>
  </si>
  <si>
    <t>Maersk Growth</t>
  </si>
  <si>
    <t>d-Matrix</t>
  </si>
  <si>
    <t>SK Inc (SK Group, SK Hynix)</t>
  </si>
  <si>
    <t>Uncorrelated Ventures</t>
  </si>
  <si>
    <t>First Spark Ventures</t>
  </si>
  <si>
    <t>HTC</t>
  </si>
  <si>
    <t>Torre</t>
  </si>
  <si>
    <t>MatterScale Ventures</t>
  </si>
  <si>
    <t>Salkantay Ventures</t>
  </si>
  <si>
    <t>Simma Capital</t>
  </si>
  <si>
    <t>TBD Angels</t>
  </si>
  <si>
    <t>Helena</t>
  </si>
  <si>
    <t>Vela Partners</t>
  </si>
  <si>
    <t>Vintage Investment Partners</t>
  </si>
  <si>
    <t>Amazon</t>
  </si>
  <si>
    <t>Lockheed Martin Ventures</t>
  </si>
  <si>
    <t>Atlantic Bridge</t>
  </si>
  <si>
    <t>OpenOcean</t>
  </si>
  <si>
    <t>TruEra</t>
  </si>
  <si>
    <t>Forgepoint</t>
  </si>
  <si>
    <t>Moxxie Ventures</t>
  </si>
  <si>
    <t>Jibe Ventures</t>
  </si>
  <si>
    <t>AI Rudder</t>
  </si>
  <si>
    <t>Zizhu Xiaomiao Fund</t>
  </si>
  <si>
    <t>ZhenFund</t>
  </si>
  <si>
    <t>IMO Ventures</t>
  </si>
  <si>
    <t>TriplePoint</t>
  </si>
  <si>
    <t>Neo</t>
  </si>
  <si>
    <t>L4 Venture Builder</t>
  </si>
  <si>
    <t>Infinitus Systems</t>
  </si>
  <si>
    <t>Tau Ventures</t>
  </si>
  <si>
    <t>Jina AI</t>
  </si>
  <si>
    <t>Mango Capital</t>
  </si>
  <si>
    <t>Top Harvest Capital</t>
  </si>
  <si>
    <t>Drive Capital</t>
  </si>
  <si>
    <t>Snorkel AI</t>
  </si>
  <si>
    <t>Boston Trust Walden Company</t>
  </si>
  <si>
    <t>Base10 Partners</t>
  </si>
  <si>
    <t>Entrada Ventures</t>
  </si>
  <si>
    <t>Marvell</t>
  </si>
  <si>
    <t>Nautilus Venture Partners</t>
  </si>
  <si>
    <t>Moveworks</t>
  </si>
  <si>
    <t>Comerica</t>
  </si>
  <si>
    <t>Open Field Capital</t>
  </si>
  <si>
    <t>Wittington Ventures</t>
  </si>
  <si>
    <t>Two.ai</t>
  </si>
  <si>
    <t>Axios HQ</t>
  </si>
  <si>
    <t>Cox Enterprises</t>
  </si>
  <si>
    <t>Hillhouse</t>
  </si>
  <si>
    <t>Skan.ai</t>
  </si>
  <si>
    <t>GSR Ventures</t>
  </si>
  <si>
    <t>Liberty Global Ventures</t>
  </si>
  <si>
    <t>Lightning AI</t>
  </si>
  <si>
    <t>Mantis Venture Capital</t>
  </si>
  <si>
    <t>Red Ventures</t>
  </si>
  <si>
    <t>JAM Fund</t>
  </si>
  <si>
    <t>Group 11</t>
  </si>
  <si>
    <t>Emma Group</t>
  </si>
  <si>
    <t>Stonebridge Ventures</t>
  </si>
  <si>
    <t>Figure</t>
  </si>
  <si>
    <t>Aliya Capital</t>
  </si>
  <si>
    <t>BOLD Ventures</t>
  </si>
  <si>
    <t>Habitat Partners</t>
  </si>
  <si>
    <t>Moving Capital</t>
  </si>
  <si>
    <t>Tamarack Global</t>
  </si>
  <si>
    <t>Replit</t>
  </si>
  <si>
    <t>Fifth Down Capital</t>
  </si>
  <si>
    <t>Reach Capital</t>
  </si>
  <si>
    <t>Not Boring</t>
  </si>
  <si>
    <t>Volt Capital</t>
  </si>
  <si>
    <t>The Applied AI Company</t>
  </si>
  <si>
    <t>HCS Beteiligungsgesellschaft</t>
  </si>
  <si>
    <t>ARM Holding</t>
  </si>
  <si>
    <t>3VC</t>
  </si>
  <si>
    <t>VenturesLab</t>
  </si>
  <si>
    <t>First Plus</t>
  </si>
  <si>
    <t>Glade Brook</t>
  </si>
  <si>
    <t>ARK Ventures</t>
  </si>
  <si>
    <t>BPI France</t>
  </si>
  <si>
    <t>Exor</t>
  </si>
  <si>
    <t>Motier Ventures</t>
  </si>
  <si>
    <t>Sofina</t>
  </si>
  <si>
    <t>JCDeaux</t>
  </si>
  <si>
    <t>La Famiglia</t>
  </si>
  <si>
    <t>Huggingface</t>
  </si>
  <si>
    <t>Cygni Capital</t>
  </si>
  <si>
    <t>Aiola</t>
  </si>
  <si>
    <t>Hamilton Lane</t>
  </si>
  <si>
    <t>Reliance Jio</t>
  </si>
  <si>
    <t>Credit Suisse NEXT Partners</t>
  </si>
  <si>
    <t>ExpressSteur</t>
  </si>
  <si>
    <t>Mountain Partners</t>
  </si>
  <si>
    <t>Playground Global</t>
  </si>
  <si>
    <t>Character.ai</t>
  </si>
  <si>
    <t>Stability AI</t>
  </si>
  <si>
    <t>Fourth Revolution</t>
  </si>
  <si>
    <t>Kadmos</t>
  </si>
  <si>
    <t>MSD Capital</t>
  </si>
  <si>
    <t>VentureTech Alliance</t>
  </si>
  <si>
    <t>Oceanpine Capital</t>
  </si>
  <si>
    <t>Canaan</t>
  </si>
  <si>
    <t>New Era Capital Partners</t>
  </si>
  <si>
    <t>Founders Circle Capital</t>
  </si>
  <si>
    <t>HubSpot Ventures</t>
  </si>
  <si>
    <t>Durable Capital Partners</t>
  </si>
  <si>
    <t>Human Capital</t>
  </si>
  <si>
    <t>G42</t>
  </si>
  <si>
    <t>Adept AI</t>
  </si>
  <si>
    <t>Atlassian</t>
  </si>
  <si>
    <t>Frontiers Capital</t>
  </si>
  <si>
    <t>Cohere</t>
  </si>
  <si>
    <t>DTCP</t>
  </si>
  <si>
    <t>Oracle</t>
  </si>
  <si>
    <t>Schroders</t>
  </si>
  <si>
    <t>SentinelOne</t>
  </si>
  <si>
    <t>Runway</t>
  </si>
  <si>
    <t>Rogue</t>
  </si>
  <si>
    <t>O'Shaughnessy</t>
  </si>
  <si>
    <t>Conductive Ventures</t>
  </si>
  <si>
    <t>Parkway Venture Capital</t>
  </si>
  <si>
    <t>Weights &amp; Biases</t>
  </si>
  <si>
    <t>Bond</t>
  </si>
  <si>
    <t>Anthropic</t>
  </si>
  <si>
    <t>Sound Ventures</t>
  </si>
  <si>
    <t>Dragoneer Investment Group</t>
  </si>
  <si>
    <t>FTX</t>
  </si>
  <si>
    <t>All</t>
  </si>
  <si>
    <t>Total</t>
  </si>
  <si>
    <t>Active Capital</t>
  </si>
  <si>
    <t>GTMfund</t>
  </si>
  <si>
    <t>11.2 Capital</t>
  </si>
  <si>
    <t>Entrepreneurs Roundtable Accelerator (ERA Capital Partners?)</t>
  </si>
  <si>
    <t>BDC Venture Capital</t>
  </si>
  <si>
    <t>Hack VC</t>
  </si>
  <si>
    <t>The Venture Reality Fund</t>
  </si>
  <si>
    <t>Initialized Capital</t>
  </si>
  <si>
    <t>Data Community Fund</t>
  </si>
  <si>
    <t>Partech</t>
  </si>
  <si>
    <t>SAP.iO</t>
  </si>
  <si>
    <t>Air Street Capital</t>
  </si>
  <si>
    <t>Seven Peaks Ventures</t>
  </si>
  <si>
    <t>Conversion Capital</t>
  </si>
  <si>
    <t>Arize AI</t>
  </si>
  <si>
    <t>The House Fund</t>
  </si>
  <si>
    <t>Aporia</t>
  </si>
  <si>
    <t>Tal Ventures</t>
  </si>
  <si>
    <t>AME Cloud Ventures</t>
  </si>
  <si>
    <t>Bitkraft Ventures</t>
  </si>
  <si>
    <t>Quiet Capital</t>
  </si>
  <si>
    <t>Lerer Hippeau</t>
  </si>
  <si>
    <t>Yunqi Partners</t>
  </si>
  <si>
    <t>Huashan Capital</t>
  </si>
  <si>
    <t>Magic</t>
  </si>
  <si>
    <t>10x Founders</t>
  </si>
  <si>
    <t>Peak XV Partners</t>
  </si>
  <si>
    <t>Nepenthe Capital</t>
  </si>
  <si>
    <t>Matias Ventures</t>
  </si>
  <si>
    <t>Heartex</t>
  </si>
  <si>
    <t>Unusual Ventures</t>
  </si>
  <si>
    <t>CRV</t>
  </si>
  <si>
    <t>Firebolt Ventures</t>
  </si>
  <si>
    <t>Compound</t>
  </si>
  <si>
    <t>Perplexity AI</t>
  </si>
  <si>
    <t>Tecton</t>
  </si>
  <si>
    <t>Databricks</t>
  </si>
  <si>
    <t>ING Ventures</t>
  </si>
  <si>
    <t>Robust Intelligence</t>
  </si>
  <si>
    <t>Engineering Capital</t>
  </si>
  <si>
    <t>Gradient Ventures</t>
  </si>
  <si>
    <t>Tome</t>
  </si>
  <si>
    <t>Audacious Ventures</t>
  </si>
  <si>
    <t>Pillar VC</t>
  </si>
  <si>
    <t>Nat Friedman</t>
  </si>
  <si>
    <t>WndrCo</t>
  </si>
  <si>
    <t>Thirty Five Ventures</t>
  </si>
  <si>
    <t>Rephrase.AI</t>
  </si>
  <si>
    <t>Operator Partners</t>
  </si>
  <si>
    <t>AIX Ventures</t>
  </si>
  <si>
    <t>Cathay Innovation (Cathay Capital)</t>
  </si>
  <si>
    <t>Viola Ventures</t>
  </si>
  <si>
    <t>Harpoon</t>
  </si>
  <si>
    <t>Project A Ventures</t>
  </si>
  <si>
    <t>Otherside AI</t>
  </si>
  <si>
    <t>Cortical Ventures</t>
  </si>
  <si>
    <t>Swift Ventures</t>
  </si>
  <si>
    <t>Ahren Innovation Capital</t>
  </si>
  <si>
    <t>Trinity Ventures</t>
  </si>
  <si>
    <t>Spider Capital</t>
  </si>
  <si>
    <t>Decibel</t>
  </si>
  <si>
    <t>FJ Labs</t>
  </si>
  <si>
    <t>Zetta Venture Partners</t>
  </si>
  <si>
    <t>Bow Capital</t>
  </si>
  <si>
    <t>Atreides Ventures</t>
  </si>
  <si>
    <t>Resemble</t>
  </si>
  <si>
    <t>Firstminute Capital</t>
  </si>
  <si>
    <t>TLV Partners</t>
  </si>
  <si>
    <t>Plug and Play</t>
  </si>
  <si>
    <t>Gaingels</t>
  </si>
  <si>
    <t>Series C-2</t>
  </si>
  <si>
    <t>Sancus</t>
  </si>
  <si>
    <t>Betaworks</t>
  </si>
  <si>
    <t>Glean</t>
  </si>
  <si>
    <t>Slack</t>
  </si>
  <si>
    <t>Bossanova</t>
  </si>
  <si>
    <t>15</t>
  </si>
  <si>
    <t>38</t>
  </si>
  <si>
    <t>Shunwei Capital</t>
  </si>
  <si>
    <t>Emergent Ventures</t>
  </si>
  <si>
    <t>AI Fund</t>
  </si>
  <si>
    <t>1</t>
  </si>
  <si>
    <t>Vertex Ventures</t>
  </si>
  <si>
    <t>DCVC</t>
  </si>
  <si>
    <t>B Capital Group</t>
  </si>
  <si>
    <t>Global Founders Capital</t>
  </si>
  <si>
    <t>Syllable</t>
  </si>
  <si>
    <t>TCV</t>
  </si>
  <si>
    <t>Sands Capital</t>
  </si>
  <si>
    <t>Pitango VC</t>
  </si>
  <si>
    <t>PSP Growth</t>
  </si>
  <si>
    <t>Oak HC/FT</t>
  </si>
  <si>
    <t>Bain</t>
  </si>
  <si>
    <t>Typeface</t>
  </si>
  <si>
    <t>OctoML</t>
  </si>
  <si>
    <t>Madrona</t>
  </si>
  <si>
    <t>Inovia</t>
  </si>
  <si>
    <t>Samsung (NEXT, Catalyst Fund)</t>
  </si>
  <si>
    <t>Y Combinator</t>
  </si>
  <si>
    <t>Replicate</t>
  </si>
  <si>
    <t>Kumo.AI</t>
  </si>
  <si>
    <t>A.Capital</t>
  </si>
  <si>
    <t>SiMa.ai</t>
  </si>
  <si>
    <t>Dell</t>
  </si>
  <si>
    <t>Amadeus Capital</t>
  </si>
  <si>
    <t>Section 32</t>
  </si>
  <si>
    <t>Sorenson Ventures</t>
  </si>
  <si>
    <t>Mirae</t>
  </si>
  <si>
    <t>GGV Capital</t>
  </si>
  <si>
    <t>Zoom Ventures</t>
  </si>
  <si>
    <t>Alkeon</t>
  </si>
  <si>
    <t>Felicis</t>
  </si>
  <si>
    <t>Exafunction</t>
  </si>
  <si>
    <t>Greenoaks</t>
  </si>
  <si>
    <t>Aiersa</t>
  </si>
  <si>
    <t>Norwest</t>
  </si>
  <si>
    <t>Pinecone</t>
  </si>
  <si>
    <t>Wing Venture</t>
  </si>
  <si>
    <t>Nvidia</t>
  </si>
  <si>
    <t>One-Off</t>
  </si>
  <si>
    <t>Snowflake</t>
  </si>
  <si>
    <t>Canadian, Fei-Fei Li, raising fund III</t>
  </si>
  <si>
    <t>Radical Ventures</t>
  </si>
  <si>
    <t>Battery Ventures</t>
  </si>
  <si>
    <t>Essential AI</t>
  </si>
  <si>
    <t>Thrive Capital</t>
  </si>
  <si>
    <t>Lux Capital</t>
  </si>
  <si>
    <t>Khosla Ventures</t>
  </si>
  <si>
    <t>Redpoint</t>
  </si>
  <si>
    <t>FirstMark</t>
  </si>
  <si>
    <t>Kumo.ai</t>
  </si>
  <si>
    <t>SVA</t>
  </si>
  <si>
    <t>Franklin Templeton Investments</t>
  </si>
  <si>
    <t>Bessemer Venture Partners</t>
  </si>
  <si>
    <t>Sequoia Capital China</t>
  </si>
  <si>
    <t>Amplify</t>
  </si>
  <si>
    <t>Wellington</t>
  </si>
  <si>
    <t>Celesta Capital</t>
  </si>
  <si>
    <t>Kleiner Perkins</t>
  </si>
  <si>
    <t>CITIC Securities (CPE)</t>
  </si>
  <si>
    <t>Walden International (Walden Riverwood)</t>
  </si>
  <si>
    <t>Observe AI</t>
  </si>
  <si>
    <t>Menlo Ventures</t>
  </si>
  <si>
    <t>March Capital</t>
  </si>
  <si>
    <t>Accel</t>
  </si>
  <si>
    <t>Bosch Ventures</t>
  </si>
  <si>
    <t>Series C-1</t>
  </si>
  <si>
    <t>Foundation Capital</t>
  </si>
  <si>
    <t>ICONIQ</t>
  </si>
  <si>
    <t>Blackrock</t>
  </si>
  <si>
    <t>Salesforce Ventures</t>
  </si>
  <si>
    <t>Intel Capital</t>
  </si>
  <si>
    <t>Zuva</t>
  </si>
  <si>
    <t>Rasgo</t>
  </si>
  <si>
    <t>Insight Partners</t>
  </si>
  <si>
    <t>Waymo</t>
  </si>
  <si>
    <t>Temasek</t>
  </si>
  <si>
    <t>Kumo</t>
  </si>
  <si>
    <t>Sequoia</t>
  </si>
  <si>
    <t>Hippocratic AI</t>
  </si>
  <si>
    <t>General Catalyst</t>
  </si>
  <si>
    <t>AutoNation</t>
  </si>
  <si>
    <t>Magna</t>
  </si>
  <si>
    <t>Inflection AI</t>
  </si>
  <si>
    <t>Greylock</t>
  </si>
  <si>
    <t>75</t>
  </si>
  <si>
    <t>Tencent</t>
  </si>
  <si>
    <t>NEA</t>
  </si>
  <si>
    <t>Perry Creek</t>
  </si>
  <si>
    <t>Fidelity</t>
  </si>
  <si>
    <t>CPPIB</t>
  </si>
  <si>
    <t>T. Rowe Price</t>
  </si>
  <si>
    <t>Silver Lake</t>
  </si>
  <si>
    <t>Mubadala</t>
  </si>
  <si>
    <t>Eleven Labs</t>
  </si>
  <si>
    <t>Hippocratic</t>
  </si>
  <si>
    <t>a16z</t>
  </si>
  <si>
    <t>Google (Capital G, GV, Verily)</t>
  </si>
  <si>
    <t>Vianai</t>
  </si>
  <si>
    <t>Softbank</t>
  </si>
  <si>
    <t>Notes</t>
  </si>
  <si>
    <t>Series D+</t>
  </si>
  <si>
    <t>Now</t>
  </si>
  <si>
    <t>Founded</t>
  </si>
  <si>
    <t>% AI</t>
  </si>
  <si>
    <t>AUM</t>
  </si>
  <si>
    <t>Date</t>
  </si>
  <si>
    <t>Size</t>
  </si>
  <si>
    <t>Raised</t>
  </si>
  <si>
    <t>Company</t>
  </si>
  <si>
    <t>Round</t>
  </si>
  <si>
    <t>Fund</t>
  </si>
  <si>
    <t>P&amp;L</t>
  </si>
  <si>
    <t>Current Val</t>
  </si>
  <si>
    <t>Invested Val</t>
  </si>
  <si>
    <t>Main</t>
  </si>
  <si>
    <t>YourHana.ai</t>
  </si>
  <si>
    <t>Waabi</t>
  </si>
  <si>
    <t>Viz.AI</t>
  </si>
  <si>
    <t>Vectra</t>
  </si>
  <si>
    <t>Vannevar</t>
  </si>
  <si>
    <t>Trigo</t>
  </si>
  <si>
    <t>Slingshot Aerospace</t>
  </si>
  <si>
    <t>RevComm</t>
  </si>
  <si>
    <t>PathAI</t>
  </si>
  <si>
    <t>Ironclad</t>
  </si>
  <si>
    <t>Farmwise</t>
  </si>
  <si>
    <t>Coactive AI</t>
  </si>
  <si>
    <t>Clari</t>
  </si>
  <si>
    <t>Canvas</t>
  </si>
  <si>
    <t>Bayesian Health</t>
  </si>
  <si>
    <t>Abnormal Security</t>
  </si>
  <si>
    <t>Insitro</t>
  </si>
  <si>
    <t>Blippar</t>
  </si>
  <si>
    <t>Exyn Technologies</t>
  </si>
  <si>
    <t>Appier</t>
  </si>
  <si>
    <t>Machinify</t>
  </si>
  <si>
    <t>Instabase</t>
  </si>
  <si>
    <t>Vast.ai</t>
  </si>
  <si>
    <t>Pateo</t>
  </si>
  <si>
    <t>Mov.ai</t>
  </si>
  <si>
    <t>Gradient AI</t>
  </si>
  <si>
    <t>HiveIO</t>
  </si>
  <si>
    <t>AIAdvertising</t>
  </si>
  <si>
    <t>Tangent.ai</t>
  </si>
  <si>
    <t>Imagen Technologies</t>
  </si>
  <si>
    <t>Ayasdi</t>
  </si>
  <si>
    <t>Metagenomi</t>
  </si>
  <si>
    <t>Sloyd</t>
  </si>
  <si>
    <t>ElementI</t>
  </si>
  <si>
    <t>Hailo</t>
  </si>
  <si>
    <t>prplex (fsck.ai)</t>
  </si>
  <si>
    <t>Mobvoi</t>
  </si>
  <si>
    <t>BIGO Technology</t>
  </si>
  <si>
    <t>1X</t>
  </si>
  <si>
    <t>Zoox</t>
  </si>
  <si>
    <t>Nio</t>
  </si>
  <si>
    <t>FlashPCB</t>
  </si>
  <si>
    <t>Interactions</t>
  </si>
  <si>
    <t>Medivis</t>
  </si>
  <si>
    <t>Farm Technologies</t>
  </si>
  <si>
    <t>Behaviol</t>
  </si>
  <si>
    <t>Tarrasmart</t>
  </si>
  <si>
    <t>Algatha</t>
  </si>
  <si>
    <t>Ava Robotics</t>
  </si>
  <si>
    <t>Noon.ai</t>
  </si>
  <si>
    <t>Kinect AI</t>
  </si>
  <si>
    <t>Unsupervised AI</t>
  </si>
  <si>
    <t>Zhihu (China)</t>
  </si>
  <si>
    <t>Recurrent AI (NLP, China)</t>
  </si>
  <si>
    <t>DeepLang AI (China)</t>
  </si>
  <si>
    <t>ICOMWELL</t>
  </si>
  <si>
    <t>Bespoke</t>
  </si>
  <si>
    <t>Wave Computing</t>
  </si>
  <si>
    <t>Unbabel</t>
  </si>
  <si>
    <t>Suki</t>
  </si>
  <si>
    <t>Sonicbox</t>
  </si>
  <si>
    <t>Call Connect</t>
  </si>
  <si>
    <t>DeepFiction AI</t>
  </si>
  <si>
    <t>Ingest AI</t>
  </si>
  <si>
    <t>text.com</t>
  </si>
  <si>
    <t>Crait.it</t>
  </si>
  <si>
    <t>Vedia.ai</t>
  </si>
  <si>
    <t>Abtesting.ai</t>
  </si>
  <si>
    <t>AI-writer.com</t>
  </si>
  <si>
    <t>AISEO.ai</t>
  </si>
  <si>
    <t>Amazing.photos</t>
  </si>
  <si>
    <t>Avatar AI</t>
  </si>
  <si>
    <t>Bertha.ai</t>
  </si>
  <si>
    <t>Capacities</t>
  </si>
  <si>
    <t>ChibiAI</t>
  </si>
  <si>
    <t>CodePilot.ai</t>
  </si>
  <si>
    <t>Consizely</t>
  </si>
  <si>
    <t>Contenda</t>
  </si>
  <si>
    <t>ContentBot.ai</t>
  </si>
  <si>
    <t>Contentelly</t>
  </si>
  <si>
    <t>Copymatic</t>
  </si>
  <si>
    <t>Debuild</t>
  </si>
  <si>
    <t>Deep Dream Generator</t>
  </si>
  <si>
    <t>DrawAnyone</t>
  </si>
  <si>
    <t>DreamFusion</t>
  </si>
  <si>
    <t>Excelformulabot</t>
  </si>
  <si>
    <t>Fermat.ws</t>
  </si>
  <si>
    <t>Fliki</t>
  </si>
  <si>
    <t>Galactica (Amazon, galactica.org)</t>
  </si>
  <si>
    <t>Geniverse</t>
  </si>
  <si>
    <t>Deep Mind Gopher</t>
  </si>
  <si>
    <t>Headlime</t>
  </si>
  <si>
    <t>Hi4.ai</t>
  </si>
  <si>
    <t>Ink (inkforall.com)</t>
  </si>
  <si>
    <t>Interior AI</t>
  </si>
  <si>
    <t>Kafkai</t>
  </si>
  <si>
    <t>Kai</t>
  </si>
  <si>
    <t>LanguageTool</t>
  </si>
  <si>
    <t>Leonardo.ai</t>
  </si>
  <si>
    <t>Lex.page</t>
  </si>
  <si>
    <t>LEXAI.com</t>
  </si>
  <si>
    <t>Loora</t>
  </si>
  <si>
    <t>Looria</t>
  </si>
  <si>
    <t>Lyne.ai</t>
  </si>
  <si>
    <t>Maestra</t>
  </si>
  <si>
    <t>Magic Copy</t>
  </si>
  <si>
    <t>MetaDialog</t>
  </si>
  <si>
    <t>Minerva Solutions</t>
  </si>
  <si>
    <t>Neural.love</t>
  </si>
  <si>
    <t>Nichesss</t>
  </si>
  <si>
    <t>NLP Cloud</t>
  </si>
  <si>
    <t>NoteVibes</t>
  </si>
  <si>
    <t>Here Be Taverns</t>
  </si>
  <si>
    <t>Nyx.gallery</t>
  </si>
  <si>
    <t>Opus</t>
  </si>
  <si>
    <t>Osmosis</t>
  </si>
  <si>
    <t>ParagraphAI</t>
  </si>
  <si>
    <t>Podcast.ai</t>
  </si>
  <si>
    <t>ProWritingAid</t>
  </si>
  <si>
    <t>Qopywriter.ai</t>
  </si>
  <si>
    <t>Quantamix Solutions</t>
  </si>
  <si>
    <t>Rytr</t>
  </si>
  <si>
    <t>SEO.ai</t>
  </si>
  <si>
    <t>ShowHue</t>
  </si>
  <si>
    <t>Shuffll</t>
  </si>
  <si>
    <t>Subtxt</t>
  </si>
  <si>
    <t>Surfer</t>
  </si>
  <si>
    <t>Synthesys</t>
  </si>
  <si>
    <t>Thundercontent</t>
  </si>
  <si>
    <t>TDLR This</t>
  </si>
  <si>
    <t>Vizologi</t>
  </si>
  <si>
    <t>writerly</t>
  </si>
  <si>
    <t>AdCreative</t>
  </si>
  <si>
    <t>AI2sql</t>
  </si>
  <si>
    <t>Aragon</t>
  </si>
  <si>
    <t>ArtBreeder</t>
  </si>
  <si>
    <t>Article Forge</t>
  </si>
  <si>
    <t>AutoEnhance.ai</t>
  </si>
  <si>
    <t>B/BLOQS</t>
  </si>
  <si>
    <t>Beewriter</t>
  </si>
  <si>
    <t>Blend</t>
  </si>
  <si>
    <t>Broadn</t>
  </si>
  <si>
    <t>BuildAI</t>
  </si>
  <si>
    <t>Clickable</t>
  </si>
  <si>
    <t>Crone AI</t>
  </si>
  <si>
    <t>Closers Copy</t>
  </si>
  <si>
    <t>Conto</t>
  </si>
  <si>
    <t>Copy Shark</t>
  </si>
  <si>
    <t>Craftly</t>
  </si>
  <si>
    <t>Deep Design Systems</t>
  </si>
  <si>
    <t>Electric Noir Studios</t>
  </si>
  <si>
    <t>Flawless</t>
  </si>
  <si>
    <t>Flewently</t>
  </si>
  <si>
    <t>Flowful</t>
  </si>
  <si>
    <t>Fluento</t>
  </si>
  <si>
    <t>GenieLabs</t>
  </si>
  <si>
    <t>Alpaca (getalpaca.io)</t>
  </si>
  <si>
    <t>Aspect</t>
  </si>
  <si>
    <t>Glimpse.ai</t>
  </si>
  <si>
    <t>Moonbeam</t>
  </si>
  <si>
    <t>Gooey.ai</t>
  </si>
  <si>
    <t>Growth Marketing Pro</t>
  </si>
  <si>
    <t>Kartiv</t>
  </si>
  <si>
    <t>LALAL</t>
  </si>
  <si>
    <t>LitRPG</t>
  </si>
  <si>
    <t>Mage.space</t>
  </si>
  <si>
    <t>Reach (magicreach.ai)</t>
  </si>
  <si>
    <t>Mark (markcopy.ai)</t>
  </si>
  <si>
    <t>MirryAI</t>
  </si>
  <si>
    <t>Musico</t>
  </si>
  <si>
    <t>Napkin</t>
  </si>
  <si>
    <t>NeuralText</t>
  </si>
  <si>
    <t>NLP Labs</t>
  </si>
  <si>
    <t>Nyle</t>
  </si>
  <si>
    <t>Outranking</t>
  </si>
  <si>
    <t>Outwrite</t>
  </si>
  <si>
    <t>Panjaya</t>
  </si>
  <si>
    <t>Penelope</t>
  </si>
  <si>
    <t>Peppertype.ai</t>
  </si>
  <si>
    <t>Phaito</t>
  </si>
  <si>
    <t>Plnia</t>
  </si>
  <si>
    <t>Ponzu</t>
  </si>
  <si>
    <t>Profile Picture</t>
  </si>
  <si>
    <t>ReadSpeaker</t>
  </si>
  <si>
    <t>Removebg</t>
  </si>
  <si>
    <t>Samespace</t>
  </si>
  <si>
    <t>Shakespeare</t>
  </si>
  <si>
    <t>ShortlyAI</t>
  </si>
  <si>
    <t>Social Keyboard</t>
  </si>
  <si>
    <t>Sonify</t>
  </si>
  <si>
    <t>Starryai</t>
  </si>
  <si>
    <t>Storywizard.ai</t>
  </si>
  <si>
    <t>Strmr</t>
  </si>
  <si>
    <t>Tailorbird</t>
  </si>
  <si>
    <t>Textmetrics</t>
  </si>
  <si>
    <t>The Culture DAO</t>
  </si>
  <si>
    <t>Trinka</t>
  </si>
  <si>
    <t>UnScreen</t>
  </si>
  <si>
    <t>Blackbox</t>
  </si>
  <si>
    <t>Topic</t>
  </si>
  <si>
    <t>Wokelo.ai</t>
  </si>
  <si>
    <t>Xoltar</t>
  </si>
  <si>
    <t>Zubtitle</t>
  </si>
  <si>
    <t>Kadoa</t>
  </si>
  <si>
    <t>PicUp.ai</t>
  </si>
  <si>
    <t>Stockimg.ai</t>
  </si>
  <si>
    <t>Whizle</t>
  </si>
  <si>
    <t>Valdi</t>
  </si>
  <si>
    <t>Sequome</t>
  </si>
  <si>
    <t>Sefi AI</t>
  </si>
  <si>
    <t>Hally AI</t>
  </si>
  <si>
    <t>Glimmer AI</t>
  </si>
  <si>
    <t>Ecomtent</t>
  </si>
  <si>
    <t>QuizMe</t>
  </si>
  <si>
    <t>Mesolitica</t>
  </si>
  <si>
    <t>Sloped.xyz</t>
  </si>
  <si>
    <t>DeepWord</t>
  </si>
  <si>
    <t>Listnr</t>
  </si>
  <si>
    <t>Avaturn</t>
  </si>
  <si>
    <t>LongShot AI</t>
  </si>
  <si>
    <t>Broca</t>
  </si>
  <si>
    <t>Twig.so</t>
  </si>
  <si>
    <t>Koalluh</t>
  </si>
  <si>
    <t>Pathway</t>
  </si>
  <si>
    <t>YoDayo</t>
  </si>
  <si>
    <t>GetAnswer</t>
  </si>
  <si>
    <t>CopyMonkey</t>
  </si>
  <si>
    <t>Lumen5</t>
  </si>
  <si>
    <t>Creatext</t>
  </si>
  <si>
    <t>Maket</t>
  </si>
  <si>
    <t>Enzyme</t>
  </si>
  <si>
    <t>Incentivai</t>
  </si>
  <si>
    <t>SharePay</t>
  </si>
  <si>
    <t>Quickchat</t>
  </si>
  <si>
    <t>Bloop</t>
  </si>
  <si>
    <t>MutableAI</t>
  </si>
  <si>
    <t>reKnow</t>
  </si>
  <si>
    <t>Write with LAIKA</t>
  </si>
  <si>
    <t>Sapling.ai</t>
  </si>
  <si>
    <t>BeyondWords</t>
  </si>
  <si>
    <t>Myth.ai</t>
  </si>
  <si>
    <t>SampleAd</t>
  </si>
  <si>
    <t>Kaedim</t>
  </si>
  <si>
    <t>Scholarcy</t>
  </si>
  <si>
    <t>Jenni</t>
  </si>
  <si>
    <t>MolinAI</t>
  </si>
  <si>
    <t>PatentPal</t>
  </si>
  <si>
    <t>Wisecut</t>
  </si>
  <si>
    <t>Elomia</t>
  </si>
  <si>
    <t>Hexo</t>
  </si>
  <si>
    <t>Seenapse</t>
  </si>
  <si>
    <t>Unthink AI</t>
  </si>
  <si>
    <t>Digital Recipe</t>
  </si>
  <si>
    <t>Kirin</t>
  </si>
  <si>
    <t>Parsnip</t>
  </si>
  <si>
    <t>Pally</t>
  </si>
  <si>
    <t>Sage SEO</t>
  </si>
  <si>
    <t>Axiom AI</t>
  </si>
  <si>
    <t>Felvin</t>
  </si>
  <si>
    <t>AudioLabs</t>
  </si>
  <si>
    <t>ForceField IO</t>
  </si>
  <si>
    <t>Zebracat</t>
  </si>
  <si>
    <t>Motorica</t>
  </si>
  <si>
    <t>Kamua</t>
  </si>
  <si>
    <t>Glasp</t>
  </si>
  <si>
    <t>Maya</t>
  </si>
  <si>
    <t>Rubbrband</t>
  </si>
  <si>
    <t>UberDuck</t>
  </si>
  <si>
    <t>AskEdith</t>
  </si>
  <si>
    <t>Harmonai (stability?)</t>
  </si>
  <si>
    <t>Inventurist</t>
  </si>
  <si>
    <t>Delv AI</t>
  </si>
  <si>
    <t>Correcto</t>
  </si>
  <si>
    <t>Save All</t>
  </si>
  <si>
    <t>Edgi Learning</t>
  </si>
  <si>
    <t>Keys (thekeys.ai)</t>
  </si>
  <si>
    <t>Speechki</t>
  </si>
  <si>
    <t>Coxwave</t>
  </si>
  <si>
    <t>Sayso</t>
  </si>
  <si>
    <t>Dubverse</t>
  </si>
  <si>
    <t>Neuroflash</t>
  </si>
  <si>
    <t>LoopinHQ</t>
  </si>
  <si>
    <t>SciSpace</t>
  </si>
  <si>
    <t>WordLift</t>
  </si>
  <si>
    <t>Frase</t>
  </si>
  <si>
    <t>GoatChat</t>
  </si>
  <si>
    <t>Cerebrate AI</t>
  </si>
  <si>
    <t>Linguix</t>
  </si>
  <si>
    <t>Replica Analytics</t>
  </si>
  <si>
    <t>Aug X Labs</t>
  </si>
  <si>
    <t>Berserq</t>
  </si>
  <si>
    <t>Beatoven.ai</t>
  </si>
  <si>
    <t>DigitalFirst</t>
  </si>
  <si>
    <t>Workorder AI</t>
  </si>
  <si>
    <t>NeuraLoom</t>
  </si>
  <si>
    <t>Kaizan</t>
  </si>
  <si>
    <t>Vidyo</t>
  </si>
  <si>
    <t>SuperCreator</t>
  </si>
  <si>
    <t>Zeta Alpha</t>
  </si>
  <si>
    <t>TextCortex AI</t>
  </si>
  <si>
    <t>GoCharlie</t>
  </si>
  <si>
    <t>WriterZen</t>
  </si>
  <si>
    <t>Tuney</t>
  </si>
  <si>
    <t>WaveAI</t>
  </si>
  <si>
    <t>Hypertype</t>
  </si>
  <si>
    <t>Botika</t>
  </si>
  <si>
    <t>Octopize</t>
  </si>
  <si>
    <t>Notably</t>
  </si>
  <si>
    <t>Respeecher</t>
  </si>
  <si>
    <t>OpenArt</t>
  </si>
  <si>
    <t>ZibraAI</t>
  </si>
  <si>
    <t>NeuroX1</t>
  </si>
  <si>
    <t>United Robots</t>
  </si>
  <si>
    <t>Amadeus Code</t>
  </si>
  <si>
    <t>Munch</t>
  </si>
  <si>
    <t>SoundRaw</t>
  </si>
  <si>
    <t>Ecrett</t>
  </si>
  <si>
    <t>Upword</t>
  </si>
  <si>
    <t>aiXcoder</t>
  </si>
  <si>
    <t>GGPredict</t>
  </si>
  <si>
    <t>Boltzbit</t>
  </si>
  <si>
    <t>Aflorithmic</t>
  </si>
  <si>
    <t>Botco</t>
  </si>
  <si>
    <t>Codiga</t>
  </si>
  <si>
    <t>TrueFoundry</t>
  </si>
  <si>
    <t>Krea</t>
  </si>
  <si>
    <t>Betterdata</t>
  </si>
  <si>
    <t>Depix</t>
  </si>
  <si>
    <t>Hypar</t>
  </si>
  <si>
    <t>Andi</t>
  </si>
  <si>
    <t>Lalaland</t>
  </si>
  <si>
    <t>Sonantic</t>
  </si>
  <si>
    <t>Pilot</t>
  </si>
  <si>
    <t>OASIS</t>
  </si>
  <si>
    <t>Maverick</t>
  </si>
  <si>
    <t>Akooda</t>
  </si>
  <si>
    <t>Pragma</t>
  </si>
  <si>
    <t>Cala</t>
  </si>
  <si>
    <t>Hipsto</t>
  </si>
  <si>
    <t>Stylo</t>
  </si>
  <si>
    <t>Zocket</t>
  </si>
  <si>
    <t>NeuralSpace</t>
  </si>
  <si>
    <t>Windsor</t>
  </si>
  <si>
    <t>Attention</t>
  </si>
  <si>
    <t>Summari</t>
  </si>
  <si>
    <t>MonkeyLearn</t>
  </si>
  <si>
    <t>Ydata</t>
  </si>
  <si>
    <t>Cohere (Ramp)</t>
  </si>
  <si>
    <t>Altered</t>
  </si>
  <si>
    <t>Typewise</t>
  </si>
  <si>
    <t>NuMind</t>
  </si>
  <si>
    <t>OneView</t>
  </si>
  <si>
    <t>Potion</t>
  </si>
  <si>
    <t>Scalenut</t>
  </si>
  <si>
    <t>Agolo</t>
  </si>
  <si>
    <t>Supertone</t>
  </si>
  <si>
    <t>XOKind</t>
  </si>
  <si>
    <t>Variational AI</t>
  </si>
  <si>
    <t>Lighton</t>
  </si>
  <si>
    <t>Pencil</t>
  </si>
  <si>
    <t>Poly (withpoly.com)</t>
  </si>
  <si>
    <t>Reduct Video</t>
  </si>
  <si>
    <t>Staircase</t>
  </si>
  <si>
    <t>The.com</t>
  </si>
  <si>
    <t>Clawdia</t>
  </si>
  <si>
    <t>10Web</t>
  </si>
  <si>
    <t>Weave.ai</t>
  </si>
  <si>
    <t>EmbodyMe</t>
  </si>
  <si>
    <t>Conversion Maker</t>
  </si>
  <si>
    <t>Voiseed</t>
  </si>
  <si>
    <t>Dynamo</t>
  </si>
  <si>
    <t>Quillbot</t>
  </si>
  <si>
    <t>Dob Studio</t>
  </si>
  <si>
    <t>Contlo</t>
  </si>
  <si>
    <t>Boomy</t>
  </si>
  <si>
    <t>Skippr</t>
  </si>
  <si>
    <t>Speechify</t>
  </si>
  <si>
    <t>Poised</t>
  </si>
  <si>
    <t>Hypothetic</t>
  </si>
  <si>
    <t>Codex</t>
  </si>
  <si>
    <t>Twain</t>
  </si>
  <si>
    <t>Cass</t>
  </si>
  <si>
    <t>Pluralytics</t>
  </si>
  <si>
    <t>Obviously.ai</t>
  </si>
  <si>
    <t>Novus Writer</t>
  </si>
  <si>
    <t>Neurolabs</t>
  </si>
  <si>
    <t>Wand</t>
  </si>
  <si>
    <t>Demandwell</t>
  </si>
  <si>
    <t>Netail</t>
  </si>
  <si>
    <t>Certainly</t>
  </si>
  <si>
    <t>Flowrite</t>
  </si>
  <si>
    <t>Astrid</t>
  </si>
  <si>
    <t>Phrasee</t>
  </si>
  <si>
    <t>Reface</t>
  </si>
  <si>
    <t>Syntegra</t>
  </si>
  <si>
    <t>Cradle</t>
  </si>
  <si>
    <t>DeckRobot</t>
  </si>
  <si>
    <t>Scenario</t>
  </si>
  <si>
    <t>Masterpiece Studio</t>
  </si>
  <si>
    <t>Prisma Labs</t>
  </si>
  <si>
    <t>SliceX AI</t>
  </si>
  <si>
    <t>Peech</t>
  </si>
  <si>
    <t>Colossyan</t>
  </si>
  <si>
    <t>Data Skrive</t>
  </si>
  <si>
    <t>Zenlytic</t>
  </si>
  <si>
    <t>BrandMuscle</t>
  </si>
  <si>
    <t>Bloom</t>
  </si>
  <si>
    <t>Detail</t>
  </si>
  <si>
    <t>theGist</t>
  </si>
  <si>
    <t>Tymely</t>
  </si>
  <si>
    <t>Kiliba</t>
  </si>
  <si>
    <t>Quattr</t>
  </si>
  <si>
    <t>TermScout</t>
  </si>
  <si>
    <t>Metaphysic</t>
  </si>
  <si>
    <t>GlossAI</t>
  </si>
  <si>
    <t>Verloop</t>
  </si>
  <si>
    <t>Contents</t>
  </si>
  <si>
    <t>Vozy</t>
  </si>
  <si>
    <t>DataHawk</t>
  </si>
  <si>
    <t>Personal.ai</t>
  </si>
  <si>
    <t>Valence</t>
  </si>
  <si>
    <t>Podcastle</t>
  </si>
  <si>
    <t>HeyGen</t>
  </si>
  <si>
    <t>Profluent</t>
  </si>
  <si>
    <t>Tiamat World</t>
  </si>
  <si>
    <t>MarketMuse</t>
  </si>
  <si>
    <t>Outplay</t>
  </si>
  <si>
    <t>DhiWise</t>
  </si>
  <si>
    <t>NLX</t>
  </si>
  <si>
    <t>Amberscript</t>
  </si>
  <si>
    <t>UneeQ</t>
  </si>
  <si>
    <t>Bria</t>
  </si>
  <si>
    <t>Mindtech</t>
  </si>
  <si>
    <t>Moises</t>
  </si>
  <si>
    <t>The Simulation</t>
  </si>
  <si>
    <t>Intento</t>
  </si>
  <si>
    <t>Simplified</t>
  </si>
  <si>
    <t>Viable</t>
  </si>
  <si>
    <t>Fy!</t>
  </si>
  <si>
    <t>Ginger</t>
  </si>
  <si>
    <t>Zero</t>
  </si>
  <si>
    <t>Jio Haptik</t>
  </si>
  <si>
    <t>Durable</t>
  </si>
  <si>
    <t>Lang.ai</t>
  </si>
  <si>
    <t>EvenUp</t>
  </si>
  <si>
    <t>NeoTax</t>
  </si>
  <si>
    <t>Yepic</t>
  </si>
  <si>
    <t>Madgicx</t>
  </si>
  <si>
    <t>Hazy</t>
  </si>
  <si>
    <t>Deepset</t>
  </si>
  <si>
    <t>LifeScore</t>
  </si>
  <si>
    <t>Beautiful.ai</t>
  </si>
  <si>
    <t>Vu Technologies</t>
  </si>
  <si>
    <t>Krisp</t>
  </si>
  <si>
    <t>Raft</t>
  </si>
  <si>
    <t>Uizard</t>
  </si>
  <si>
    <t>Pepper Content</t>
  </si>
  <si>
    <t>PhotoRoom</t>
  </si>
  <si>
    <t>Vectara</t>
  </si>
  <si>
    <t>AiMi</t>
  </si>
  <si>
    <t>Salad</t>
  </si>
  <si>
    <t>Endel</t>
  </si>
  <si>
    <t>Archistar</t>
  </si>
  <si>
    <t>TestFit</t>
  </si>
  <si>
    <t>Warp</t>
  </si>
  <si>
    <t>Splash</t>
  </si>
  <si>
    <t>Symbl</t>
  </si>
  <si>
    <t>Darrow</t>
  </si>
  <si>
    <t>Iterative</t>
  </si>
  <si>
    <t>Chooch AI</t>
  </si>
  <si>
    <t>Ultimate</t>
  </si>
  <si>
    <t>AI Foundation</t>
  </si>
  <si>
    <t>Air Inc</t>
  </si>
  <si>
    <t>Corti</t>
  </si>
  <si>
    <t>Codacy</t>
  </si>
  <si>
    <t>Datachat</t>
  </si>
  <si>
    <t>Aqemia</t>
  </si>
  <si>
    <t>EliseAI</t>
  </si>
  <si>
    <t>iGenius</t>
  </si>
  <si>
    <t>Papercup</t>
  </si>
  <si>
    <t>Matroid</t>
  </si>
  <si>
    <t>Veed</t>
  </si>
  <si>
    <t>Maker AI</t>
  </si>
  <si>
    <t>Unbounce</t>
  </si>
  <si>
    <t>Mavenoid</t>
  </si>
  <si>
    <t>Atomic AI</t>
  </si>
  <si>
    <t>Textio</t>
  </si>
  <si>
    <t>You.com</t>
  </si>
  <si>
    <t>Riverside.fm</t>
  </si>
  <si>
    <t>Balto</t>
  </si>
  <si>
    <t>DeepBrain AI</t>
  </si>
  <si>
    <t>InVideo</t>
  </si>
  <si>
    <t>Triple Whale</t>
  </si>
  <si>
    <t>Walnut</t>
  </si>
  <si>
    <t>Magnifi</t>
  </si>
  <si>
    <t>Persado</t>
  </si>
  <si>
    <t>SeMi Technologies</t>
  </si>
  <si>
    <t>Creative Fabrica</t>
  </si>
  <si>
    <t>Mutiny</t>
  </si>
  <si>
    <t>Kasisto</t>
  </si>
  <si>
    <t>Ushur</t>
  </si>
  <si>
    <t>Eleuther</t>
  </si>
  <si>
    <t>MDClone</t>
  </si>
  <si>
    <t>InstaDeep</t>
  </si>
  <si>
    <t>Soul Machines</t>
  </si>
  <si>
    <t>Instoried</t>
  </si>
  <si>
    <t>DupDub</t>
  </si>
  <si>
    <t>Lightricks</t>
  </si>
  <si>
    <t>Datastax</t>
  </si>
  <si>
    <t>ASAPP</t>
  </si>
  <si>
    <t>Grammarly</t>
  </si>
  <si>
    <t>Dialpad</t>
  </si>
  <si>
    <t>Algotive</t>
  </si>
  <si>
    <t>Smith.ai</t>
  </si>
  <si>
    <t>Second Life</t>
  </si>
  <si>
    <t>Picterra</t>
  </si>
  <si>
    <t>ZMO.ai</t>
  </si>
  <si>
    <t>Flowise AI</t>
  </si>
  <si>
    <t>Conductive AI</t>
  </si>
  <si>
    <t>Cogniflow AI</t>
  </si>
  <si>
    <t>Depict.ai</t>
  </si>
  <si>
    <t>Keymate</t>
  </si>
  <si>
    <t>mayk.it</t>
  </si>
  <si>
    <t>TopMedi AI</t>
  </si>
  <si>
    <t>wrnch</t>
  </si>
  <si>
    <t>Private</t>
  </si>
  <si>
    <t>Luma AI</t>
  </si>
  <si>
    <t>EvolutionIQ</t>
  </si>
  <si>
    <t>Owkin</t>
  </si>
  <si>
    <t>causaLens</t>
  </si>
  <si>
    <t>Verteego</t>
  </si>
  <si>
    <t>Inventoro</t>
  </si>
  <si>
    <t>Sematell</t>
  </si>
  <si>
    <t>Concerto Health AI</t>
  </si>
  <si>
    <t>Mya Systems</t>
  </si>
  <si>
    <t>Cognosys AI</t>
  </si>
  <si>
    <t>ThoughtAI</t>
  </si>
  <si>
    <t>Carta Healthcare</t>
  </si>
  <si>
    <t>Paro</t>
  </si>
  <si>
    <t>mfine</t>
  </si>
  <si>
    <t>YC W23</t>
  </si>
  <si>
    <t>OpenSight</t>
  </si>
  <si>
    <t>Ivy</t>
  </si>
  <si>
    <t>Lavo Life Sciences</t>
  </si>
  <si>
    <t>AlphaWatch AI</t>
  </si>
  <si>
    <t>Chima</t>
  </si>
  <si>
    <t>Nucleus</t>
  </si>
  <si>
    <t>Avoca</t>
  </si>
  <si>
    <t>Middleware</t>
  </si>
  <si>
    <t>Stack AI</t>
  </si>
  <si>
    <t>Cardinal</t>
  </si>
  <si>
    <t>Linum</t>
  </si>
  <si>
    <t>Traceloop</t>
  </si>
  <si>
    <t>Syncly</t>
  </si>
  <si>
    <t>Layup</t>
  </si>
  <si>
    <t>Credal.ai</t>
  </si>
  <si>
    <t>Rollstack</t>
  </si>
  <si>
    <t>Paperplane</t>
  </si>
  <si>
    <t>Lume</t>
  </si>
  <si>
    <t>Latent</t>
  </si>
  <si>
    <t>pyq</t>
  </si>
  <si>
    <t>Rosettic</t>
  </si>
  <si>
    <t>CodeComplete</t>
  </si>
  <si>
    <t>Parabolic</t>
  </si>
  <si>
    <t>Rubber Ducky Labs</t>
  </si>
  <si>
    <t>Pair AI</t>
  </si>
  <si>
    <t>Tennr</t>
  </si>
  <si>
    <t>OfOne</t>
  </si>
  <si>
    <t>JustPaid.io</t>
  </si>
  <si>
    <t>PoplarML</t>
  </si>
  <si>
    <t>Zenfetch</t>
  </si>
  <si>
    <t>CreatorML</t>
  </si>
  <si>
    <t>Neptyne</t>
  </si>
  <si>
    <t>LinkGrep</t>
  </si>
  <si>
    <t>Flower</t>
  </si>
  <si>
    <t>Buildt</t>
  </si>
  <si>
    <t>Chart</t>
  </si>
  <si>
    <t>Haven</t>
  </si>
  <si>
    <t>Intently</t>
  </si>
  <si>
    <t>Dream#d</t>
  </si>
  <si>
    <t>Anarchy</t>
  </si>
  <si>
    <t>Outerbase</t>
  </si>
  <si>
    <t>langfuse</t>
  </si>
  <si>
    <t>Extend</t>
  </si>
  <si>
    <t>Squack</t>
  </si>
  <si>
    <t>Iliad</t>
  </si>
  <si>
    <t>OpenMeter</t>
  </si>
  <si>
    <t>Plutis</t>
  </si>
  <si>
    <t>inkeep</t>
  </si>
  <si>
    <t>GradientJ</t>
  </si>
  <si>
    <t>EzDubs</t>
  </si>
  <si>
    <t>Wild Moose</t>
  </si>
  <si>
    <t>Truewind</t>
  </si>
  <si>
    <t>Orchid</t>
  </si>
  <si>
    <t>Magicflow</t>
  </si>
  <si>
    <t>Helicone</t>
  </si>
  <si>
    <t>Ariglad</t>
  </si>
  <si>
    <t>222</t>
  </si>
  <si>
    <t>Fintool</t>
  </si>
  <si>
    <t>Gloo</t>
  </si>
  <si>
    <t>Defog.ai</t>
  </si>
  <si>
    <t>Semantic Finance</t>
  </si>
  <si>
    <t>Hadrius</t>
  </si>
  <si>
    <t>Fairway Health</t>
  </si>
  <si>
    <t>Kurukuru</t>
  </si>
  <si>
    <t>SPRX</t>
  </si>
  <si>
    <t>Psychic</t>
  </si>
  <si>
    <t>Waveline</t>
  </si>
  <si>
    <t>Uptrain AI</t>
  </si>
  <si>
    <t>Clueso</t>
  </si>
  <si>
    <t>Baselit</t>
  </si>
  <si>
    <t>MagnaPlay</t>
  </si>
  <si>
    <t>Coldreach</t>
  </si>
  <si>
    <t>Quazel</t>
  </si>
  <si>
    <t>Diffuse Bio</t>
  </si>
  <si>
    <t>Planar</t>
  </si>
  <si>
    <t>CorgiAI</t>
  </si>
  <si>
    <t>Turntable</t>
  </si>
  <si>
    <t>DAGWorks</t>
  </si>
  <si>
    <t>DealPage</t>
  </si>
  <si>
    <t>Decoherence</t>
  </si>
  <si>
    <t>Unstatiq</t>
  </si>
  <si>
    <t>Persist AI</t>
  </si>
  <si>
    <t>BabylonAI</t>
  </si>
  <si>
    <t>Vellum</t>
  </si>
  <si>
    <t>Vocode</t>
  </si>
  <si>
    <t>Fabius</t>
  </si>
  <si>
    <t>Luca</t>
  </si>
  <si>
    <t>AiFlow</t>
  </si>
  <si>
    <t>Vector</t>
  </si>
  <si>
    <t>Metal</t>
  </si>
  <si>
    <t>Kyber</t>
  </si>
  <si>
    <t>Persana AI</t>
  </si>
  <si>
    <t>Meru</t>
  </si>
  <si>
    <t>Type</t>
  </si>
  <si>
    <t>Lightski</t>
  </si>
  <si>
    <t>SpeedyBrand</t>
  </si>
  <si>
    <t>Automat</t>
  </si>
  <si>
    <t>Yuma</t>
  </si>
  <si>
    <t>YC S23</t>
  </si>
  <si>
    <t>Reworkd</t>
  </si>
  <si>
    <t>Mano AI</t>
  </si>
  <si>
    <t>Watto AI</t>
  </si>
  <si>
    <t>Linc.</t>
  </si>
  <si>
    <t>ChatSeed</t>
  </si>
  <si>
    <t>Remy Security</t>
  </si>
  <si>
    <t>Wayfind</t>
  </si>
  <si>
    <t>atla</t>
  </si>
  <si>
    <t>Contour</t>
  </si>
  <si>
    <t>Solve Intelligence</t>
  </si>
  <si>
    <t>Spine AI</t>
  </si>
  <si>
    <t>Parea</t>
  </si>
  <si>
    <t>Substantive AI</t>
  </si>
  <si>
    <t>Bronco AI</t>
  </si>
  <si>
    <t>Arcimus</t>
  </si>
  <si>
    <t>Outset</t>
  </si>
  <si>
    <t>Wyvern AI</t>
  </si>
  <si>
    <t>Epsilla</t>
  </si>
  <si>
    <t>Greenlite</t>
  </si>
  <si>
    <t>Respaid</t>
  </si>
  <si>
    <t>Casehopper</t>
  </si>
  <si>
    <t>Guac</t>
  </si>
  <si>
    <t>Trainy</t>
  </si>
  <si>
    <t>Studdy</t>
  </si>
  <si>
    <t>Osium AI</t>
  </si>
  <si>
    <t>Flint</t>
  </si>
  <si>
    <t>Inlet</t>
  </si>
  <si>
    <t>SafetyKit</t>
  </si>
  <si>
    <t>Roundtable</t>
  </si>
  <si>
    <t>sudocode</t>
  </si>
  <si>
    <t>Cyclone</t>
  </si>
  <si>
    <t>Inventive AI</t>
  </si>
  <si>
    <t>Happyrobot</t>
  </si>
  <si>
    <t>Quill AI</t>
  </si>
  <si>
    <t>dili</t>
  </si>
  <si>
    <t>Sero AI</t>
  </si>
  <si>
    <t>AiSDR</t>
  </si>
  <si>
    <t>Structured</t>
  </si>
  <si>
    <t>Nowadays</t>
  </si>
  <si>
    <t>AutoInfra</t>
  </si>
  <si>
    <t>CodeStory</t>
  </si>
  <si>
    <t>Taylor AI</t>
  </si>
  <si>
    <t>Bestever.ai (A6G6)</t>
  </si>
  <si>
    <t>Berri.ai</t>
  </si>
  <si>
    <t>Forethought</t>
  </si>
  <si>
    <t>Chata.ai</t>
  </si>
  <si>
    <t>ChatFirst</t>
  </si>
  <si>
    <t>BenevolentAI</t>
  </si>
  <si>
    <t>aetherAI</t>
  </si>
  <si>
    <t>Rysana</t>
  </si>
  <si>
    <t>Denyify</t>
  </si>
  <si>
    <t>Zira</t>
  </si>
  <si>
    <t>Plotly</t>
  </si>
  <si>
    <t>TextQL</t>
  </si>
  <si>
    <t>Axelera AI</t>
  </si>
  <si>
    <t>MindsDB</t>
  </si>
  <si>
    <t>Spectrm</t>
  </si>
  <si>
    <t>Deepgram</t>
  </si>
  <si>
    <t>Pera Labs</t>
  </si>
  <si>
    <t>IPMD</t>
  </si>
  <si>
    <t>Phantom AI</t>
  </si>
  <si>
    <t>AiFi</t>
  </si>
  <si>
    <t>Covariance</t>
  </si>
  <si>
    <t>Tenstorrent</t>
  </si>
  <si>
    <t>Brightflow AI</t>
  </si>
  <si>
    <t>Tachyum</t>
  </si>
  <si>
    <t>Sumo Logic</t>
  </si>
  <si>
    <t>Seek AI (seek.ai)</t>
  </si>
  <si>
    <t>HumanSignal</t>
  </si>
  <si>
    <t>Omnix</t>
  </si>
  <si>
    <t>SESAMm</t>
  </si>
  <si>
    <t>Videntai</t>
  </si>
  <si>
    <t>CoreWeave</t>
  </si>
  <si>
    <t>MatrixSpace</t>
  </si>
  <si>
    <t>Lightmatter</t>
  </si>
  <si>
    <t>Casetext</t>
  </si>
  <si>
    <t>Valinor Earth</t>
  </si>
  <si>
    <t>Verb.ai</t>
  </si>
  <si>
    <t>Indy</t>
  </si>
  <si>
    <t>AI Trader</t>
  </si>
  <si>
    <t>PicSo</t>
  </si>
  <si>
    <t>Modulate</t>
  </si>
  <si>
    <t>Gladly</t>
  </si>
  <si>
    <t>Avaamo</t>
  </si>
  <si>
    <t>Neteera</t>
  </si>
  <si>
    <t>Practo</t>
  </si>
  <si>
    <t>AB Tasty</t>
  </si>
  <si>
    <t>Potrero</t>
  </si>
  <si>
    <t>UiPath</t>
  </si>
  <si>
    <t>LlamaIndex</t>
  </si>
  <si>
    <t>Contextual AI</t>
  </si>
  <si>
    <t>Pryon</t>
  </si>
  <si>
    <t>Ask AI (Irvine, CA)</t>
  </si>
  <si>
    <t>CoPilot AI</t>
  </si>
  <si>
    <t>AI Grant batch 1</t>
  </si>
  <si>
    <t>Forefront</t>
  </si>
  <si>
    <t>AniML</t>
  </si>
  <si>
    <t>Pixelcut</t>
  </si>
  <si>
    <t>Secret Weapons</t>
  </si>
  <si>
    <t>Samaya AI</t>
  </si>
  <si>
    <t>Birch</t>
  </si>
  <si>
    <t>Rowy</t>
  </si>
  <si>
    <t>Ghostwrite</t>
  </si>
  <si>
    <t>YC W23, AI Grant batch 1</t>
  </si>
  <si>
    <t>Sameday</t>
  </si>
  <si>
    <t>PolyCorp</t>
  </si>
  <si>
    <t>Cursor</t>
  </si>
  <si>
    <t>ValueBase</t>
  </si>
  <si>
    <t>Flair</t>
  </si>
  <si>
    <t>Recraft</t>
  </si>
  <si>
    <t>Alex Graveley</t>
  </si>
  <si>
    <t>Minion.ai</t>
  </si>
  <si>
    <t>Animato</t>
  </si>
  <si>
    <t>Swoop (W2O)</t>
  </si>
  <si>
    <t>Kebotix</t>
  </si>
  <si>
    <t>Vanti AI</t>
  </si>
  <si>
    <t>Buoy Health</t>
  </si>
  <si>
    <t>Ryme.ai</t>
  </si>
  <si>
    <t>Cleanlab</t>
  </si>
  <si>
    <t>LetterDrop</t>
  </si>
  <si>
    <t>Growthbar</t>
  </si>
  <si>
    <t>Explainpaper</t>
  </si>
  <si>
    <t>Smartwriter.ai</t>
  </si>
  <si>
    <t>Lexica</t>
  </si>
  <si>
    <t>Civixa</t>
  </si>
  <si>
    <t>Vizcom</t>
  </si>
  <si>
    <t>DeepAI</t>
  </si>
  <si>
    <t>Claypot.ai</t>
  </si>
  <si>
    <t>Ask Edith</t>
  </si>
  <si>
    <t>PromptLoop</t>
  </si>
  <si>
    <t>Tiyaro</t>
  </si>
  <si>
    <t>Everyprompt</t>
  </si>
  <si>
    <t>3852.ai</t>
  </si>
  <si>
    <t>Cerebrium</t>
  </si>
  <si>
    <t>Chalk.ai</t>
  </si>
  <si>
    <t>Protecto.ai</t>
  </si>
  <si>
    <t>Stenography</t>
  </si>
  <si>
    <t>Matrice AI</t>
  </si>
  <si>
    <t>Qualdo</t>
  </si>
  <si>
    <t>Mirage</t>
  </si>
  <si>
    <t>Unweave</t>
  </si>
  <si>
    <t>Cogram</t>
  </si>
  <si>
    <t>Bhuman</t>
  </si>
  <si>
    <t>Elai.io</t>
  </si>
  <si>
    <t>Subsalt</t>
  </si>
  <si>
    <t>OpenLayer</t>
  </si>
  <si>
    <t>Sieve</t>
  </si>
  <si>
    <t>Juice Labs</t>
  </si>
  <si>
    <t>Narrative</t>
  </si>
  <si>
    <t>Hypotenuse AI</t>
  </si>
  <si>
    <t>Evidently AI</t>
  </si>
  <si>
    <t>Metaphor</t>
  </si>
  <si>
    <t>Anduril</t>
  </si>
  <si>
    <t>UbiOps</t>
  </si>
  <si>
    <t>Valohai</t>
  </si>
  <si>
    <t>SwingVision</t>
  </si>
  <si>
    <t>Dagshub</t>
  </si>
  <si>
    <t>Oxipit</t>
  </si>
  <si>
    <t>Aiva.ai</t>
  </si>
  <si>
    <t>Radical</t>
  </si>
  <si>
    <t>Coqui</t>
  </si>
  <si>
    <t>Compose AI</t>
  </si>
  <si>
    <t>CatalyzeX</t>
  </si>
  <si>
    <t>Shaped AI</t>
  </si>
  <si>
    <t>Adaya.ai</t>
  </si>
  <si>
    <t>ApertureData</t>
  </si>
  <si>
    <t>Diagram</t>
  </si>
  <si>
    <t>Plask</t>
  </si>
  <si>
    <t>ZenML</t>
  </si>
  <si>
    <t>Mintlify</t>
  </si>
  <si>
    <t>Humanloop</t>
  </si>
  <si>
    <t>Buzz Solutions</t>
  </si>
  <si>
    <t>Superwise</t>
  </si>
  <si>
    <t>Slai</t>
  </si>
  <si>
    <t>Soundful</t>
  </si>
  <si>
    <t>Regression Games</t>
  </si>
  <si>
    <t>Basetwo</t>
  </si>
  <si>
    <t>Tavus</t>
  </si>
  <si>
    <t>Connectly</t>
  </si>
  <si>
    <t>Infuse AI</t>
  </si>
  <si>
    <t>Latitude.io</t>
  </si>
  <si>
    <t>Mubert</t>
  </si>
  <si>
    <t>Datasaur</t>
  </si>
  <si>
    <t>Claid (Let's Enhance)</t>
  </si>
  <si>
    <t>AI Dungeon</t>
  </si>
  <si>
    <t>Dashworks</t>
  </si>
  <si>
    <t>Circle Labs</t>
  </si>
  <si>
    <t>Bento ML</t>
  </si>
  <si>
    <t>Modzy</t>
  </si>
  <si>
    <t>Neu.ro</t>
  </si>
  <si>
    <t>Twelve Labs</t>
  </si>
  <si>
    <t>FeatureForm</t>
  </si>
  <si>
    <t>Modern Intelligence</t>
  </si>
  <si>
    <t>Activeloop</t>
  </si>
  <si>
    <t>Replica Studios</t>
  </si>
  <si>
    <t>Wombo.ai</t>
  </si>
  <si>
    <t>Modal</t>
  </si>
  <si>
    <t>Hopsworks</t>
  </si>
  <si>
    <t>Science.io</t>
  </si>
  <si>
    <t>OmniML</t>
  </si>
  <si>
    <t>Voicemod</t>
  </si>
  <si>
    <t>Hidden Door</t>
  </si>
  <si>
    <t>Fellow AI</t>
  </si>
  <si>
    <t>Rosebud</t>
  </si>
  <si>
    <t>Copysmith</t>
  </si>
  <si>
    <t>Swapp</t>
  </si>
  <si>
    <t>Wellsaid</t>
  </si>
  <si>
    <t>Wonder Dynamics</t>
  </si>
  <si>
    <t>Verta.ai</t>
  </si>
  <si>
    <t>Seldon</t>
  </si>
  <si>
    <t>Kinetix</t>
  </si>
  <si>
    <t>Docugami</t>
  </si>
  <si>
    <t>Omneky</t>
  </si>
  <si>
    <t>Neptune AI</t>
  </si>
  <si>
    <t>WhyLabs</t>
  </si>
  <si>
    <t>Regie.ai</t>
  </si>
  <si>
    <t>Heydey</t>
  </si>
  <si>
    <t>Rewind.ai</t>
  </si>
  <si>
    <t>Northbeam</t>
  </si>
  <si>
    <t>EdgeDB</t>
  </si>
  <si>
    <t>Bardeen</t>
  </si>
  <si>
    <t>Inceptive</t>
  </si>
  <si>
    <t>Galileo</t>
  </si>
  <si>
    <t>Luminai</t>
  </si>
  <si>
    <t>Coiled</t>
  </si>
  <si>
    <t>Outerbounds</t>
  </si>
  <si>
    <t>Writer (writer.com)</t>
  </si>
  <si>
    <t>Superb AI</t>
  </si>
  <si>
    <t>Gantry</t>
  </si>
  <si>
    <t>Hebbia</t>
  </si>
  <si>
    <t>Relyance</t>
  </si>
  <si>
    <t>Mostly AI</t>
  </si>
  <si>
    <t>Anyword</t>
  </si>
  <si>
    <t>Impira</t>
  </si>
  <si>
    <t>Parallel Domain</t>
  </si>
  <si>
    <t>Tonic</t>
  </si>
  <si>
    <t>Spring Discovery</t>
  </si>
  <si>
    <t>Leapyear</t>
  </si>
  <si>
    <t>Arthur</t>
  </si>
  <si>
    <t>www.otter.ai</t>
  </si>
  <si>
    <t>Mountain View, CA</t>
  </si>
  <si>
    <t>Surveillance</t>
  </si>
  <si>
    <t>Enterprise</t>
  </si>
  <si>
    <t>Otter.ai</t>
  </si>
  <si>
    <t>www.rain.ai</t>
  </si>
  <si>
    <t>San Francisco, CA</t>
  </si>
  <si>
    <t>Rain Neuromorphics</t>
  </si>
  <si>
    <t>www.gretel.ai</t>
  </si>
  <si>
    <t>San Diego, CA</t>
  </si>
  <si>
    <t>Synthetic Data</t>
  </si>
  <si>
    <t>Gretel</t>
  </si>
  <si>
    <t>www.comet.com</t>
  </si>
  <si>
    <t>New York, NY</t>
  </si>
  <si>
    <t>MLOps</t>
  </si>
  <si>
    <t>Comet</t>
  </si>
  <si>
    <t>www.healx.io</t>
  </si>
  <si>
    <t>Cambridge, UK</t>
  </si>
  <si>
    <t>Not AI</t>
  </si>
  <si>
    <t>Drugs</t>
  </si>
  <si>
    <t>Healthcare</t>
  </si>
  <si>
    <t>Healx</t>
  </si>
  <si>
    <t>www.unlearn.ai</t>
  </si>
  <si>
    <t>Clinical Trials</t>
  </si>
  <si>
    <t>Unlearn</t>
  </si>
  <si>
    <t>www.akasa.com</t>
  </si>
  <si>
    <t>Revenue</t>
  </si>
  <si>
    <t>Akasa</t>
  </si>
  <si>
    <t>www.digits.com</t>
  </si>
  <si>
    <t>Analytics</t>
  </si>
  <si>
    <t>Digits</t>
  </si>
  <si>
    <t>www.deepl.com</t>
  </si>
  <si>
    <t>Germany</t>
  </si>
  <si>
    <t>Translation</t>
  </si>
  <si>
    <t>DeepL</t>
  </si>
  <si>
    <t>www.run.ai</t>
  </si>
  <si>
    <t>Tel Aviv, Israel</t>
  </si>
  <si>
    <t>Compute</t>
  </si>
  <si>
    <t>www.helsing.ai</t>
  </si>
  <si>
    <t>Berlin</t>
  </si>
  <si>
    <t>Security</t>
  </si>
  <si>
    <t>Helsing</t>
  </si>
  <si>
    <t>www.relational.ai</t>
  </si>
  <si>
    <t>Berkeley, CA</t>
  </si>
  <si>
    <t>Ontology</t>
  </si>
  <si>
    <t>Relational.ai</t>
  </si>
  <si>
    <t>www.cresta.com</t>
  </si>
  <si>
    <t>Service</t>
  </si>
  <si>
    <t>Cresta</t>
  </si>
  <si>
    <t>www.thehive.ai</t>
  </si>
  <si>
    <t>Hive (thehive.ai)</t>
  </si>
  <si>
    <t>www.contractpodai.com</t>
  </si>
  <si>
    <t>London</t>
  </si>
  <si>
    <t>Contracts</t>
  </si>
  <si>
    <t>ContractpodAI</t>
  </si>
  <si>
    <t>www.path-robotics.com</t>
  </si>
  <si>
    <t>Columbus, OH</t>
  </si>
  <si>
    <t>Welding</t>
  </si>
  <si>
    <t>Hardware</t>
  </si>
  <si>
    <t>Path Robotics</t>
  </si>
  <si>
    <t>www.banana.dev</t>
  </si>
  <si>
    <t>Banana.dev</t>
  </si>
  <si>
    <t>www.runpod.io</t>
  </si>
  <si>
    <t>Mount Laurel, NJ</t>
  </si>
  <si>
    <t>Not AI per se</t>
  </si>
  <si>
    <t>Runpod</t>
  </si>
  <si>
    <t>www.labelbox.com</t>
  </si>
  <si>
    <t>Labelbox</t>
  </si>
  <si>
    <t>www.dominodatalab.com</t>
  </si>
  <si>
    <t>www.h2o.ai</t>
  </si>
  <si>
    <t>H2O.ai</t>
  </si>
  <si>
    <t>www.vastdata.com</t>
  </si>
  <si>
    <t>www.appliedintuition.com</t>
  </si>
  <si>
    <t>Autos</t>
  </si>
  <si>
    <t>Applied Intuition</t>
  </si>
  <si>
    <t>www.groq.com</t>
  </si>
  <si>
    <t>Groq</t>
  </si>
  <si>
    <t>www.censius.ai</t>
  </si>
  <si>
    <t>Censius</t>
  </si>
  <si>
    <t>www.outreach.io</t>
  </si>
  <si>
    <t>Seattle, WA</t>
  </si>
  <si>
    <t>Sales</t>
  </si>
  <si>
    <t>Outreach</t>
  </si>
  <si>
    <t>www.paradox.ai</t>
  </si>
  <si>
    <t>Recruiting</t>
  </si>
  <si>
    <t>Paradox</t>
  </si>
  <si>
    <t>www.wayve.ai</t>
  </si>
  <si>
    <t>Wayve</t>
  </si>
  <si>
    <t>Soterea</t>
  </si>
  <si>
    <t>www.plus.ai</t>
  </si>
  <si>
    <t>FountainVest, ClearVue, Zoyi, Sequoia Capital China, SAIC, Quanta Computer, Millennium Technology, MESH, Huochebang</t>
  </si>
  <si>
    <t>David Liu, Hao Zheng, Shawn Kerrigan, Tim Daly</t>
  </si>
  <si>
    <t>Plus</t>
  </si>
  <si>
    <t>To Do</t>
  </si>
  <si>
    <t>Stockholm, Sweden</t>
  </si>
  <si>
    <t>Euclidean Capital, FAM AB, EQT Ventures</t>
  </si>
  <si>
    <t>Acquired</t>
  </si>
  <si>
    <t>Peltarion (King.com/ATVI)</t>
  </si>
  <si>
    <t>Indonesian effort</t>
  </si>
  <si>
    <t>CRTificial Intelligence Lab (Tarrasmart, Ashnavas)</t>
  </si>
  <si>
    <t>Automation</t>
  </si>
  <si>
    <t>Enterprise IT Automation</t>
  </si>
  <si>
    <t>Arago (acquired by WiseKey)</t>
  </si>
  <si>
    <t>Paris</t>
  </si>
  <si>
    <t>Defunct?</t>
  </si>
  <si>
    <t>2021-2022</t>
  </si>
  <si>
    <t>Franck Auzanneau, Ludovic Mingot</t>
  </si>
  <si>
    <t>Sales call AI</t>
  </si>
  <si>
    <t>Defunct</t>
  </si>
  <si>
    <t>Verticalls.ai</t>
  </si>
  <si>
    <t>Palo Alto, CA</t>
  </si>
  <si>
    <t>2016-2021</t>
  </si>
  <si>
    <t>Alan Greene, Anthea Chung, Cheryl Greene, Sam De Brouwer, Walter De Brouwer</t>
  </si>
  <si>
    <t>Medical Research tools</t>
  </si>
  <si>
    <t>doc.ai (acquired by SHCR)</t>
  </si>
  <si>
    <t>Kordel France</t>
  </si>
  <si>
    <t>Seekar Technologies</t>
  </si>
  <si>
    <t>Galaxy Digital, Glasswing Ventures, Avalon Ventures</t>
  </si>
  <si>
    <t>Blockchain</t>
  </si>
  <si>
    <t>Rob May, Will Murphy</t>
  </si>
  <si>
    <t>Blockchain bot-to-bot</t>
  </si>
  <si>
    <t>London, UK</t>
  </si>
  <si>
    <t>Pre-LLM</t>
  </si>
  <si>
    <t>Call Center</t>
  </si>
  <si>
    <t>AI call center</t>
  </si>
  <si>
    <t>IntelliAgent</t>
  </si>
  <si>
    <t>Carlstadt, NJ</t>
  </si>
  <si>
    <t>Construction</t>
  </si>
  <si>
    <t>Jay Cami</t>
  </si>
  <si>
    <t>Project Management for construction</t>
  </si>
  <si>
    <t>Construct AI</t>
  </si>
  <si>
    <t>Glasswing</t>
  </si>
  <si>
    <t>Geospatial</t>
  </si>
  <si>
    <t>Alan Ostetek</t>
  </si>
  <si>
    <t>Paper Crane</t>
  </si>
  <si>
    <t>www.playment.io</t>
  </si>
  <si>
    <t>Bangalore, India</t>
  </si>
  <si>
    <t>Y Combinator, Sparkland Capital, Ryan Petersen, Max Altman, SAIF Partners</t>
  </si>
  <si>
    <t>Ajinkya Malasane, Akshay Lal, Siddharth Mall</t>
  </si>
  <si>
    <t>Computer Vision, data labeling</t>
  </si>
  <si>
    <t>Playment (Telus)</t>
  </si>
  <si>
    <t>Grit Ventures, Ultratech Capital, Techstars, SpaceFund, PBJ Capital, Gutbrain Ventures, Glasswing, Deep Ventures, Cultivation Capital, Argon Ventures, Keith Masback</t>
  </si>
  <si>
    <t>Defense</t>
  </si>
  <si>
    <t>Guy de Carufel</t>
  </si>
  <si>
    <t>Satellite constellation management</t>
  </si>
  <si>
    <t>Cognitive Space</t>
  </si>
  <si>
    <t>Y Combinator, WndrCo, South Park Commons, Soma Capital, Rogue Insight Capital, Lightspeed, Endure Capital, Basis Set Ventures, 10x Group, Tyler Willis, Drew Houston, Arash Ferdowsi</t>
  </si>
  <si>
    <t>2015-2019</t>
  </si>
  <si>
    <t>Kanjun Qiu (now Generally Intelligent)</t>
  </si>
  <si>
    <t>Sunnyvale, CA</t>
  </si>
  <si>
    <t>General Catalyst, Point72 Ventures, Mango Capital, Ronald Conway, Ramu Arunachalam, Oliver Friedrichs, John Thompson, Gerhard Eschelbeck, DJ Patil</t>
  </si>
  <si>
    <t>Next47, General Catalyst, Polaris Ventures, Unusual Ventures, John Thompson, Gerhard Eschelbeck, DJ Patil</t>
  </si>
  <si>
    <t>Acquired on 6/1/23</t>
  </si>
  <si>
    <t>Anand Raghavan, Arjun Sambamoorthy, Chetan Anand, Dhananjay Sampath</t>
  </si>
  <si>
    <t>Armorblox (Cisco)</t>
  </si>
  <si>
    <t>www.stradoslabs.com</t>
  </si>
  <si>
    <t>Philadelphia, PA</t>
  </si>
  <si>
    <t>Not AI: medical device</t>
  </si>
  <si>
    <t>Lung Monitoring</t>
  </si>
  <si>
    <t>Strados Labs</t>
  </si>
  <si>
    <t>Acquired in 2019</t>
  </si>
  <si>
    <t>Auto</t>
  </si>
  <si>
    <t>Training Data for Avs</t>
  </si>
  <si>
    <t>Mighty AI (Uber)</t>
  </si>
  <si>
    <t>Oxford, UK</t>
  </si>
  <si>
    <t>RT Capital Management, Oxford Investmenet Consultants, Future Planet Capital</t>
  </si>
  <si>
    <t>Explainable AI</t>
  </si>
  <si>
    <t>Zegami (acquired by Videntai)</t>
  </si>
  <si>
    <t>Budapest, Hungary</t>
  </si>
  <si>
    <t>Tamares, Inventure, Draper, Day One, Bosch</t>
  </si>
  <si>
    <t>2.7 at 5.1</t>
  </si>
  <si>
    <t>Prime Ventures, Lead Ventures, B Capital, Samsung Catalyst, Inventure, Draper, Day One, Cisco, Bosch Ventures</t>
  </si>
  <si>
    <t>2015-2022</t>
  </si>
  <si>
    <t>Laszlo Kishonti</t>
  </si>
  <si>
    <t>Self-driving software</t>
  </si>
  <si>
    <t>Almotive (Stellantis)</t>
  </si>
  <si>
    <t>Future Positive, Zinal Growth, Wollemi, The Twenty Minute VC, Sweet Capital, Social Capital, Seaya, Saltwater Capital, ReGen Ventures, Plus Capital, Oreilly AlphaTech Ventures, My Climate Journey Collective, Lowercarbon Capital, Climate Pledge Fund, Breakthrough Energy Ventures, AirAngels, Aglae Ventures, Tobias Lutke, Seth Goldman, Serena Williams, Sahil Lavingia, Ram Shriram, Portia de Rossi, Miguel Nogales, Matias Muchnick, Marcos Galperin, Manu Ginobilli, Khaled Naim, Joe Gebbia, Fabrice Grinda, Ellen DeGeneres, Claire Hughes Johnson, Azeem Azhar, Alexis Ohanian, Alexander Will</t>
  </si>
  <si>
    <t>BS, not AI</t>
  </si>
  <si>
    <t>Climate Change</t>
  </si>
  <si>
    <t>Brian Liston</t>
  </si>
  <si>
    <t>Carbon Credits</t>
  </si>
  <si>
    <t>Pachama</t>
  </si>
  <si>
    <t>ADT</t>
  </si>
  <si>
    <t>Corporate</t>
  </si>
  <si>
    <t>Retail</t>
  </si>
  <si>
    <t>Jonathan Mak, Neil Gramopadhye, Philippe Sawaya</t>
  </si>
  <si>
    <t>Shoplifting</t>
  </si>
  <si>
    <t>Artifact Capital</t>
  </si>
  <si>
    <t>Business Intelligence</t>
  </si>
  <si>
    <t>NLP business queries</t>
  </si>
  <si>
    <t>Quarrio</t>
  </si>
  <si>
    <t>Old, haven't raised in long time</t>
  </si>
  <si>
    <t>Jonas Cleveland</t>
  </si>
  <si>
    <t>Inventory robots</t>
  </si>
  <si>
    <t>Cognitive Operational Systems</t>
  </si>
  <si>
    <t>Programming</t>
  </si>
  <si>
    <t>Cosmin Radoi, Morgante Pell</t>
  </si>
  <si>
    <t>Code refactoring</t>
  </si>
  <si>
    <t>Grit</t>
  </si>
  <si>
    <t>Sausalito, CA</t>
  </si>
  <si>
    <t>Design</t>
  </si>
  <si>
    <t>Design Tool</t>
  </si>
  <si>
    <t>Visual Electric</t>
  </si>
  <si>
    <t>Troy, MI</t>
  </si>
  <si>
    <t>Plymouth Growth</t>
  </si>
  <si>
    <t>Venture</t>
  </si>
  <si>
    <t>Integrity Growth Partners, The K Fund</t>
  </si>
  <si>
    <t>mostly SaaS, "AI infused"</t>
  </si>
  <si>
    <t>Supply Chain</t>
  </si>
  <si>
    <t>Amjad Hussain</t>
  </si>
  <si>
    <t>Algo</t>
  </si>
  <si>
    <t>Defy.vc, Simplexity Ventures, Silicon Valley Bank, OurCrowd, Moderne Ventures, Freestyle Capital, Constance Freedman</t>
  </si>
  <si>
    <t>Not core AI</t>
  </si>
  <si>
    <t>CRM</t>
  </si>
  <si>
    <t>Avi Tal, David Tal</t>
  </si>
  <si>
    <t>AI lead follow-up</t>
  </si>
  <si>
    <t>Verse.io</t>
  </si>
  <si>
    <t>Boulder, CO</t>
  </si>
  <si>
    <t>Khosla Ventures, Founders Fund, Jaan Tallinn</t>
  </si>
  <si>
    <t>Interconnect</t>
  </si>
  <si>
    <t>Michael Andregg</t>
  </si>
  <si>
    <t>"Optical Fabric"</t>
  </si>
  <si>
    <t>Fathom Radiant</t>
  </si>
  <si>
    <t>Copy</t>
  </si>
  <si>
    <t>Amit Gupta</t>
  </si>
  <si>
    <t>sudowrite</t>
  </si>
  <si>
    <t>South Korea</t>
  </si>
  <si>
    <t>Not really AI</t>
  </si>
  <si>
    <t>Medical AI</t>
  </si>
  <si>
    <t>AIRS Medical</t>
  </si>
  <si>
    <t>SeedIL Ventures</t>
  </si>
  <si>
    <t>Entrée Capital, Tal Ventures, Tal Capital, Qure Ventures, Philips, OurCrowd, Noaber, Kortex Ventures, InsurTech.vc, FinTLV Ventures</t>
  </si>
  <si>
    <t>Dan Lichtenfeld, Dana Chanan, Keren Shavit, Yoni Nevo, Yossi Bahagon</t>
  </si>
  <si>
    <t>Adherence/Health Coach</t>
  </si>
  <si>
    <t>Sweetch</t>
  </si>
  <si>
    <t>Santa Clara, CA</t>
  </si>
  <si>
    <t>MFV Partners, Khosla Ventures</t>
  </si>
  <si>
    <t>TDK Ventures</t>
  </si>
  <si>
    <t>Alumni Ventures</t>
  </si>
  <si>
    <t>Semiconductors</t>
  </si>
  <si>
    <t>Vishal Sarin</t>
  </si>
  <si>
    <t>Edge devices, analog in-memory compute</t>
  </si>
  <si>
    <t>Analog Inference</t>
  </si>
  <si>
    <t>Abu Dhabi, UAE</t>
  </si>
  <si>
    <t>Mubadala, Silver Lake</t>
  </si>
  <si>
    <t>UAE based, 10B fund, Conglomerate</t>
  </si>
  <si>
    <t>G42 (Group 42, UAE)</t>
  </si>
  <si>
    <t>Amsterdam</t>
  </si>
  <si>
    <t>Education</t>
  </si>
  <si>
    <t>Krishna Deepak Nallamilli, Rens ter Weijde</t>
  </si>
  <si>
    <t>Individualized learning paths</t>
  </si>
  <si>
    <t>KIMO</t>
  </si>
  <si>
    <t>Asaf Moses</t>
  </si>
  <si>
    <t>Dentistry</t>
  </si>
  <si>
    <t>Viscera</t>
  </si>
  <si>
    <t>Docs</t>
  </si>
  <si>
    <t>LLMOps</t>
  </si>
  <si>
    <t>Andriy Mulyar</t>
  </si>
  <si>
    <t>Data Explorer</t>
  </si>
  <si>
    <t>Nomic</t>
  </si>
  <si>
    <t>Video</t>
  </si>
  <si>
    <t>Text-to-Video</t>
  </si>
  <si>
    <t>Steve AI</t>
  </si>
  <si>
    <t>Houston, TX</t>
  </si>
  <si>
    <t>2080 Ventures</t>
  </si>
  <si>
    <t>Image</t>
  </si>
  <si>
    <t>Consumer</t>
  </si>
  <si>
    <t>Text-to-Image</t>
  </si>
  <si>
    <t>craiyon AI</t>
  </si>
  <si>
    <t>KYC</t>
  </si>
  <si>
    <t>Identity/KYC</t>
  </si>
  <si>
    <t>Jumio (PE)</t>
  </si>
  <si>
    <t>Charlotte, NC</t>
  </si>
  <si>
    <t>Stealth</t>
  </si>
  <si>
    <t>Lucien Leighton</t>
  </si>
  <si>
    <t>Xerataus IQX</t>
  </si>
  <si>
    <t>Fort Ross Ventures, Avatar Growth Capital, Storm Ventures, Softbank, Nexus Venture Partners, Conductive Ventures</t>
  </si>
  <si>
    <t>Customer</t>
  </si>
  <si>
    <t>Manyam Mallela, Mehul Shah, Vijay Chittoor</t>
  </si>
  <si>
    <t>Customer data/engagement platform</t>
  </si>
  <si>
    <t>Blueshift</t>
  </si>
  <si>
    <t>Franklin, TN</t>
  </si>
  <si>
    <t>Nasdaq, Lemhi Ventures, HCA, Goldman</t>
  </si>
  <si>
    <t xml:space="preserve">BNP Paribas, Square Capital, Partnership Fund for NYC, Nasdaq, Lemhi Ventures, HCA, GS, Barclays, </t>
  </si>
  <si>
    <t>SaaS owner</t>
  </si>
  <si>
    <t>Tim Estes</t>
  </si>
  <si>
    <t>Intelligence agency customer, email scanning</t>
  </si>
  <si>
    <t>Digital Reasoning (Smarsh)</t>
  </si>
  <si>
    <t>Montreal</t>
  </si>
  <si>
    <t>Caisse de Depot, M12, McKinsey, Pegasus Tech Ventures, Real Ventures, Hanwha Asset, DCVC</t>
  </si>
  <si>
    <t>Insurance</t>
  </si>
  <si>
    <t>Element AI (ServiceNow)</t>
  </si>
  <si>
    <t>Global Founders, Flash Ventures</t>
  </si>
  <si>
    <t>Conversational</t>
  </si>
  <si>
    <t>Bobby Tang, James Lo</t>
  </si>
  <si>
    <t>Various tools</t>
  </si>
  <si>
    <t>Mana (withmana.com)</t>
  </si>
  <si>
    <t>NEA, GSR Ventures</t>
  </si>
  <si>
    <t>Genesis Capital, GSR Ventures</t>
  </si>
  <si>
    <t>Sequoia China, NEA, GSR Ventures</t>
  </si>
  <si>
    <t>Brighton Park Capital, CMFG Ventures, NewView Capital, GSR Ventures</t>
  </si>
  <si>
    <t>More fintech, security than AI</t>
  </si>
  <si>
    <t>Fraud</t>
  </si>
  <si>
    <t>Fang Xu, Yinglian Xie</t>
  </si>
  <si>
    <t>Fraud prevention</t>
  </si>
  <si>
    <t>DataVisor</t>
  </si>
  <si>
    <t>Parkway Venture Capital, Tamarack Global, Moving Capital, Habitat Partners, FJ Labs, BOLD Ventures, Aliya Capital partners, Till Reuter</t>
  </si>
  <si>
    <t>Robotics</t>
  </si>
  <si>
    <t>Brett Adcock</t>
  </si>
  <si>
    <t>Crazy killer robots</t>
  </si>
  <si>
    <t>Boston</t>
  </si>
  <si>
    <t>Beringea</t>
  </si>
  <si>
    <t>Target Global, Beringea</t>
  </si>
  <si>
    <t>Ecommerce</t>
  </si>
  <si>
    <t>Markus Linder</t>
  </si>
  <si>
    <t>Playground Global, GM Ventures, Mitsui, DNX Ventures, Index Ventures</t>
  </si>
  <si>
    <t>Softbank, Greylock, Toyota Ventures, Playground Global, GM Ventures, BMW I Ventures, DNX Ventures</t>
  </si>
  <si>
    <t>Stellantis</t>
  </si>
  <si>
    <t>Driver assistance</t>
  </si>
  <si>
    <t>Nauto</t>
  </si>
  <si>
    <t>San Francisco</t>
  </si>
  <si>
    <t>Gradient Ventures, Bloomberg Beta, 1517 Fund</t>
  </si>
  <si>
    <t>Razer, Gradient Ventures, Bloomberg Beta, Georges Harik, 1517 Fund</t>
  </si>
  <si>
    <t>Mercato Partners, Gradient Ventures, Bloomberg Beta, Crescent Cove Advisors, 1517 Fund, Lukas Biewald, Jeff Hammerbacher, Greg Brockman, Georges Harik, Garry Tan, Adam D'Angelo</t>
  </si>
  <si>
    <t>Stephen Balaban</t>
  </si>
  <si>
    <t>GPU Cluster</t>
  </si>
  <si>
    <t>Lambda Labs</t>
  </si>
  <si>
    <t>www.mthreads.com</t>
  </si>
  <si>
    <t>Beijing, China</t>
  </si>
  <si>
    <t>Yubo Zhang</t>
  </si>
  <si>
    <t>New GPU</t>
  </si>
  <si>
    <t>Moore Threads</t>
  </si>
  <si>
    <t>Not AI - just a robotics company</t>
  </si>
  <si>
    <t>MegaRobo</t>
  </si>
  <si>
    <t>www.immunai.com</t>
  </si>
  <si>
    <t>Koch, Talos, Piedmont, Meron, Icon, Alexandria, 8VC</t>
  </si>
  <si>
    <t>Genomics/diagnostics, not AI</t>
  </si>
  <si>
    <t>Genomics</t>
  </si>
  <si>
    <t>Ansuman Satpathy, Dan Littman, Danny Wells, Luis F Voloch, Noam Solomon</t>
  </si>
  <si>
    <t>Drug company</t>
  </si>
  <si>
    <t>Immunai</t>
  </si>
  <si>
    <t>www.mosaicml.com</t>
  </si>
  <si>
    <t>DataBricks</t>
  </si>
  <si>
    <t>MosaicML</t>
  </si>
  <si>
    <t>Wang Huiwen</t>
  </si>
  <si>
    <t>Source Code Capital, Wuyuan Capital, Tencent</t>
  </si>
  <si>
    <t>Meituan owned. Wang Huiwen was a co-founder of Meituan.</t>
  </si>
  <si>
    <t>LLMs</t>
  </si>
  <si>
    <t>"OpenAI for China"</t>
  </si>
  <si>
    <t>ZGC Group</t>
  </si>
  <si>
    <t>Chinese clients</t>
  </si>
  <si>
    <t>CV</t>
  </si>
  <si>
    <t>Zhang Mo</t>
  </si>
  <si>
    <t>Computer Vision</t>
  </si>
  <si>
    <t>Yi+</t>
  </si>
  <si>
    <t>www.terminusgroup.com</t>
  </si>
  <si>
    <t>Everbright, JD, Iflytek, WANDA</t>
  </si>
  <si>
    <t>Not AI: more IOT</t>
  </si>
  <si>
    <t>Government</t>
  </si>
  <si>
    <t>Victor Ai</t>
  </si>
  <si>
    <t>"AI Cities"</t>
  </si>
  <si>
    <t>Terminus Technologies</t>
  </si>
  <si>
    <t>www.mininglamp.com</t>
  </si>
  <si>
    <t>Not AI enough despite claims to contrary: just Chinese SaaS/Big Data</t>
  </si>
  <si>
    <t>Minghui Wu, Yan Zhao</t>
  </si>
  <si>
    <t>"Chinese Palantir"</t>
  </si>
  <si>
    <t>MiningLamp</t>
  </si>
  <si>
    <t>T. Rowe Price, Time Ventures, Eric Schmidt, Breyer Capital</t>
  </si>
  <si>
    <t>Not Really AI, ex-Google</t>
  </si>
  <si>
    <t>Determines where QC could replace RSA</t>
  </si>
  <si>
    <t>SandboxAQ</t>
  </si>
  <si>
    <t>Ycombinator, Amino Capital, Reach Capital, Bloomberg Beta</t>
  </si>
  <si>
    <t>a16z, Amino Capital</t>
  </si>
  <si>
    <t>A.Capital, SVA</t>
  </si>
  <si>
    <t>Coatue, a16z, Bloomberg Beta, Fifth Down Capital, Not Boring, Reach Capital, Volt Capital, Vinay Hiremath, Mattia Astori</t>
  </si>
  <si>
    <t>Series B: 720m valuation</t>
  </si>
  <si>
    <t>a16z, Y Combinator, SVA, Khosla Ventures, Coatue, Bloomberg Beta, ARK Ventures, Naval Ravikant, Hamilton Helmer</t>
  </si>
  <si>
    <t>Amjad Massad</t>
  </si>
  <si>
    <t>IDE with heavy AI focus</t>
  </si>
  <si>
    <t>www.salt.security</t>
  </si>
  <si>
    <t>Not an AI company, Enterprise security</t>
  </si>
  <si>
    <t>Salt Security</t>
  </si>
  <si>
    <t>Softbank, Spark, Sigmas Group, Rivas Capital, KKR, Insight Partners, Blackrock, Aspenwood Ventures, Memorial Hermann Hospital</t>
  </si>
  <si>
    <t>Todd Gottula</t>
  </si>
  <si>
    <t>Clarify Health</t>
  </si>
  <si>
    <t>www.notco.com</t>
  </si>
  <si>
    <t>Santiago, Chile</t>
  </si>
  <si>
    <t>Not AI: food &amp; fragrence (IFF) companies do this all the time</t>
  </si>
  <si>
    <t>Food</t>
  </si>
  <si>
    <t>Karim Pichara Baksai, Matias Muchnick, Pablo Zamora</t>
  </si>
  <si>
    <t>Fake meat?</t>
  </si>
  <si>
    <t>NotCo</t>
  </si>
  <si>
    <t>www.patsnap.com</t>
  </si>
  <si>
    <t>Singapore</t>
  </si>
  <si>
    <t>Vertex Ventures, Temasek, Accel X</t>
  </si>
  <si>
    <t>3 at 11</t>
  </si>
  <si>
    <t>Summit Partners, Global Brain Corporation</t>
  </si>
  <si>
    <t>Sequoia Capital China, Shunwei Capital, Qualgro VC</t>
  </si>
  <si>
    <t>Shunwei Capital, Sequoia Capital China, Qualgro VC</t>
  </si>
  <si>
    <t>Tencent, SoftBank, Vertex, Shunwei, Sequoia China, CITIC</t>
  </si>
  <si>
    <t>Not really AI, "powered by AI" but could be a company without AI</t>
  </si>
  <si>
    <t>IP</t>
  </si>
  <si>
    <t>Guan Dian, Jeffrey Tiong, Ray Chohan</t>
  </si>
  <si>
    <t>Questions</t>
  </si>
  <si>
    <t>Adam D'Angelo</t>
  </si>
  <si>
    <t>Poe.com (Quora)</t>
  </si>
  <si>
    <t>www.alpha-sense.com</t>
  </si>
  <si>
    <t>Viking, Capital G</t>
  </si>
  <si>
    <t>Not AI: fintech</t>
  </si>
  <si>
    <t>Finance</t>
  </si>
  <si>
    <t>Jack Kokko</t>
  </si>
  <si>
    <t>Finance thing</t>
  </si>
  <si>
    <t>AlphaSense</t>
  </si>
  <si>
    <t>Third Point Ventures, TCP Venture Capital, Vertex Growth Fund, Titan Capital partners, TCP Venture Capital, Sapphire Ventures, Smasung NEXT, More Capital, Disruptive AI Venture Capital, 40 North</t>
  </si>
  <si>
    <t>Legal</t>
  </si>
  <si>
    <t>Legal Transcription</t>
  </si>
  <si>
    <t>Verbit</t>
  </si>
  <si>
    <t>Cambridge, MA</t>
  </si>
  <si>
    <t>Declaration Partners, SymphonyAI, Maverick, AllianceBernstein</t>
  </si>
  <si>
    <t>Sixth Street</t>
  </si>
  <si>
    <t>Owned by Romesh Wadhwani</t>
  </si>
  <si>
    <t>RWD</t>
  </si>
  <si>
    <t>Concert AI</t>
  </si>
  <si>
    <t>Bengaluru, India</t>
  </si>
  <si>
    <t>2017 (2000)</t>
  </si>
  <si>
    <t>Chatbot</t>
  </si>
  <si>
    <t>Krishna Kadiri, Ritesh Radhakrishnan, Shridhar Marri</t>
  </si>
  <si>
    <t>Customer analytics</t>
  </si>
  <si>
    <t>Senseforth (Fractal Analytics)</t>
  </si>
  <si>
    <t>www.highradius.com</t>
  </si>
  <si>
    <t>Not AI - just a SaaS company</t>
  </si>
  <si>
    <t>Cash Conversion Cycle</t>
  </si>
  <si>
    <t>HighRadius</t>
  </si>
  <si>
    <t>Mubadala Capital Ventures, Tiger, Steadview, Schonfeld, Whale Rock, M12, Avidity, Dragoneer, OMERS</t>
  </si>
  <si>
    <t>Healthcare Platform</t>
  </si>
  <si>
    <t>Innovaccer</t>
  </si>
  <si>
    <t>Oak HC/FT, Ascension Ventures, Moonshots Capital</t>
  </si>
  <si>
    <t>General Catalyst, Oak HC/FT, Drive Capital</t>
  </si>
  <si>
    <t>General Catalyst, Drive Capital, SVB Capital, Oak HC/FT</t>
  </si>
  <si>
    <t>Tiger, Transformation Capital, SVB Capital, Sequoia Capital, Google Ventures, General Catalyst, Drive Capital, Dragoneer</t>
  </si>
  <si>
    <t>225.5 at 1.3B</t>
  </si>
  <si>
    <t>Vista, Base 10, Tiger</t>
  </si>
  <si>
    <t>Bradley Mascho, Sean Lane</t>
  </si>
  <si>
    <t>Healthcare revenue management, prior auth, claims management</t>
  </si>
  <si>
    <t>Series H</t>
  </si>
  <si>
    <t>Olive</t>
  </si>
  <si>
    <t>Paris, France</t>
  </si>
  <si>
    <t>Sixth Street, SoftBank, LionTree, KKR, Highland, Eurazeo, Canaan, Bpifrance, Blackrock</t>
  </si>
  <si>
    <t>Jonathan Cherki</t>
  </si>
  <si>
    <t>Digital Experience Analytics</t>
  </si>
  <si>
    <t>ContentSquare</t>
  </si>
  <si>
    <t>Chicago, Illinois</t>
  </si>
  <si>
    <t>Revolution, NEA</t>
  </si>
  <si>
    <t>T. Rowe Price, Revolution, NEA</t>
  </si>
  <si>
    <t>Baillie Gifford, T. Rowe Price, Revolution Growth, NEA</t>
  </si>
  <si>
    <t>Baillie Gifford, Revolution Growth, Novo Holdings, NEA, Franklin Templeton</t>
  </si>
  <si>
    <t>Google, T. Rowe Price, Novo Holdings, Franklin Templeton, Baillie Gifford, Eric Lefkofsky</t>
  </si>
  <si>
    <t>Eneterprise</t>
  </si>
  <si>
    <t>Eric Lefkofsky</t>
  </si>
  <si>
    <t>Diagnostics, has a lot of patient data</t>
  </si>
  <si>
    <t>Tempus</t>
  </si>
  <si>
    <t>Neeva</t>
  </si>
  <si>
    <t>McKinsey</t>
  </si>
  <si>
    <t>Iguazio</t>
  </si>
  <si>
    <t>Intel</t>
  </si>
  <si>
    <t>Habana</t>
  </si>
  <si>
    <t>Informatica</t>
  </si>
  <si>
    <t>Privitar</t>
  </si>
  <si>
    <t>Lock Screen</t>
  </si>
  <si>
    <t>Glance</t>
  </si>
  <si>
    <t>www.intervenn.com</t>
  </si>
  <si>
    <t>South San Fran, CA</t>
  </si>
  <si>
    <t>InterVenn</t>
  </si>
  <si>
    <t>Notion</t>
  </si>
  <si>
    <t>Adjacent, Closed, Acquired</t>
  </si>
  <si>
    <t>India</t>
  </si>
  <si>
    <t>May be defunct</t>
  </si>
  <si>
    <t>Hemison.ai</t>
  </si>
  <si>
    <t>www.sidneyai.com</t>
  </si>
  <si>
    <t>Document</t>
  </si>
  <si>
    <t>Sidney.ai</t>
  </si>
  <si>
    <t>www.coachvox.ai</t>
  </si>
  <si>
    <t>Voice</t>
  </si>
  <si>
    <t>Voice cloning? Coaching</t>
  </si>
  <si>
    <t>Coachvox AI</t>
  </si>
  <si>
    <t>Autism</t>
  </si>
  <si>
    <t>Ali Aziz, Amy Noll, Catherine Davis, Chandra De Keyser, Yury Shubin</t>
  </si>
  <si>
    <t>Video Call EQ (autism)</t>
  </si>
  <si>
    <t>ElevateAI</t>
  </si>
  <si>
    <t>Anime</t>
  </si>
  <si>
    <t>Janitor AI</t>
  </si>
  <si>
    <t>Hosts text models</t>
  </si>
  <si>
    <t>TextSynth</t>
  </si>
  <si>
    <t>radintel.ai</t>
  </si>
  <si>
    <t>Advertising</t>
  </si>
  <si>
    <t>Jeremy Barnett, Brad Silver</t>
  </si>
  <si>
    <t>Influencer Marketing Tool</t>
  </si>
  <si>
    <t>Rad AI (Santa Monica, CA)</t>
  </si>
  <si>
    <t>Characters</t>
  </si>
  <si>
    <t>Character Database?</t>
  </si>
  <si>
    <t>Chub.ai (chub.ai)</t>
  </si>
  <si>
    <t>Furries</t>
  </si>
  <si>
    <t>Storytelling</t>
  </si>
  <si>
    <t>NovelAI</t>
  </si>
  <si>
    <t>LLM</t>
  </si>
  <si>
    <t>Text-generation</t>
  </si>
  <si>
    <t>InferKit</t>
  </si>
  <si>
    <t>Bring-your-own AI chatbot</t>
  </si>
  <si>
    <t>Agnaistic</t>
  </si>
  <si>
    <t>Writing assistant</t>
  </si>
  <si>
    <t>KoboldAI (Github)</t>
  </si>
  <si>
    <t>Chai (app, Chai Research Corp, Chai.ml)</t>
  </si>
  <si>
    <t>NSFW Characters</t>
  </si>
  <si>
    <t>Chatfai</t>
  </si>
  <si>
    <t>Writing</t>
  </si>
  <si>
    <t>Writing Assistant</t>
  </si>
  <si>
    <t>Holo</t>
  </si>
  <si>
    <t>AI Lab</t>
  </si>
  <si>
    <t>Goose-AI</t>
  </si>
  <si>
    <t>Love</t>
  </si>
  <si>
    <t>Non-sex</t>
  </si>
  <si>
    <t>Anima ai (myanima.ai)</t>
  </si>
  <si>
    <t>GPT-Neo, Fairseq serever</t>
  </si>
  <si>
    <t>GooseAI</t>
  </si>
  <si>
    <t>Character.ai clone</t>
  </si>
  <si>
    <t>Sex</t>
  </si>
  <si>
    <t>Crushon.ai</t>
  </si>
  <si>
    <t>Tool</t>
  </si>
  <si>
    <t>Offline LLMs</t>
  </si>
  <si>
    <t>Faraday.dev</t>
  </si>
  <si>
    <t>Was popular before paid tier</t>
  </si>
  <si>
    <t>Dreamily</t>
  </si>
  <si>
    <t>RizzGPT (rizzgpt.app)</t>
  </si>
  <si>
    <t>Shitty quality</t>
  </si>
  <si>
    <t>Nastia ai</t>
  </si>
  <si>
    <t>Lots of traffic</t>
  </si>
  <si>
    <t>Some guy on reddit</t>
  </si>
  <si>
    <t>Erotica</t>
  </si>
  <si>
    <t>Spicychat.ai</t>
  </si>
  <si>
    <t>Poland</t>
  </si>
  <si>
    <t>YouNick Mint</t>
  </si>
  <si>
    <t>Ada (ada.place, rental AI)</t>
  </si>
  <si>
    <t>Vinnova</t>
  </si>
  <si>
    <t>Anna Wallander</t>
  </si>
  <si>
    <t>Erotica generator</t>
  </si>
  <si>
    <t>Pirr.app</t>
  </si>
  <si>
    <t>Scalare Partners</t>
  </si>
  <si>
    <t>Mental Health</t>
  </si>
  <si>
    <t>togetherAI</t>
  </si>
  <si>
    <t>LG, Kakao, Berkeley SkyDeck, Michael Kim</t>
  </si>
  <si>
    <t>Hashed, Goodwater Capital, PKO Investments, Yat Siu, Ray Chan, Patrick Lee, Kun Gao, Holly Liu, Daniel Wu</t>
  </si>
  <si>
    <t>Tom Lee</t>
  </si>
  <si>
    <t>TTS</t>
  </si>
  <si>
    <t>Sweden</t>
  </si>
  <si>
    <t>Creandum, Tobias Lutke, Sebastian Wallin, Renaud Visage, Fredrik Bjork, Christian Reber</t>
  </si>
  <si>
    <t>SQL queries</t>
  </si>
  <si>
    <t>Mason</t>
  </si>
  <si>
    <t>www.getbravo.io</t>
  </si>
  <si>
    <t>HR</t>
  </si>
  <si>
    <t>Employee Recognition</t>
  </si>
  <si>
    <t>Bravo</t>
  </si>
  <si>
    <t>www.intrinsic.ai</t>
  </si>
  <si>
    <t>Alphabet owned?</t>
  </si>
  <si>
    <t>Wendy Tan White</t>
  </si>
  <si>
    <t>Robotics design, FlowState, Open Robotics</t>
  </si>
  <si>
    <t>Intrinsic</t>
  </si>
  <si>
    <t>https://www.datrics.ai/</t>
  </si>
  <si>
    <t>StartupYard, QPDigital, Illia Polosukhin</t>
  </si>
  <si>
    <t>Y Combinator, AltaIR Capital, Oleg Rogynskyy</t>
  </si>
  <si>
    <t>Anton Vaisburd, Kirill Kirikov, Volodymyr Sofinskyi</t>
  </si>
  <si>
    <t>No-code analytics</t>
  </si>
  <si>
    <t>Fuse, Voyager Capital, Omri Bahat, Bill Bryant, Bharat Shyam</t>
  </si>
  <si>
    <t>Abid Ali Mohammed, Vikram Chalana, Vishal Chalana</t>
  </si>
  <si>
    <t>Winklevoss Capital, Permit Ventures, Laurence Innovation, Chey Capital, Bettor Capital, Sam Parr, Peter Jennings, Mike R. Walsh, Joe Speiser</t>
  </si>
  <si>
    <t>Draper Associates, Winklevoss Capital, Alumni Ventures, Nomad Capital, Rob May, Kevin Carter, Brian Pokorny, Billy Draper</t>
  </si>
  <si>
    <t>Research</t>
  </si>
  <si>
    <t>Christian Salem</t>
  </si>
  <si>
    <t>Scientific Research</t>
  </si>
  <si>
    <t>GMG Ventures, Firstminute Capital, Craft Ventures, Canaan Partners, Betaworks Ventures, AET Fund</t>
  </si>
  <si>
    <t>Firstminute Capital, Craft Ventures, Betaworks, AET Fund</t>
  </si>
  <si>
    <t>Saqib Muhammad, Zohaib Ahmed</t>
  </si>
  <si>
    <t>Resemble.ai</t>
  </si>
  <si>
    <t>500 Global, 500 Startups Vietnam, Atland Ventures, Incubate Fund, Joel Schleicher</t>
  </si>
  <si>
    <t>Glasswing Ventures, Differential Ventures, Hypertherm Ventures, Argon Ventures</t>
  </si>
  <si>
    <t>Manufacturing</t>
  </si>
  <si>
    <t>Andrey Konin, Quoc-Huy Tran, Zeeshan Zia</t>
  </si>
  <si>
    <t>No-code QA/QC for manufacturers</t>
  </si>
  <si>
    <t>Estonia</t>
  </si>
  <si>
    <t>Customer Service</t>
  </si>
  <si>
    <t>Chatbot customer service</t>
  </si>
  <si>
    <t>norby.io</t>
  </si>
  <si>
    <t>Madrona, New York Venture Partners, Hustle Fund, Chapter One Ventures, Active Capital, Matt Gibstein</t>
  </si>
  <si>
    <t>Active Capital, Cortical Ventures, Siqi Chen, Nick Frosst, Madrona, Ivan Zhang, Furqan Rydhan, Aidan Gomez</t>
  </si>
  <si>
    <t>Email</t>
  </si>
  <si>
    <t>Jason Kuperberg, Matt Shumer, Miles Feldstein</t>
  </si>
  <si>
    <t>SQL</t>
  </si>
  <si>
    <t>Lei Tang, Marc Dupuis</t>
  </si>
  <si>
    <t>English-to-SQL</t>
  </si>
  <si>
    <t>Fabi.ai</t>
  </si>
  <si>
    <t>Entrepreneurs Roundtable Accelerator</t>
  </si>
  <si>
    <t>Preface Ventures, Atypical Ventures, LogicBoost Labs, Brand New Matter, Glasswing Ventures,  Entrepreneurs Roundtable Accelerator, Marc Weiss, Josh Lospinoso</t>
  </si>
  <si>
    <t>Auth</t>
  </si>
  <si>
    <t>Dawud Gordon, John Tanios, Ulf Blanke</t>
  </si>
  <si>
    <t>Behavioral MFA</t>
  </si>
  <si>
    <t>Austin, TX</t>
  </si>
  <si>
    <t>Asset Management Ventures (AMV), ATX Venture Partners, Loop Ventures, Next Practices Group</t>
  </si>
  <si>
    <t>Ganesh Padmanabhan</t>
  </si>
  <si>
    <t>8VC, GTMfund, Correlation Ventures</t>
  </si>
  <si>
    <t>Testing code generation</t>
  </si>
  <si>
    <t>Dereck Paul, Graham Ramsey</t>
  </si>
  <si>
    <t>Doctor assistance</t>
  </si>
  <si>
    <t>Glass Health</t>
  </si>
  <si>
    <t>Los Angeles</t>
  </si>
  <si>
    <t>Heath Ahrens</t>
  </si>
  <si>
    <t>Consumer Voice UGC</t>
  </si>
  <si>
    <t>Voice AI</t>
  </si>
  <si>
    <t>YouWeb, Intel, Fosun RZ</t>
  </si>
  <si>
    <t>Capricorn, Cito, TSVC</t>
  </si>
  <si>
    <t>Amol Kelkar, Chandra Khatri, David Chu, Hung Tran, James Cremer, Peter Relan</t>
  </si>
  <si>
    <t>Enterprise LLM with 'guardrails'</t>
  </si>
  <si>
    <t>Salt Lake City, Utah</t>
  </si>
  <si>
    <t>Elevation Capital, Vidit Aatrey, Sanjeev Barnwal, Kashyap Deorah, Ashish Goel</t>
  </si>
  <si>
    <t>Matrix Partners India, Elevation Capital, Yamini Bhat, Pushkar Mukewar, Ajay Arora, Ankit Bhati, Ashwini Asokan</t>
  </si>
  <si>
    <t>Voice generation</t>
  </si>
  <si>
    <t>MURF.AI</t>
  </si>
  <si>
    <t>Balderton Capital, Acequia Capital, byFounders, EQT Ventures</t>
  </si>
  <si>
    <t>Meetings</t>
  </si>
  <si>
    <t>Colin Treseler</t>
  </si>
  <si>
    <t>Transcribes meeting notes</t>
  </si>
  <si>
    <t>Smart APIs?</t>
  </si>
  <si>
    <t>Koxy AI</t>
  </si>
  <si>
    <t>Tokyo</t>
  </si>
  <si>
    <t>Mitsui Sumitomo Insurance Venture Capital</t>
  </si>
  <si>
    <t>Mitsui Sumitomo Insurance VC, Tokushima Taisho Bank</t>
  </si>
  <si>
    <t>Toyota Tsusho, Sumitomo Mitsui Trust Bank, Mitsui Sumitomo Insurance VC, Japan Investment Adviser, JAFCO</t>
  </si>
  <si>
    <t>Tokushima Taisho Bank, Pegasus Tech Ventures</t>
  </si>
  <si>
    <t>Mostly Japanese clients, not clear what they do exactly</t>
  </si>
  <si>
    <t>Yoshihiro Daejeon</t>
  </si>
  <si>
    <t>Japanese and weird.</t>
  </si>
  <si>
    <t>Arithmer</t>
  </si>
  <si>
    <t>Y Combinator, 500 Global</t>
  </si>
  <si>
    <t>Hammad Syed, Mahmoud Felfel</t>
  </si>
  <si>
    <t>Great TTS product</t>
  </si>
  <si>
    <t>Play.HT</t>
  </si>
  <si>
    <t>San Francisco, AI</t>
  </si>
  <si>
    <t>Photo</t>
  </si>
  <si>
    <t>Photography</t>
  </si>
  <si>
    <t>Booth AI</t>
  </si>
  <si>
    <t>Delaware</t>
  </si>
  <si>
    <t>Together Fund, Nexus Venture Partners, The New Normal Fund</t>
  </si>
  <si>
    <t>Bots</t>
  </si>
  <si>
    <t>Akshat Tyagi</t>
  </si>
  <si>
    <t>Conversational Bots</t>
  </si>
  <si>
    <t>Workhack</t>
  </si>
  <si>
    <t>YC</t>
  </si>
  <si>
    <t>HOF Capital, Soma Capital, Rebel Fund, Broom Ventures, BluePointe Ventures, Atlas Pacific Capital, Amino Capital</t>
  </si>
  <si>
    <t>Content</t>
  </si>
  <si>
    <t>Samanyou Garg</t>
  </si>
  <si>
    <t>GPT-generated content</t>
  </si>
  <si>
    <t>Toyota Ventures, Omidyar Technology Ventures, Intel Capital, Glasswing Ventures, Blindspot Ventures</t>
  </si>
  <si>
    <t>Cool Demo</t>
  </si>
  <si>
    <t>Josh Tenenbaum, Max Kleiman-Weiner, Tejas Kulkarni, Vikash Mansinghka</t>
  </si>
  <si>
    <t>3D Perception/Simulation</t>
  </si>
  <si>
    <t>SAFE</t>
  </si>
  <si>
    <t>Ontario</t>
  </si>
  <si>
    <t>Obvious Ventures, Inovia Capital</t>
  </si>
  <si>
    <t>Wharton Alumni Angels, The Archangel Fund, REDDS Capital, Honeywell, Guindy Alumni Angels</t>
  </si>
  <si>
    <t>Honeywell, ACVC Partners</t>
  </si>
  <si>
    <t>BDC Venture Capital, Obvious Ventures, Inovia Capital, Honeywell</t>
  </si>
  <si>
    <t>Quality control, efficiency for electronics manufacturing</t>
  </si>
  <si>
    <t>Detroit</t>
  </si>
  <si>
    <t>Pivoted to AI</t>
  </si>
  <si>
    <t>Waymark</t>
  </si>
  <si>
    <t>Entrepreneur First, Episode 1</t>
  </si>
  <si>
    <t>Khosla Ventures, Episode 1, Entrepreneur First</t>
  </si>
  <si>
    <t>Raphael Holca-Lamarre, Tuhin Chakraborty</t>
  </si>
  <si>
    <t>Business process automation</t>
  </si>
  <si>
    <t>Allen AI, Madrona</t>
  </si>
  <si>
    <t>Madrona, Cercano Management, J4.Ventures, Ascend, Renn Vara, Maureen Taylor, Jeff Richards, Dave Rosenberg</t>
  </si>
  <si>
    <t>Communication</t>
  </si>
  <si>
    <t>Esha Joshi, Varun Puri</t>
  </si>
  <si>
    <t>Communication improvement tool</t>
  </si>
  <si>
    <t>Sequoia Capital, XYZ Venture Capital, Tiny Super Computer Investment Company, Seedcamp, GG1, Motier Ventures, Connect, AI Grant, Romain Niccoli, Olivier Pomel, Nicolas Brusson, Matthieu Rouif, Mathilde Collin, Julien Codorniou, Julien Chaumond, Jean-Charles, Samuelian-Werve, Irwan Bello, Igor Babushkin, Howie Liu, Eleonore Crespo, Charles Gorintin</t>
  </si>
  <si>
    <t>Tools</t>
  </si>
  <si>
    <t>Business tools, very generic</t>
  </si>
  <si>
    <t>Hyperwise Ventures, Pierre Lamond, Giora Yaron, Avery More</t>
  </si>
  <si>
    <t>DevOps</t>
  </si>
  <si>
    <t>Amit Eyal Govrin, Shaked Askayo</t>
  </si>
  <si>
    <t>ChatGPT for DevOps</t>
  </si>
  <si>
    <t>SRI Ventures, DCVC, Candou Ventures, Laszlo Bock</t>
  </si>
  <si>
    <t>ex-GOOG, META, AWS</t>
  </si>
  <si>
    <t>Assistant</t>
  </si>
  <si>
    <t>Babak Pahlavan, Sam Naghshineh</t>
  </si>
  <si>
    <t>Enterprise personal assistant</t>
  </si>
  <si>
    <t>Glasswing Ventures, .406 Ventures, Zetta Venture Partners, Y Combinator</t>
  </si>
  <si>
    <t>Observability</t>
  </si>
  <si>
    <t>NEA, Pear VC, Wing Venture Capital</t>
  </si>
  <si>
    <t>Productivity</t>
  </si>
  <si>
    <t>Bella Liu, Will Lu</t>
  </si>
  <si>
    <t>Automates by watching you work</t>
  </si>
  <si>
    <t>Softbank, Upload Ventures, Illuminate Ventures, Scale-Up Ventures, Fusion Fund, Endeavor Catalyst, Astella</t>
  </si>
  <si>
    <t>Alexandre Hadade, Everton Cherman, Patricia Osorio</t>
  </si>
  <si>
    <t>Customer Feedback</t>
  </si>
  <si>
    <t>San Jose, CA</t>
  </si>
  <si>
    <t>Engineering Capital, Clear Ventures</t>
  </si>
  <si>
    <t>Clear Ventures, Wipro Ventures, Engineering Capital</t>
  </si>
  <si>
    <t>BPO</t>
  </si>
  <si>
    <t>Binny Gill</t>
  </si>
  <si>
    <t>Exception handling</t>
  </si>
  <si>
    <t>Seoul, South Korea</t>
  </si>
  <si>
    <t>Premier Partners, SmileGate, KT Investment, KB Investment</t>
  </si>
  <si>
    <t>AI promotional videos</t>
  </si>
  <si>
    <t>Vcat.ai (Pion)</t>
  </si>
  <si>
    <t>TechAviv Founder Partners, Ariel Maislos, Tomer Weingarten</t>
  </si>
  <si>
    <t>Pretty cool</t>
  </si>
  <si>
    <t>Amit Ben Shahar, Asi Shefer, Aviv Dror, Yochai Levi</t>
  </si>
  <si>
    <t>Low-code, no-code API</t>
  </si>
  <si>
    <t xml:space="preserve">Imagen Capital Partners, </t>
  </si>
  <si>
    <t>Logistics</t>
  </si>
  <si>
    <t>Siddharth Mohan, Zach Rattner</t>
  </si>
  <si>
    <t>AI Inspections for Moving &amp; Insurance</t>
  </si>
  <si>
    <t>Vertex Ventures Israel, State of Mind Ventures, Web Summit Ventures, Interplay, GuideStar Ventures, GTMfund, Gefen Capital, Firsthand Technology Value Fund, Alliance Global Partners, Yakir Daniel, Ran Sarig, Or Hiltch, Omri Barzilay, Michael Matias, Guy Zipori, Efi Cohen, Barak Goldstein</t>
  </si>
  <si>
    <t>ex-Salesforce</t>
  </si>
  <si>
    <t>Search</t>
  </si>
  <si>
    <t>Dr. Alon Talmor</t>
  </si>
  <si>
    <t>Enterprise search</t>
  </si>
  <si>
    <t>The Entrepreneurs' Fund, Tom Chavez, Auren Hoffman</t>
  </si>
  <si>
    <t>Ulu Ventures, VentureStudio, The Indy Fund, K20 Fund, H. Barton Asset Management, Tom Chavez</t>
  </si>
  <si>
    <t>Jed Putterman</t>
  </si>
  <si>
    <t>Accidents</t>
  </si>
  <si>
    <t>South San Francisco</t>
  </si>
  <si>
    <t>NEA, 8VC, AIX Ventures, Vijay Krishnan</t>
  </si>
  <si>
    <t>TriplePoint Capital, Neo, NEA, Modern Venture Partners, 8VC, Vijay Krishnan, Fred Ehrsam, Arash Ferdowski</t>
  </si>
  <si>
    <t>Personal Computing</t>
  </si>
  <si>
    <t>Tanay Kothari</t>
  </si>
  <si>
    <t>Mind-reading wearable</t>
  </si>
  <si>
    <t>468 Capital, Tokyo Black, Sanno Capital, Nomad Capital, Fuel Capital, AirAngels, Designer Fund, Chase Coleman, Brian Chesky, John McCormick</t>
  </si>
  <si>
    <t>Shaun Modi</t>
  </si>
  <si>
    <t>HMOs</t>
  </si>
  <si>
    <t>Episode 1, Will Martin, Will Brooks, Paul Massara, Oliver Burgel, Al Giles</t>
  </si>
  <si>
    <t>SoftBank, Forward Partners, Episode 1, Tom Blomfield</t>
  </si>
  <si>
    <t>Plural Platform, Episode 1, Tom Blomfield</t>
  </si>
  <si>
    <t>Richard Robinson</t>
  </si>
  <si>
    <t>Vine Ventures, TLV Partners</t>
  </si>
  <si>
    <t>Dedy Kredo, Itamar Friedman</t>
  </si>
  <si>
    <t>Test Suites</t>
  </si>
  <si>
    <t>Lightspeed India, AV8 Ventures</t>
  </si>
  <si>
    <t>Red Ventures, Silver Lake, 8VC</t>
  </si>
  <si>
    <t>Ashray Malhotra, Nisheeth Lahoti, Shivam Mangla</t>
  </si>
  <si>
    <t>Generative video, audio</t>
  </si>
  <si>
    <t>Rephrase.ai</t>
  </si>
  <si>
    <t>Signia Venture Partners, Position Ventures, CapitalX, Troy Osinoff, CapitalX, Braydan Young, Arash Ferdowsi, Alex Lieberman</t>
  </si>
  <si>
    <t>Norwest Venture Partners, Signia Venture Partners</t>
  </si>
  <si>
    <t>Will Allred</t>
  </si>
  <si>
    <t>Rewrite cold emails</t>
  </si>
  <si>
    <t>Lavender</t>
  </si>
  <si>
    <t>Memphis, Tennessee</t>
  </si>
  <si>
    <t>Unpopular Ventures, Bill Yu</t>
  </si>
  <si>
    <t>Craft Ventures, Sequoia Capital, Atelier Ventures</t>
  </si>
  <si>
    <t>Wing Venture Capital, Tiger Global, Sequoia, Craft Ventures, Elad Gil</t>
  </si>
  <si>
    <t>Chris Lu</t>
  </si>
  <si>
    <t>Marketing copy</t>
  </si>
  <si>
    <t>Zetta, SignalFire, Bloomberg Beta, Kearny Jackson</t>
  </si>
  <si>
    <t>Redpoint, Signalfire, Madrona, Bloomberg Beta, Zetta, Kearny Jackson</t>
  </si>
  <si>
    <t>Hessam Bagherinezhad, Justin Uberti, Matt Welsh, Zach Koch</t>
  </si>
  <si>
    <t>Javascript library</t>
  </si>
  <si>
    <t>Zurich, Switzerland</t>
  </si>
  <si>
    <t>Global Founders Capital, b2venture</t>
  </si>
  <si>
    <t>OpenOcean, Atlantic Bridge, FPV Ventures, Global Founders Capital, b2venture</t>
  </si>
  <si>
    <t>ETH spinoff</t>
  </si>
  <si>
    <t>Andreas Krause, Martin Vechev, Pavol Bielik, Petar Tsankov</t>
  </si>
  <si>
    <t>Greylock, South Park Commons, AI Fund, Caffeinated Capital, DJ Patil, Dylan Field, Greg Brockman, Lachy Groom, Mustafa Suleyman</t>
  </si>
  <si>
    <t>Greylock, South Park Commons, Lachy Groom, Jean-Denis Greze, Jay Simons, Dev Ittycheria, Cristina Cordova</t>
  </si>
  <si>
    <t>Amir Haghighat, Pankaj Gupta, Philip Howes, Tuhin Srivastava</t>
  </si>
  <si>
    <t>Serverless</t>
  </si>
  <si>
    <t>Brooklyn, NY</t>
  </si>
  <si>
    <t>Y Combinator, QueensBridge Venture Partners, InnoSpring Seed Fund, Center Electric</t>
  </si>
  <si>
    <t>Zillionize, Ludlow Ventures, Fusion Fund</t>
  </si>
  <si>
    <t>Transmedia Capital, InnoSpring Seed Fund, DCVC, Amino Capital</t>
  </si>
  <si>
    <t>Ludlow Ventures, Initialized Capital, DCVC</t>
  </si>
  <si>
    <t>Sorenson Capital, Intel Capital, SineWave Ventures, Battery Ventures, Rocketship.vc, Initialized Capital</t>
  </si>
  <si>
    <t>Daniel Kobran, Dillon Erb</t>
  </si>
  <si>
    <t>GPU Cloud Compute</t>
  </si>
  <si>
    <t>SignalFire, Salesforce, Global Founders Capital, Maynard Webb, Frederic Kerrest, Adam Gross</t>
  </si>
  <si>
    <t>Former Salesforce people</t>
  </si>
  <si>
    <t>Vitaly Gordon</t>
  </si>
  <si>
    <t>DevOps, monitoring</t>
  </si>
  <si>
    <t>Delafield, Wisconsin</t>
  </si>
  <si>
    <t>Lupa Systems, TitletownTech, Betawork Ventures</t>
  </si>
  <si>
    <t>Lupa Systems, Titletown Tech, Betaworks, Esri, Booz Allen, Betaworks Ventures</t>
  </si>
  <si>
    <t>Lupa Systems, TitletownTech, Esri, Booz Allen Ventures, Betaworks Ventures</t>
  </si>
  <si>
    <t>Corey Jaskolski</t>
  </si>
  <si>
    <t>Image labeling</t>
  </si>
  <si>
    <t>Ann Arbor, MI</t>
  </si>
  <si>
    <t>Top Harvest Capital, Shasta Ventures, Drive Capital</t>
  </si>
  <si>
    <t>Brian Moore</t>
  </si>
  <si>
    <t>Computer Vision platform</t>
  </si>
  <si>
    <t>Decibel, Village Global, AI Fund</t>
  </si>
  <si>
    <t>Sands Capital, Decibel Partners, AI Fund</t>
  </si>
  <si>
    <t>AI Compliance, Ethics</t>
  </si>
  <si>
    <t>a16z, Sequoia Capital, SVA, YC, Guillermo Rauch, Dylan Field, Lachy Groom, Andrej Karpathy</t>
  </si>
  <si>
    <t>Ben Firshman</t>
  </si>
  <si>
    <t>Hosting Models</t>
  </si>
  <si>
    <t>Madrona, Norwest Venture Partners, Factory, Jeff Hammerbacher, Charles Zedlewski</t>
  </si>
  <si>
    <t>Data stack automation</t>
  </si>
  <si>
    <t>Spider Capital, Crosslink Capital, Global Founders Capital</t>
  </si>
  <si>
    <t>Sorenson Ventures, Crosslink Capital, Spider Capital, Silicon Valley Bank, Global Founders Capital</t>
  </si>
  <si>
    <t>Cyril Brignone</t>
  </si>
  <si>
    <t>Platform</t>
  </si>
  <si>
    <t>Tel Aviv</t>
  </si>
  <si>
    <t>Group 11, L4 Venture Builder, Mangrove</t>
  </si>
  <si>
    <t>Dor Eligula, Gabriel Diamant, Or Eligula</t>
  </si>
  <si>
    <t>Finance research</t>
  </si>
  <si>
    <t>Union Square Ventures, Wisdom Ventures, Northwell Holdings, LG Technology Ventures, Comcast Ventures, Evan Sharp</t>
  </si>
  <si>
    <t>Alan Cowen</t>
  </si>
  <si>
    <t>Emotion analysis</t>
  </si>
  <si>
    <t>Unimpressive</t>
  </si>
  <si>
    <t>Text-to-3D</t>
  </si>
  <si>
    <t>Ziyu Wang</t>
  </si>
  <si>
    <t>3D Reconstruction</t>
  </si>
  <si>
    <t>Haiper</t>
  </si>
  <si>
    <t>Parkwalk Advisors, Oxford Science Enterprises</t>
  </si>
  <si>
    <t>Parkwalk Advisors</t>
  </si>
  <si>
    <t>Aioi Nissay Dowa Insurance</t>
  </si>
  <si>
    <t>Michael Osborne, Stephen Roberts</t>
  </si>
  <si>
    <t>ML platform</t>
  </si>
  <si>
    <t>Mind Foundry</t>
  </si>
  <si>
    <t>Inovo VC</t>
  </si>
  <si>
    <t>Gradient Ventures, 10x Founders, Pascal Weinberger, Jack Altman</t>
  </si>
  <si>
    <t>Tiger, Inovo VC, Gradient Ventures, 10x Founders, Jack Altman</t>
  </si>
  <si>
    <t>Maja Schaefer, Matt Ciolek</t>
  </si>
  <si>
    <t>Customer Service bots</t>
  </si>
  <si>
    <t>Google Ventures, SVA, NEA, Formula Ventures, Essence VC</t>
  </si>
  <si>
    <t>Former head of ML at Slack</t>
  </si>
  <si>
    <t>Adam Oliner</t>
  </si>
  <si>
    <t>ML Platform</t>
  </si>
  <si>
    <t>SmartGateVC, Granatus Ventures</t>
  </si>
  <si>
    <t>Point Nine, SmartGateVC, Runa Capital, Point Nine, Granatus Ventures, Fathom Capital, Berkeley SkyDeck Fund</t>
  </si>
  <si>
    <t>Base10 Partners, Runa Capital, Point Nine, Plug and Play, Fathom Capital</t>
  </si>
  <si>
    <t>Davit Badalyan, Tigran Petrosyan</t>
  </si>
  <si>
    <t>Training Data platform, CV pipeline</t>
  </si>
  <si>
    <t>CRV, Y Combinator, WndrCo, Harvard, Des Traynor, Crane Venture</t>
  </si>
  <si>
    <t>CRV, Y Combinator, Harpoon, Crane</t>
  </si>
  <si>
    <t>Eric Landau</t>
  </si>
  <si>
    <t>Computer Vision, Annotation</t>
  </si>
  <si>
    <t>StageOne Ventures, Point72 Ventures, Pathbreaker Ventures, Morado Ventures, Cota Capital, Coelius Capital, AME Cloud Ventures, Zach Coelius, John Lilly, Jaan Tallinn, Georges Harik</t>
  </si>
  <si>
    <t>Itamer Arel, Ron Chrisley</t>
  </si>
  <si>
    <t>Ohio</t>
  </si>
  <si>
    <t>Surge, Emergent Ventures</t>
  </si>
  <si>
    <t>Suvrat Bhooshan</t>
  </si>
  <si>
    <t>Personalized Videos</t>
  </si>
  <si>
    <t>Pittsburgh</t>
  </si>
  <si>
    <t>Pillar VC, KdT Ventures</t>
  </si>
  <si>
    <t>Bessemer Venture partners</t>
  </si>
  <si>
    <t>Union Square Ventures, UPMC, Zen Chu, Pillar VC, KdT Ventures, Bessemer Venture Partners, Esther Dyson, Aneesh Chopra</t>
  </si>
  <si>
    <t>Wittington Ventures, Whistler Capital Partners, UPMC Enterprises, Union Square Ventures, Pillar VC, Bessemer Venture Partners</t>
  </si>
  <si>
    <t>Florian Metze, Sandeep Konam, Shivdev Rao</t>
  </si>
  <si>
    <t>Doctor notes</t>
  </si>
  <si>
    <t>Seattle</t>
  </si>
  <si>
    <t>Norwest Venture Partners, Seven Peaks Ventures, Lightspeed, Ascend</t>
  </si>
  <si>
    <t>Jason Flaks</t>
  </si>
  <si>
    <t>"Chief of staff"</t>
  </si>
  <si>
    <t>Toronto</t>
  </si>
  <si>
    <t>Genesis, Pelorus Venture Capital, Killick Capital, Good News Ventures, Concrete Ventures</t>
  </si>
  <si>
    <t>Path Ventures</t>
  </si>
  <si>
    <t>Moxxie Ventures, Thomson Reuters Ventures, Bling Capital, Concrete Ventures, BDC Venture Capital, Good News Ventures, Inovia Capital, N49P, The LegalTech Fund</t>
  </si>
  <si>
    <t>Spellbook (Rally)</t>
  </si>
  <si>
    <t>Quebec, Canada</t>
  </si>
  <si>
    <t>Panache Ventures, Real Ventures, One Way Ventures, Hike Ventures, Fonds Innovexport, Creative Destruction Lab, BoxOne Ventures</t>
  </si>
  <si>
    <t>Decibel, Real Ventures, overtime.vc, Inovia Capital, Hike Ventures, Bossanova Investimentos</t>
  </si>
  <si>
    <t>Chatbots</t>
  </si>
  <si>
    <t>Sylvain Perron</t>
  </si>
  <si>
    <t>Chatbot automater</t>
  </si>
  <si>
    <t>Team8, Inference Partners, Conviction VC</t>
  </si>
  <si>
    <t>Eight Roads Ventures, Allon Ventures</t>
  </si>
  <si>
    <t>Assaf Egozi, Oren Raboy</t>
  </si>
  <si>
    <t>Growth/Marketing just for Amazon channel</t>
  </si>
  <si>
    <t>Headline, TPY Capital, Khosla, Hetz</t>
  </si>
  <si>
    <t>Samsung NEXT, Qualcomm Ventures, OurCrowd, TPY Capital, Khosla Ventures, Hetz Ventures, Headline</t>
  </si>
  <si>
    <t>Dror Weiss, Eran Yahav</t>
  </si>
  <si>
    <t>Code completion</t>
  </si>
  <si>
    <t>Elad Gil, Thrive Capital</t>
  </si>
  <si>
    <t>Ashish Vaswani, Niki Parmar</t>
  </si>
  <si>
    <t>LLM tools</t>
  </si>
  <si>
    <t>Natoma, Legion Capital, Grateful Ventures, Backswing Ventures</t>
  </si>
  <si>
    <t>Octave Ventures LLC, Legion Capital, Grateful Ventures, Alpha Intelligence Capital, Alliance Holdings GP</t>
  </si>
  <si>
    <t>Safety</t>
  </si>
  <si>
    <t>Billy Hunter, Caleb Jones, Dustin Brooks, Mike Lahiff, Rob Huberty, Sam Alaimo, Tim Sulzer</t>
  </si>
  <si>
    <t>AI Gun Detection</t>
  </si>
  <si>
    <t>ZeroEyes</t>
  </si>
  <si>
    <t>TOMS Shoes, SVA, Seraph Group, Partech, Lerer Hippeau, FJ Labs, Crosslink Capital, Cantos, Boost VC, Xavier Niel, Tim Draper, Steve Blank, Pierre Valade, Blake Mycoskie, The Index Project, Dorm Room Fund</t>
  </si>
  <si>
    <t>Khosla Ventures, Initialized Capital, Day One Ventures</t>
  </si>
  <si>
    <t>Khosla Ventures, Sorenson Ventures, Ring Capital, Lerer Hippeau, FrenchFounders, Initialized Capital</t>
  </si>
  <si>
    <t>Transcription</t>
  </si>
  <si>
    <t>Pieter Doevendans, Skinner Cheng, Thibault Duchemin</t>
  </si>
  <si>
    <t>Real-time transcription</t>
  </si>
  <si>
    <t>Anzu Partners, The E14 Fund, Silicon Catalyst, Scout Ventures, Schams Ventures, Alumni Ventures, AlleyCorp</t>
  </si>
  <si>
    <t>FPGA</t>
  </si>
  <si>
    <t>FPGA for AI</t>
  </si>
  <si>
    <t>EnCharge AI</t>
  </si>
  <si>
    <t>Gaingels, Accel, Bossanova, South Park Commons, Slow Ventures, Pareto Holdings, Kevin Mahaffey, Edward Lando</t>
  </si>
  <si>
    <t>Spacecadet Ventures, 10X Capital</t>
  </si>
  <si>
    <t>Two Sigma Ventures, Spacecadet Ventures, South Park Commons, Slow Ventures, Basis Set Ventures, Accel</t>
  </si>
  <si>
    <t>Image Workflow</t>
  </si>
  <si>
    <t>Joseph Reisinger, Matt Stanton</t>
  </si>
  <si>
    <t>Image Tools</t>
  </si>
  <si>
    <t>Facet.ai</t>
  </si>
  <si>
    <t>Insight Partners, Alexander Hudek, Noah Waisberg</t>
  </si>
  <si>
    <t>Document AI</t>
  </si>
  <si>
    <t>Somerville, MA</t>
  </si>
  <si>
    <t>Comcast Ventures, Pillar, NEA, a16z, Amdocs</t>
  </si>
  <si>
    <t>NEA, Ridgeline, Pillar VC, Comcast Ventures, a16z, Amdocs</t>
  </si>
  <si>
    <t>Alex Matveev</t>
  </si>
  <si>
    <t>DeepSparse, SparseML, compute on CPU</t>
  </si>
  <si>
    <t>Beta Ventures, The Ark Fund</t>
  </si>
  <si>
    <t>Emma Group, TBD Angels, Simma Capital, Salkantay Ventures, MatterScale Ventures, Rodrigo Schmidt, Mike Shoemaker, Michael Lazerow, Kass Lazerow, Haiping Zhao, Diego Piacentini, Brian Requarth</t>
  </si>
  <si>
    <t>Alexander Torrenegra, Andres Cajiao</t>
  </si>
  <si>
    <t>Kid Venture Capital</t>
  </si>
  <si>
    <t>Multicoin Capital, Mark Cuban, IOSG Ventures, Crypto.com, Bitkraft Ventures, Alameda Ventures, 6th Man Ventures</t>
  </si>
  <si>
    <t>Arif Khan</t>
  </si>
  <si>
    <t>CharacterGPT, Interactive Agent NFTs</t>
  </si>
  <si>
    <t>Alethea AI</t>
  </si>
  <si>
    <t>Swift Ventures, PJC, LETA Capital, Kubera Venture Capital, iRobot Ventures, Bossanova Investimentos, Boom Capital, Bee Capital</t>
  </si>
  <si>
    <t>468 Capital, Strawberry Creek Ventures, Sorenson Ventures, PJC, Kubera Venture Capital, iRobot Ventures, Boom Capital, Bee Partners</t>
  </si>
  <si>
    <t>Yashar Behzadi</t>
  </si>
  <si>
    <t>Data generation, synthetic data</t>
  </si>
  <si>
    <t>Nat Friedman, James Cham, Daniel Gross, Anthony Goldbloom</t>
  </si>
  <si>
    <t>Quiet Capital, Spencer Kimball, Naval Ravikant, Max Altman, Jordan Tigani, Jack Altman, Guillermo Rauch, Amjad Masad, Akshay Kothari</t>
  </si>
  <si>
    <t>My favorite VDB</t>
  </si>
  <si>
    <t>Chroma</t>
  </si>
  <si>
    <t>Humanoid</t>
  </si>
  <si>
    <t>Jerome Monceaux</t>
  </si>
  <si>
    <t>Mirokai, furry robot</t>
  </si>
  <si>
    <t>Enchanted Tools</t>
  </si>
  <si>
    <t>Insight Partners, Unusual Ventures</t>
  </si>
  <si>
    <t>Jared Parker, Patrick Dougherty</t>
  </si>
  <si>
    <t>Data inconsistency</t>
  </si>
  <si>
    <t>Des Moines, Iowa</t>
  </si>
  <si>
    <t>Craft Ventures, Next Level Ventures, Lachy Groom, Leore Avidar, Kevin Liu, James Tamplin, Elizabeth Caven, Calvin French-Owen, Aston Motes</t>
  </si>
  <si>
    <t>Craft Ventures, Sam Altman, Quiet Capital, Mike Maples Jr, Max Altman, Lachy Groom, Joe Morrissey, Jack Altman, Harry Hurst, Greg Brockman, DJ Patil, Cassidy Williams</t>
  </si>
  <si>
    <t>2019</t>
  </si>
  <si>
    <t>Brad Dwyer, Joseph Nelson</t>
  </si>
  <si>
    <t>Computer vision models, dev tools</t>
  </si>
  <si>
    <t>Campbell, CA</t>
  </si>
  <si>
    <t>Reliance Jio, Naver</t>
  </si>
  <si>
    <t>Artificial Reality</t>
  </si>
  <si>
    <t>AutoCameo, video</t>
  </si>
  <si>
    <t>Two Platforms (two.ai)</t>
  </si>
  <si>
    <t>Credit Suisse NEXT Investors, Hack VC, Uncorrelated Ventures, Nexus Venture Partners, Bossanova Investimentos</t>
  </si>
  <si>
    <t>Daniel Chen, Jeremy Huang, Thomas Li</t>
  </si>
  <si>
    <t>Document retrieval, data extraction</t>
  </si>
  <si>
    <t>Insight Partners, Swift Ventures, Stardom Ventures, Matias Ventures, Booster Ventures Roi Tiger, Kevin Reilly, Gideon Marks, Emiliano Calemzuk, Danny Grander, Daniel Chadash</t>
  </si>
  <si>
    <t>Nir Krakowski, Ofir Krakowski</t>
  </si>
  <si>
    <t>Dubbing</t>
  </si>
  <si>
    <t>Deepdub</t>
  </si>
  <si>
    <t>ZWC Partners</t>
  </si>
  <si>
    <t>ZWC Partners, GGV Capital, Insignia Ventures Partners, Wavemaker Partners</t>
  </si>
  <si>
    <t>Hillhouse, Gaorong Capital, Yunqi Partners, Wavemaker Partners, Singtel Innov8, K3 Ventures, Insignia Venture Partners, GGV Capital</t>
  </si>
  <si>
    <t>Wiz.ai</t>
  </si>
  <si>
    <t>Taavet Hinrikus, Sten Tamkivi, Ott Kaukver, Jaan Tallinn</t>
  </si>
  <si>
    <t>Project A Ventures, Producement, DocuSign</t>
  </si>
  <si>
    <t>Atomico, Taavet Hinrikus, Sten Tamkivi, Project A Ventures, Ott Kaukver, Metaplanet Holdings</t>
  </si>
  <si>
    <t>3VC, Taavet+Sten, Project A Ventures, NordicNinja VC, Metaplanet Holdings, Maersk Growth, Atomico</t>
  </si>
  <si>
    <t>Procurement</t>
  </si>
  <si>
    <t>Kaspar Korjus, Kristjan Korjus, Martin Rand</t>
  </si>
  <si>
    <t>Automated Contract Negotiation</t>
  </si>
  <si>
    <t>Vertex Ventures Israel, Schusterman Foundation, Grove Ventures</t>
  </si>
  <si>
    <t>ALIVE Israel HealthTech Fund, Vertex Ventures Israel, Schusterman Foundation, Grove Ventures</t>
  </si>
  <si>
    <t>Ronen Lavi, Shay Perera</t>
  </si>
  <si>
    <t>Helps GPs and physicians prepare to see patients</t>
  </si>
  <si>
    <t>Irving, Texas</t>
  </si>
  <si>
    <t>Pacific Advantage Capital, Jump Capital, Tribeca Early Stage Partners, Saint Francis Health System, PCCI, Children's Health</t>
  </si>
  <si>
    <t>Concord Health Partners, OSF Ventures, Children's Health</t>
  </si>
  <si>
    <t>Ruben Amarasingham</t>
  </si>
  <si>
    <t>Hospital readmission</t>
  </si>
  <si>
    <t>Conductive Ventures, Duke Chung</t>
  </si>
  <si>
    <t>Recruitment</t>
  </si>
  <si>
    <t>Steven Jiang, Xinwen Zhang</t>
  </si>
  <si>
    <t>HireEz</t>
  </si>
  <si>
    <t>Providence, RI</t>
  </si>
  <si>
    <t>Bremar Energy</t>
  </si>
  <si>
    <t>Keyframe, Braemar, American Electric Power</t>
  </si>
  <si>
    <t>Moore, Nvidia, MUUS, Microsoft, Keyframe, Braemar</t>
  </si>
  <si>
    <t>Energy</t>
  </si>
  <si>
    <t>Jeremy Wilson</t>
  </si>
  <si>
    <t>Utilities/energy</t>
  </si>
  <si>
    <t xml:space="preserve">Kae Capital, </t>
  </si>
  <si>
    <t>Pi Ventures, Kae Capital</t>
  </si>
  <si>
    <t>W Health Ventures, Pi Ventures, Kae Capital, Google Assistant Investments</t>
  </si>
  <si>
    <t>HealthQuad, W Health Ventures, Pi Ventures, Kae Capital, Google Assistant Investments, British International Investment</t>
  </si>
  <si>
    <t>Not really AI, using chatbot</t>
  </si>
  <si>
    <t>Health</t>
  </si>
  <si>
    <t>Jo Aggarwal, Ramakant Vempati</t>
  </si>
  <si>
    <t>Wysa</t>
  </si>
  <si>
    <t>Los Altos, CA</t>
  </si>
  <si>
    <t>Greycroft, WestWave Capital, Emergent Ventures, Zoom</t>
  </si>
  <si>
    <t>Presentations</t>
  </si>
  <si>
    <t>Rajat Mishra</t>
  </si>
  <si>
    <t>Slideshow/presentations</t>
  </si>
  <si>
    <t>Virginia</t>
  </si>
  <si>
    <t>Greycroft, Glade Brook, Cox Enterprises</t>
  </si>
  <si>
    <t>Roy Schwartz, Jim VandeHei</t>
  </si>
  <si>
    <t>Former Axios, communications software</t>
  </si>
  <si>
    <t>Zillionize, Y Combinator, Justin Waldron</t>
  </si>
  <si>
    <t>ACME Capital, Y Combinator, Ludlow Ventures, Shervin Pishevar</t>
  </si>
  <si>
    <t>Khosla Ventures, ACME Capital, Phil Libin, Richard Socher</t>
  </si>
  <si>
    <t>AI Companion</t>
  </si>
  <si>
    <t>Eugenia Kuyda</t>
  </si>
  <si>
    <t>Replika</t>
  </si>
  <si>
    <t>NEA, Sequoia Capital, IA Ventures, Critical Ventures, B5 Capital</t>
  </si>
  <si>
    <t>Former DataRobot team</t>
  </si>
  <si>
    <t>Jeremy Achin</t>
  </si>
  <si>
    <t>QoL app</t>
  </si>
  <si>
    <t>SVA, UpHonest Capital, Wei Guo, Atomic</t>
  </si>
  <si>
    <t>Khosla Ventures, Felicis, Cherubic Ventures</t>
  </si>
  <si>
    <t>Icon Ventures, Khosla Ventures, Felicis</t>
  </si>
  <si>
    <t>J2 Ventures, Red Cell Partners, Marlinspike Capital, Perot Jain, Atomic, HID Global, Icon Ventures</t>
  </si>
  <si>
    <t>Andrew Dudum, Charlie Melbye, Don Holly, Jon Mumm</t>
  </si>
  <si>
    <t>Reimagine Ventures</t>
  </si>
  <si>
    <t>Reimagine Ventures, Kindred Ventures, Galaxy Interactive, Amaranthine</t>
  </si>
  <si>
    <t>Insight Partners, Remagine Ventures, Kindred Ventures, Galaxy Interactive, Eynat Guez, Digital Horizon, Cerca Partners, Amaranthine</t>
  </si>
  <si>
    <t>Virtual Presenters</t>
  </si>
  <si>
    <t>Entrepreneurs Roundtable Accelerator, Dorm Room Fund, Cornell Tech</t>
  </si>
  <si>
    <t>Hanaco Venture Capital, Spider Capital, ERA Capital Partners</t>
  </si>
  <si>
    <t>Spero Ventures, Twilio, Spider Capital, Mindset Ventures, Hanaco Venture Capital, Entrepreneurs Roundtable Accelerator</t>
  </si>
  <si>
    <t>Macquarie Capital, Spero Ventures, Mindset Ventures, K20 Fund, Black Opal Ventures, Hanaco Venture Capital, Liberty Mutual Strategic Ventures</t>
  </si>
  <si>
    <t>Israel Krush, Rom Cohen</t>
  </si>
  <si>
    <t>Healthcare, IVR</t>
  </si>
  <si>
    <t>Notion Capital, SCOR Ventures, Playfair Capital, Flexport, Firstminute Capital, Elkstone Capital Partners, CircleRock Capital</t>
  </si>
  <si>
    <t>Workplace Safety</t>
  </si>
  <si>
    <t>Ciarán O'Mara, Dan Hobbs</t>
  </si>
  <si>
    <t>CCTV CV</t>
  </si>
  <si>
    <t>Marlborough, MA</t>
  </si>
  <si>
    <t>Multiples</t>
  </si>
  <si>
    <t>Asif Hasan</t>
  </si>
  <si>
    <t>Quantiphi</t>
  </si>
  <si>
    <t>www.enlitic.com</t>
  </si>
  <si>
    <t>Seven Peaks, DCVC, Amplify</t>
  </si>
  <si>
    <t>Capitol Health, DCVC, Amplify</t>
  </si>
  <si>
    <t>Marubeni, Capitol Health, Allum Capital</t>
  </si>
  <si>
    <t>Thorney Investment, The Jagen Group, Regal Funds Management, Marubeni, Capitol Health, Amplify</t>
  </si>
  <si>
    <t>Jeremy Howard, Kevin Lyman</t>
  </si>
  <si>
    <t>Radiology/PACS</t>
  </si>
  <si>
    <t>Julien Codorniou</t>
  </si>
  <si>
    <t>Alexandre Lebrun, Delphine Groll, Martin Raison</t>
  </si>
  <si>
    <t>GPT-3, patient conversations</t>
  </si>
  <si>
    <t>Nabla</t>
  </si>
  <si>
    <t>Simon Robey, Jacob Rothschild</t>
  </si>
  <si>
    <t>Searching for investments for investors</t>
  </si>
  <si>
    <t>Jordan Monnet, Maxim Parr</t>
  </si>
  <si>
    <t>Asian startup search engine</t>
  </si>
  <si>
    <t>Nr2</t>
  </si>
  <si>
    <t>Flying Fish Partners, U Washington, Section 32, NJF Capital, Firstminute Capital</t>
  </si>
  <si>
    <t>Flying Fish Partners, Starshot Capital, Section 32, Root and Shoot Partners, Outcomes Fund, Mark Cuban, Character</t>
  </si>
  <si>
    <t>Starshot Capital, Vela Partners, Section 32, Root and Shoot Ventures, Mustafa Suleyman, Helena, Flying Fish Partners, Character, Ahren Innovation Capital</t>
  </si>
  <si>
    <t>Plant</t>
  </si>
  <si>
    <t>Industrial</t>
  </si>
  <si>
    <t>Plural Platform, Metaplanet, Nat Friedman</t>
  </si>
  <si>
    <t>Pre-product</t>
  </si>
  <si>
    <t>AI Safety</t>
  </si>
  <si>
    <t>Connor Leahy</t>
  </si>
  <si>
    <t>LULWUT</t>
  </si>
  <si>
    <t>www.workera.ai</t>
  </si>
  <si>
    <t>Owl Ventures, AI Fund, Plug and Play</t>
  </si>
  <si>
    <t>NEA, Owl Ventures, Pieter Abbeel, Mehran Sahami, Lake Dai</t>
  </si>
  <si>
    <t>Jump Capital, Sozo Ventures, Owl Ventures, NEA, AI Fund</t>
  </si>
  <si>
    <t>Skills</t>
  </si>
  <si>
    <t>James Lee, Kian Katanforoosh, Andrew Ng</t>
  </si>
  <si>
    <t>AI/ML skills testing/training</t>
  </si>
  <si>
    <t>Square Peg, Emerge, Danny Hadar</t>
  </si>
  <si>
    <t>Insight Partners, Vintage Investment Partners, Square Peg Capital, Samsung NEXT, Fort Ross Ventures, Emerge</t>
  </si>
  <si>
    <t>Square Peg Capital, Jibe Ventures, Insight Partners, ICON - Israel Collaboration Network, Fort Ross Ventures, Emerge</t>
  </si>
  <si>
    <t>Jonathan Elial, Ran El-Yaniv, Yonatan Geifman</t>
  </si>
  <si>
    <t>Hardware Platform</t>
  </si>
  <si>
    <t>Aspen Capital Group, Oak HC/FT</t>
  </si>
  <si>
    <t>Jayant Lakshmikanthan</t>
  </si>
  <si>
    <t>Vertex Ventures, TLV Partners, Yevgeny Dibrov, Nadir Izrael, Gili Raanan</t>
  </si>
  <si>
    <t>Tiger, Vertex Ventures, TLV Partners, Tal Ventures, Samsung NEXT</t>
  </si>
  <si>
    <t>Alon Gubkin, Liran Hason</t>
  </si>
  <si>
    <t>Observability &amp; Monitoring</t>
  </si>
  <si>
    <t>Redwood City, CA</t>
  </si>
  <si>
    <t>Greylock, Wing Venture Capital, Conversion Capital, Aaref Hilaly</t>
  </si>
  <si>
    <t>Wing Venture Capital, Harpoon, Greylock, Data Community Fund, Conversion Capital, B Capital Group</t>
  </si>
  <si>
    <t>Menlo Ventures, Wing Venture Capital, Harpoon, Greylock, Forgepoint Capital, Data Community Fund, Conversion Capital, B Capital Group</t>
  </si>
  <si>
    <t>Anupam Datta, Shayak Sen, Will Uppington</t>
  </si>
  <si>
    <t>TruLens</t>
  </si>
  <si>
    <t>New Era Capital, Hamilton Lane</t>
  </si>
  <si>
    <t>2020</t>
  </si>
  <si>
    <t>Guy Ernest</t>
  </si>
  <si>
    <t>Manufacturing NLP</t>
  </si>
  <si>
    <t>Headline, Stanislas de Bentzmann, Gus Robertson, Financiere Saint James, Olivier Pomel, Serena</t>
  </si>
  <si>
    <t>Balderton Capital, Serena, Headline, Chris Schagen, Dimitri Sirota, Financiere Saint James, Olivier Pailhes</t>
  </si>
  <si>
    <t>Francois-Xavier Leduc</t>
  </si>
  <si>
    <t>Data Cleaning</t>
  </si>
  <si>
    <t>Kili Technology</t>
  </si>
  <si>
    <t>San Jose</t>
  </si>
  <si>
    <t>Greenoaks, Carlos Delatorre, Howie Liu, Nitesh Banta, Richard Socher, Sahir Azam, Spencer Kimball</t>
  </si>
  <si>
    <t>Greenoaks, Founders Fund</t>
  </si>
  <si>
    <t>Varun Mohan</t>
  </si>
  <si>
    <t>GPUs</t>
  </si>
  <si>
    <t>Redpoint, Swift Ventures, Bow Capital, Unusual Ventures</t>
  </si>
  <si>
    <t>Michael Malyuk</t>
  </si>
  <si>
    <t>Labeling</t>
  </si>
  <si>
    <t>Khosla Ventures, Y Combinator, Investo, Justin Mateen</t>
  </si>
  <si>
    <t>Justin Mateen, JAM Fund</t>
  </si>
  <si>
    <t>OpenAI, Lachy Groom, Justin Mateen, Josh Buckley, Gokul Rajaram, Buckley Ventures, Founders Fund</t>
  </si>
  <si>
    <t>Connor Zwick</t>
  </si>
  <si>
    <t>English teacher</t>
  </si>
  <si>
    <t>Speak (usespeak.com) or speak.com?</t>
  </si>
  <si>
    <t>Irvine, CA</t>
  </si>
  <si>
    <t>Orchestration</t>
  </si>
  <si>
    <t>Networking</t>
  </si>
  <si>
    <t>AXON Networks</t>
  </si>
  <si>
    <t>Khosla, General Catalyst, Civilization Ventures</t>
  </si>
  <si>
    <t>Morningside Venture Investments, Khosla Ventures, General Catalyst</t>
  </si>
  <si>
    <t>Neal Khosla</t>
  </si>
  <si>
    <t>Chatbot?</t>
  </si>
  <si>
    <t>Felicis, Sancus Ventures, Greylock, Factory, Zoubin Gharamani, Yi Wang, Varun Badhwar, Remi El-Ouazzane, Ben Hamner, Anthony Goldbloomb</t>
  </si>
  <si>
    <t>Devvret Rishi</t>
  </si>
  <si>
    <t>"Alternative to AutoML", low-code declarative ML platform</t>
  </si>
  <si>
    <t>Edwin Chen</t>
  </si>
  <si>
    <t>Surge AI</t>
  </si>
  <si>
    <t>Enterprise Analytics</t>
  </si>
  <si>
    <t>Aible</t>
  </si>
  <si>
    <t>Heidelberg</t>
  </si>
  <si>
    <t>LEA Partners, Cavalry Ventures, 468 Capital, Public</t>
  </si>
  <si>
    <t>UVC Partners, Earlybird Venture Capital, Lakestar, LEA Partners, Cavalry Ventures, 468 Capital</t>
  </si>
  <si>
    <t>Language Model</t>
  </si>
  <si>
    <t>Jonas Andrulis, Samuel Weinbach</t>
  </si>
  <si>
    <t>Aleph Alpha</t>
  </si>
  <si>
    <t>Dallas</t>
  </si>
  <si>
    <t>Nat Friedman, Daniel Gross, Patrick Collison, Tobi Lutke, Sequoia, Capital Factory, Jim Keller</t>
  </si>
  <si>
    <t>No official announcement</t>
  </si>
  <si>
    <t>2019?</t>
  </si>
  <si>
    <t>AGI</t>
  </si>
  <si>
    <t>John Carmack</t>
  </si>
  <si>
    <t>Keen Technologies</t>
  </si>
  <si>
    <t>www.radai.com</t>
  </si>
  <si>
    <t>Kickstart, Gradient, UP2398, Precursor, Hike Ventures, Harmonix Fund, Fifty Years, City Light, GMO VenturePartners, Array Ventures, Immad Akhund</t>
  </si>
  <si>
    <t>Artis Ventures, Santa Barbara Venture Partners, Quarry, OCV, Kickstart, Gradient Ventures, City Light Capital</t>
  </si>
  <si>
    <t>Doktor Gurson, Jeff Chang</t>
  </si>
  <si>
    <t>Radiology automation</t>
  </si>
  <si>
    <t>Hamburg</t>
  </si>
  <si>
    <t>Jale Beteiligungs</t>
  </si>
  <si>
    <t>True Growth Capital</t>
  </si>
  <si>
    <t>Tim Stracke, Kai Hansen, Christian Wenger, Aurelia Ventures</t>
  </si>
  <si>
    <t>Project A Ventures, Insight Partners, Mountain Partners, Feliks Eyser</t>
  </si>
  <si>
    <t>Taxes</t>
  </si>
  <si>
    <t>German Tax returns</t>
  </si>
  <si>
    <t>ExpressSteuer</t>
  </si>
  <si>
    <t>Softbank Ventures Asia, Company K Partners, Stonebridge Capital, TBT, Primer Sazze Partners, Premier Partners</t>
  </si>
  <si>
    <t>Diverse</t>
  </si>
  <si>
    <t>Consumer AI</t>
  </si>
  <si>
    <t>Upstage AI</t>
  </si>
  <si>
    <t>Learn Capital</t>
  </si>
  <si>
    <t>Satya Nitta</t>
  </si>
  <si>
    <t>Robots for teachers</t>
  </si>
  <si>
    <t>Merlyn Mind</t>
  </si>
  <si>
    <t>Salem, New Hampshire</t>
  </si>
  <si>
    <t>NEA, Open Field Capital, B5 Capital, Cortical Ventures</t>
  </si>
  <si>
    <t>Jeremy Achin, Dmytro Zahanych</t>
  </si>
  <si>
    <t>Los Altos Hills, CA</t>
  </si>
  <si>
    <t>Unusual Ventures, Floodgate</t>
  </si>
  <si>
    <t xml:space="preserve">a16z, Unusual Ventures, The Todd &amp; Rahul Angel Fund, Shrug Capital, Floodgate, Dreamers VC, a16z Cultural Leadership Fund, Tony Liu, Todd Goldberg, Rahul Vohra, Lenny Rachitsky, Julia Lipton, Harry Stebbings, </t>
  </si>
  <si>
    <t>OpenAI, Oana Olteanu, Firestream Ventures, Material V</t>
  </si>
  <si>
    <t>Dennis Xu, Kevin Moody</t>
  </si>
  <si>
    <t>Productivity tool, note-taking</t>
  </si>
  <si>
    <t>Credo Ventures, Concept Ventures</t>
  </si>
  <si>
    <t>Nat Friedman, Daniel Gross</t>
  </si>
  <si>
    <t>Mati Staniszewski, Piotr Dabkowski</t>
  </si>
  <si>
    <t>Voice API</t>
  </si>
  <si>
    <t>ElevenLabs</t>
  </si>
  <si>
    <t>GGV Capital, SAP.iO, Yunqi Partners</t>
  </si>
  <si>
    <t>Canaan, Yunqi Partners, SAP.iO, Mango Capital, GGV Capital</t>
  </si>
  <si>
    <t>Han Xiao, Xuanbin He</t>
  </si>
  <si>
    <t>Multimodal LLM? LLMops</t>
  </si>
  <si>
    <t>NFX</t>
  </si>
  <si>
    <t>Summit, NFX</t>
  </si>
  <si>
    <t>Photos</t>
  </si>
  <si>
    <t>Ron Oren, Yoav Chai, Yotam Gil</t>
  </si>
  <si>
    <t>Lightroom editing assistant</t>
  </si>
  <si>
    <t>Imagen</t>
  </si>
  <si>
    <t>Sequoia, Engineering</t>
  </si>
  <si>
    <t>Sequoia, Ram Shriram, Harpoon, Engineering Capital, Alex Balkanski</t>
  </si>
  <si>
    <t>Tiger, Sequoia, Harpoon, Engineering Capital</t>
  </si>
  <si>
    <t>Yaron Singer</t>
  </si>
  <si>
    <t>Stress Test AI Models</t>
  </si>
  <si>
    <t>Google, Greylock, SVA, Factory</t>
  </si>
  <si>
    <t>Mojo</t>
  </si>
  <si>
    <t>Chris Lattner, Tim Davis</t>
  </si>
  <si>
    <t>www.eigentech.com</t>
  </si>
  <si>
    <t>Temasek, Goldman</t>
  </si>
  <si>
    <t>Lakestar, Dawn Capital, Temasek, Goldman</t>
  </si>
  <si>
    <t>37 at 113</t>
  </si>
  <si>
    <t>Documents</t>
  </si>
  <si>
    <t>Jonathan Feuer, Lewis Z. Liu</t>
  </si>
  <si>
    <t>Document processing/automation</t>
  </si>
  <si>
    <t>Capital G, Xavier Sarras, Roland Boubela, Noam Brown, Nat Friedman, Mehdi Ghissassi, Klaudius Kalcher, Fredrik Hjelm, Florian Huber, Elad Gil, Daniel Dippold, Bryan Pellegrino, Arthur Breitman, Amplify Partners, Adam Jafer, 10x Founders</t>
  </si>
  <si>
    <t>Auto-programmer</t>
  </si>
  <si>
    <t>Magic (magic.dev)</t>
  </si>
  <si>
    <t>Amadeus, Partech, Miele Venture, Air Street</t>
  </si>
  <si>
    <t>Temasek, Radical Ventures, Partech, Oriol Vinyals, Jose Valim, Francois Collet, Ashish Vaswani, Amadeus Capital, Air Street Capital</t>
  </si>
  <si>
    <t>Alberto Rizzoli</t>
  </si>
  <si>
    <t>Saint Louis, MO</t>
  </si>
  <si>
    <t>Equity.com</t>
  </si>
  <si>
    <t>Rice Park, Equity.com</t>
  </si>
  <si>
    <t>TMC Emerging Technology Fund, Rice Park Capital Management</t>
  </si>
  <si>
    <t>&gt;1500 customers</t>
  </si>
  <si>
    <t>Helpdesk</t>
  </si>
  <si>
    <t>Chris Sims, David Karandish</t>
  </si>
  <si>
    <t>AI helpdesk for employees and customers</t>
  </si>
  <si>
    <t>Capacity</t>
  </si>
  <si>
    <t>a16z, Unlock Venture Partners, Mantis Venture Capital, Advancit, Keen Crypto</t>
  </si>
  <si>
    <t>Seed: $25m valuation</t>
  </si>
  <si>
    <t>a16z, Keen Crypto, Mantis Venture Capital, Solana Ventures, Unlock Venture Partners, Sonam Kapoor Ahuja, Michael Ovitz, Keen Crypto, Infinity Ventures Crypto, Advancit Capital, Capitoria</t>
  </si>
  <si>
    <t>Games</t>
  </si>
  <si>
    <t>David Raskino, Rahul Sood</t>
  </si>
  <si>
    <t>MechaFightClub fail, pivot from crypto</t>
  </si>
  <si>
    <t>Irreverant Labs</t>
  </si>
  <si>
    <t>G42, Plug and Play, HCS, ARM, Arya Bolurfrushan, Price Stefan</t>
  </si>
  <si>
    <t>DeepDoc, Insurance</t>
  </si>
  <si>
    <t>Disney Accelerator</t>
  </si>
  <si>
    <t>SignalFIre, Cathay Innovation, NextGen Venture Partners, Eniac Ventures, Elad Gil, Coatue</t>
  </si>
  <si>
    <t>Noah Horton, Tyler Willis</t>
  </si>
  <si>
    <t>NEA, Marc Lore, Accel</t>
  </si>
  <si>
    <t>Marc Lore, Melissa Bridgeford</t>
  </si>
  <si>
    <t>Ecommerce BS</t>
  </si>
  <si>
    <t>Wizard</t>
  </si>
  <si>
    <t>Kleiner Perkins, CRV, The.AI Ventures, Sequoia, Meta</t>
  </si>
  <si>
    <t>Bitkraft Ventures, Disney, The Venture Reality Fund, Nate Mitchell, NaHC03, Microsoft, Kleiner Perkins, CRV</t>
  </si>
  <si>
    <t>Intel Capital, Section 32, The Venture Reality Fund, SK, NTT Docomo Ventures, Micron Ventures, Microsoft, LG Technology Ventures, Kleiner Perkins, HTC, Founders Fund, First Spark Ventures, CRV, Bitkraft Ventures</t>
  </si>
  <si>
    <t>Gaming</t>
  </si>
  <si>
    <t>Ilya Gelfenbeyn, Kylan Gibbs, Michael Ermolenko</t>
  </si>
  <si>
    <t>Character templates for NPCs</t>
  </si>
  <si>
    <t>Inworld</t>
  </si>
  <si>
    <t>TLV Partners, Spider Capital, Philippe Suchet</t>
  </si>
  <si>
    <t>Viola Ventures, TLV Partners, Spider Capital, Operator Partners, Matias Ventures, Michael Black</t>
  </si>
  <si>
    <t>Scale Venture Partners, Viola Ventures, TLV Partners, Spider Capital</t>
  </si>
  <si>
    <t>2018</t>
  </si>
  <si>
    <t>Avatars</t>
  </si>
  <si>
    <t>Gil Elbaz</t>
  </si>
  <si>
    <t>Synthetic character library, mainly enterprise but very cool</t>
  </si>
  <si>
    <t>Datagen</t>
  </si>
  <si>
    <t>Maryland</t>
  </si>
  <si>
    <t>General Analyst, a16z</t>
  </si>
  <si>
    <t>2022</t>
  </si>
  <si>
    <t>Alex Miller, Munjal Shah, Vishal Parikh</t>
  </si>
  <si>
    <t>Healthcare LLM</t>
  </si>
  <si>
    <t>Trinity Ventures, Foundation Capital, Brett Wilson</t>
  </si>
  <si>
    <t>Battery Ventures, Trinity Ventures, The House Fund, Swift Ventures, Foundation Capital</t>
  </si>
  <si>
    <t>TCV, Swift Ventures, Foundation Capital, Battery Ventures</t>
  </si>
  <si>
    <t>Aparna Dhinakaran, Jason Lopatecki</t>
  </si>
  <si>
    <t>Lightspeed, YC, Threshold Ventures, Tom Brown, Jonas Schneider, Drew Houston, Astera Institute, Arash Ferdowsi</t>
  </si>
  <si>
    <t>Kanjun Qiu, Josh Albrecht</t>
  </si>
  <si>
    <t>Crackhead stuff, I love it</t>
  </si>
  <si>
    <t>Generally Intelligent</t>
  </si>
  <si>
    <t>Haystack, Lightspeed Venture Partners, Bloomberg</t>
  </si>
  <si>
    <t>Lux Capital, Lightspeed Venture Partners, Haystack, Bloomberg Beta</t>
  </si>
  <si>
    <t>Insight Partners, Lux Capital, Lockheed Martin Ventures, Lightspeed Venture Partners, Haystack, Bossanova, Bloomberg Beta, Amazon Alexa Fund, Alteryx</t>
  </si>
  <si>
    <t>Amit Paka, Krishna Gade, Manoj Cheenath</t>
  </si>
  <si>
    <t>TSVC</t>
  </si>
  <si>
    <t>Note</t>
  </si>
  <si>
    <t>SK Hynix, Playground Global, Microsoft, Nautilus Venture Partners, Marvell, Entrada Ventures</t>
  </si>
  <si>
    <t>AI Chip</t>
  </si>
  <si>
    <t>Sid Sheth</t>
  </si>
  <si>
    <t>Intel Capital, Samsung, Lenovo, AI Fund</t>
  </si>
  <si>
    <t>McRock Capital, AI Fund, CPPIB, DRIVE Catalyst, Insight Partners, Intel Capital, Samsung Catalyst Fund, Taiwania Capital Management, Walsin Lihwa</t>
  </si>
  <si>
    <t>Andrew Ng</t>
  </si>
  <si>
    <t>Visual inspection for manufacturing</t>
  </si>
  <si>
    <t>Pat Condo</t>
  </si>
  <si>
    <t>Search engine</t>
  </si>
  <si>
    <t>Seekr Technologies</t>
  </si>
  <si>
    <t>Dell, Wing, +ND, Amplfiy</t>
  </si>
  <si>
    <t>Fidelity, Wing Venture, +ND Capital, Dell, Amplify, Alter Venture, Adage</t>
  </si>
  <si>
    <t>Fidelity, Lip-Bu Tan</t>
  </si>
  <si>
    <t>MSD Partners, Wing Venture Capital, +ND Capital, Fidelity, Dell, Amplify Partners, Alter Venture Partners, Lip-Bu Tan</t>
  </si>
  <si>
    <t>VentureTech Alliance, Navin Chaddha</t>
  </si>
  <si>
    <t>Krishna Rangasayee, Steven J. Rosston</t>
  </si>
  <si>
    <t>Palette, semiconductors</t>
  </si>
  <si>
    <t>Sima.AI</t>
  </si>
  <si>
    <t>Cathay Innovation, Zetta, Plug and Play, Firebolt, Citi, Bloomberg Beta</t>
  </si>
  <si>
    <t>Dell, Zetta, Liberty Global Ventures, GSR Ventures, Firebolt Ventures, Citi Ventures, Cathay Innovation</t>
  </si>
  <si>
    <t>SVA, Bain</t>
  </si>
  <si>
    <t>Index, Firstminute, Bain</t>
  </si>
  <si>
    <t>Coatue, Mantis, Index, Firstminute, Bain</t>
  </si>
  <si>
    <t>PyTorch Lightning</t>
  </si>
  <si>
    <t>Nat Friedman, John Collison, Daniel Gross, TechNexus</t>
  </si>
  <si>
    <t>Accel, Y Combinator, TechNexus, Nat Friedman, John Collison, Daniel Gross</t>
  </si>
  <si>
    <t>Insight Partners, Y Combinator, TechNexus, Accel</t>
  </si>
  <si>
    <t>Audio</t>
  </si>
  <si>
    <t>Dylan Fox</t>
  </si>
  <si>
    <t>Audio transcription</t>
  </si>
  <si>
    <t>Sequoia, SVA, A.Capital, Tristan handy, Sridhar Ramaswamy, Ronald Conway, Rob Eldridge, Li Fan, Igor Perisic, Greg Greeley, David Chaiken, Cory Scott</t>
  </si>
  <si>
    <t>Sequoia Capital, SVA, A.Capital Ventures, Ronald Conway, Michael Stoppelman, Michael Ovitz, Kevin Hartz, Frank Slootman, Clement Delangue</t>
  </si>
  <si>
    <t>Dong Wang, Hema Raghavan, Jure Leskovec, Vanja Josifovski</t>
  </si>
  <si>
    <t>Revenue/BI</t>
  </si>
  <si>
    <t>OpenAI, Jeff Dean, Elad Gil</t>
  </si>
  <si>
    <t>Sequoia, OpenAI, Conviction VC, SVA, Elad Gil</t>
  </si>
  <si>
    <t>15000 waiting list</t>
  </si>
  <si>
    <t>Gabriel Pereyra, Winston Weinberg</t>
  </si>
  <si>
    <t>GPT Lawyer</t>
  </si>
  <si>
    <t>HarveyAI</t>
  </si>
  <si>
    <t>Zizhu Xiaomiao Fund, Huashan Capital, ZhenFund, IMO Ventures</t>
  </si>
  <si>
    <t>Sequoia Capital China, Peak XV, Zizhu Xiaomiao Fund, ZhenFund, IMO Ventures, Huashan Capital</t>
  </si>
  <si>
    <t>VenturesLab, Tiger, Peak XV, Huashan Capital, First Plus, Coatue, Cathay Innovation</t>
  </si>
  <si>
    <t>Singaporean GPT call centers</t>
  </si>
  <si>
    <t>Netherlands</t>
  </si>
  <si>
    <t>Zetta Venture Partners, ING Ventures, Alex van Leeuwen</t>
  </si>
  <si>
    <t>NEA, Cortical Ventures, Zetta, SAV, ING Ventures, GTMfund</t>
  </si>
  <si>
    <t>Index Ventures, NEA, Battery Ventures, Cortical Ventures, ING Ventures, Zetta Venture Partners</t>
  </si>
  <si>
    <t>Vector Store</t>
  </si>
  <si>
    <t>Vector Database</t>
  </si>
  <si>
    <t>Elad Gil, Yann LeCun, Pieter Abbeel, Oriol Vinyals, Nat Friedman, Clement Delangue, Ashish Vaswani, Andrej Karpathy, Amjad Masad</t>
  </si>
  <si>
    <t>Susan Wojcicki, Soleio Cuervo, Paul Buchheit, NEA, Nat Friedman, Jeff Dean, Elad Gil, Databricks, Bob Muglia</t>
  </si>
  <si>
    <t>Andy Konwinski</t>
  </si>
  <si>
    <t>Raising $20m from Sequoia</t>
  </si>
  <si>
    <t>Prompt</t>
  </si>
  <si>
    <t>Harrison Chase</t>
  </si>
  <si>
    <t>Popular tool</t>
  </si>
  <si>
    <t>Langchain</t>
  </si>
  <si>
    <t>Delaware, US</t>
  </si>
  <si>
    <t>private and profitable, no investors or debt'</t>
  </si>
  <si>
    <t>No Investors</t>
  </si>
  <si>
    <t>John Snow Labs</t>
  </si>
  <si>
    <t>www.d-id.com</t>
  </si>
  <si>
    <t>Pitango, Y Combinator, Pegasus, Maverick, Foundation</t>
  </si>
  <si>
    <t>Pitango, Y Combinator, Pegasus Tech, Omron, Mindset, Maverick, Hyundai</t>
  </si>
  <si>
    <t>AXA Venture, Omron Ventures, Mindset Ventures, Maverick Ventures, Hyundai, AI Alliance, Pitango</t>
  </si>
  <si>
    <t>Macquarie Capital, OurCrowd, Pitango, OIF Ventures, Maverick, Marubeni, AXA Venture</t>
  </si>
  <si>
    <t>Impressive</t>
  </si>
  <si>
    <t>Eliran Kuta, Gil Perry, Sella Blondheim</t>
  </si>
  <si>
    <t>D-ID.ai</t>
  </si>
  <si>
    <t>Swift Ventures, SkyDeck Berkeley</t>
  </si>
  <si>
    <t>Vertex, Bow, The House Fund</t>
  </si>
  <si>
    <t>Tiger, Vertex, The House Fund, Bow Capital</t>
  </si>
  <si>
    <t>Tiger, Bow Capital, Pitney Bowes, Ahren Innovation</t>
  </si>
  <si>
    <t>David Gealy, Jeff Mahler, Ken Goldberg, Matt Matl, Stephen McKinley</t>
  </si>
  <si>
    <t>Parcel sorter</t>
  </si>
  <si>
    <t>www.syllable.ai</t>
  </si>
  <si>
    <t>NEA, Khosla, Greylock, Esther Dyson</t>
  </si>
  <si>
    <t>Oak HC/FT, Section 32</t>
  </si>
  <si>
    <t>TCV, Verily, Section 32, Oak HC/FT</t>
  </si>
  <si>
    <t>Andrew Rogers, Gui Bastos, Kobus Jooste</t>
  </si>
  <si>
    <t>NLP for healthcare contact</t>
  </si>
  <si>
    <t>Paul Graham, Garry Tan, Raymond Tonsing, Max Levchin, Arjun Lall, Alda Dennis, Justin Kain, Immad Akhund, Solomon Hykes, Aaron Levie, Adora Cheung, Elad Gil, Balaji Srinivasan, Sanjay Dastoor, Oliver Cameron, Ron Conway, Paul Buchheit, Charlie Cheever.</t>
  </si>
  <si>
    <t>Graphics</t>
  </si>
  <si>
    <t>Suhail Doshi</t>
  </si>
  <si>
    <t>Playground.ai</t>
  </si>
  <si>
    <t>Santa Barbara, CA</t>
  </si>
  <si>
    <t>Techstars, Cedars-Sinai Accelerator, Arch Grants</t>
  </si>
  <si>
    <t>TenOneTen Ventures, Freestyle Capital, Cedars-Sinai Accelerator, Techstars</t>
  </si>
  <si>
    <t>Jackson Square Ventures, TenOneTen Ventures, Techstars, Freestyle Capital</t>
  </si>
  <si>
    <t>Techstars, Freestyle Capital</t>
  </si>
  <si>
    <t>Lead Edge Capital, Summation Health Ventures, Structure Capital, Martin Ventures, Jackson Square Ventures, Health Velocity Capital, Freestyle Capital</t>
  </si>
  <si>
    <t>Guillaume De Zwirek, Joe Tischler</t>
  </si>
  <si>
    <t>Patient communication</t>
  </si>
  <si>
    <t>Artera (artera.io, Well Health)</t>
  </si>
  <si>
    <t>DST Global Partners, Radical Ventures, Snowflake</t>
  </si>
  <si>
    <t>2022?</t>
  </si>
  <si>
    <t>Yasa: enterprise LLM</t>
  </si>
  <si>
    <t>Reka</t>
  </si>
  <si>
    <t>Northwell, Aegis Ventures</t>
  </si>
  <si>
    <t>Venture studio/platform</t>
  </si>
  <si>
    <t>AI Fund, NEA, Social Discovery Group, Jazz Venture Partners, Gaingels</t>
  </si>
  <si>
    <t>Leaps by Bayer</t>
  </si>
  <si>
    <t>Temasek, Jazz, What If, Owl Ventures, NEA, Mirae Asset, Kicker Ventures, Gaingels, Bossanova, BlackRock, Alumni Ventures, AI Fund</t>
  </si>
  <si>
    <t>Alison Darcy</t>
  </si>
  <si>
    <t>Lightspeed, Index Ventures, Sofina, Redpoint, Motier Ventures, LocalGlobe, La Famiglia, JCDecaux Holding SA, Headline, Firstminute, Exor, Bpifrance, Eric Schmidt, Xavier Niel, Rodolphe Saade</t>
  </si>
  <si>
    <t>Worked on Llama at META</t>
  </si>
  <si>
    <t>2023</t>
  </si>
  <si>
    <t>Timothee Lacroix, Guillaume Lample, Arthur Mensch</t>
  </si>
  <si>
    <t>Seed Round</t>
  </si>
  <si>
    <t>Coatue, Kleiner Perkins, Tau Ventures, Quiet Capital, Qasar Younis, Ian Goodfellow, Gradient Ventures, Gokul Rajaram, Firebolt Ventures, Aparna Chennapragada</t>
  </si>
  <si>
    <t>Google Ventures, Kleiner Perkins, Operator Partners, Coatue, Aashima Gupta</t>
  </si>
  <si>
    <t>Clinical call automation</t>
  </si>
  <si>
    <t>Infinitus Systems (infinitus.ai)</t>
  </si>
  <si>
    <t>Outlier Ventures, Blockwall</t>
  </si>
  <si>
    <t>GDA Group</t>
  </si>
  <si>
    <t>DWF Labs</t>
  </si>
  <si>
    <t>Hard to take seriously</t>
  </si>
  <si>
    <t>Blockchain Dev Platform</t>
  </si>
  <si>
    <t>Humayun Sheikh, Thomas Hain, Toby Simpson</t>
  </si>
  <si>
    <t>"Agentverse"</t>
  </si>
  <si>
    <t>Fetch.ai</t>
  </si>
  <si>
    <t>Eric Schmidt, Ram Shriram, Paul Buchheit, Kkosla Ventures, Keval Desai, Elad Gil, Don Burnette, Deep Nishar, Avichal Garg</t>
  </si>
  <si>
    <t>Seed: 18m valuation</t>
  </si>
  <si>
    <t>Index Ventures, Eric Schmidt, Decibel Partners, Erica Schultz, Jeannette Furstenberg, Jerry Yang, Mariam Naficy, Ram Shriram</t>
  </si>
  <si>
    <t>Series A: $45m valuation</t>
  </si>
  <si>
    <t>Index, Decibel, Coatue</t>
  </si>
  <si>
    <t>Tiger, Index, Coatue, Alkeon</t>
  </si>
  <si>
    <t>Arvind Sundararajan</t>
  </si>
  <si>
    <t>Enterprise focus</t>
  </si>
  <si>
    <t>Italy</t>
  </si>
  <si>
    <t>Pietro Giuliani, Giorgio Chiellini, Andrea Bocelli</t>
  </si>
  <si>
    <t>Not disclosed</t>
  </si>
  <si>
    <t>Agents</t>
  </si>
  <si>
    <t>Vedrai</t>
  </si>
  <si>
    <t>500 Global, Greylock</t>
  </si>
  <si>
    <t>Coatue, Greylock, Audacious Ventures</t>
  </si>
  <si>
    <t>Lightspeed, Greylock, Coatue, Wing Venture Capital, Eric Schmidt, Emad Mostaque, David Luan, Bipul Sinha, Audacious Ventures, 8VC</t>
  </si>
  <si>
    <t>Powerpoint</t>
  </si>
  <si>
    <t>Point72 Ventures, Sands Capital Ventures, Passion Capital, Entrepreneur First, Amadeus Capital Partners</t>
  </si>
  <si>
    <t>Khosla Ventures, Sands Capital Ventures, Point72 Ventures, Passion Capital, Entrepreneur First, Amadeus Capital Partners</t>
  </si>
  <si>
    <t>Georgian, Twilio, Point72 Ventures, Khosla Ventures, Amadeus Capital Partners</t>
  </si>
  <si>
    <t>Miton, StartupYard</t>
  </si>
  <si>
    <t>LocalGlobe, Vijay Pandurangan, StartupYard, Seedcamp, Ryan Petersen, MITON, Michael Stoppelman, Elad Gil</t>
  </si>
  <si>
    <t>General Catalyst, Verissimo Ventures, Seedcamp, MITON, LocalGlobe, Dig Ventures, Elad Gil</t>
  </si>
  <si>
    <t>KYC, AP, Supply Chain</t>
  </si>
  <si>
    <t>Petr Baudis, Tomas Gogar, Tomas Tunys</t>
  </si>
  <si>
    <t>Document intake</t>
  </si>
  <si>
    <t>Loiusville, KY</t>
  </si>
  <si>
    <t>The Rise Fund</t>
  </si>
  <si>
    <t>Weather</t>
  </si>
  <si>
    <t>Chris Goode</t>
  </si>
  <si>
    <t>Forecasting. "Dalton AI"</t>
  </si>
  <si>
    <t>Climavision</t>
  </si>
  <si>
    <t>Vitruvian Partners, June Fund, Cumberland VC</t>
  </si>
  <si>
    <t>Leaps by Bayer, Bertelsmann, Farallon, Red River West, Vitruvian Partners, Samsung Catalyst Fund, Mutschler Ventures, Inteligo, F4</t>
  </si>
  <si>
    <t>Claire Novorol, Daniel Nathrath, Martin Hirsch</t>
  </si>
  <si>
    <t>Symptom Checker</t>
  </si>
  <si>
    <t>Coatue, Breyer Capital, J&amp;J, Koch Disruptive Technologies, Walden Catalyst, Time Ventures, TheFactory, Steve Blank, Michael Driscoll, Marc Benioff, Lip-Bu Tan, Jim Breyer, Jeff Dean, Dennis Wong, Clarence So, Chris Re, Amarjit Gill</t>
  </si>
  <si>
    <t>Andre Esteva</t>
  </si>
  <si>
    <t>Diagnostics</t>
  </si>
  <si>
    <t>Reading, UK</t>
  </si>
  <si>
    <t>Rockefeller Foundation</t>
  </si>
  <si>
    <t>The Social Entrepreneurs Fund, Sovereign's Capital, Dolma Impact Fund</t>
  </si>
  <si>
    <t>Weatherford Capital, FTV Capital</t>
  </si>
  <si>
    <t>Mark Sears, Tom Puskarich</t>
  </si>
  <si>
    <t>Lux, Avalon Ventures, Amplify</t>
  </si>
  <si>
    <t>DCVC, Lux, In-Q-Tel, Crosslink, Amplify</t>
  </si>
  <si>
    <t>Lux Capital, Section 32, Mubadala, In-Q-Tel, DCVC, Crosslink Capital, Bloomberg Beta, Amplify, AME Cloud Ventures</t>
  </si>
  <si>
    <t>Addition, Steadfast, Sands, Hank Crumpton, Lux, DCVC, Amplify</t>
  </si>
  <si>
    <t>Addition, US Innovative Technology Fund</t>
  </si>
  <si>
    <t>Sean Gourley</t>
  </si>
  <si>
    <t>Seems to be DoD/Gov service</t>
  </si>
  <si>
    <t>Amplify Partners, SVA, Samsung NEXT, Lux Capital, Frees Fund, A.Capital, 11.2 Capital</t>
  </si>
  <si>
    <t>Amplify Partners</t>
  </si>
  <si>
    <t>Index Ventures, Radical Ventures, Amplify Partners</t>
  </si>
  <si>
    <t>Index Ventures, Temasek, Radical Ventures, CPPIB, Amplify</t>
  </si>
  <si>
    <t>Index Ventures, Radical Ventures, Northgate Capital, Gates Frontier Fund, CPPIB, Amplify Partners, AIX Ventures</t>
  </si>
  <si>
    <t>Peter Chen, Pieter Abbeel, Rocky Duan, Tianhao Zhang</t>
  </si>
  <si>
    <t>Fulfillment</t>
  </si>
  <si>
    <t>Pretty crazy</t>
  </si>
  <si>
    <t>ChatGLM, GLM-130B, CodeGeeX, CogView</t>
  </si>
  <si>
    <t>Zhipu</t>
  </si>
  <si>
    <t>Shanghai</t>
  </si>
  <si>
    <t>Linear Venture, Shanghai International, Redpoint Ventures China</t>
  </si>
  <si>
    <t>Creo Capital, Redpoint Ventures China, Linear Venture, Peihua Capital</t>
  </si>
  <si>
    <t>ZJ Innopark, Linear Capital, Guochuang Zhongding</t>
  </si>
  <si>
    <t>Chinese</t>
  </si>
  <si>
    <t>Big Surveillance</t>
  </si>
  <si>
    <t>Supremind</t>
  </si>
  <si>
    <t>Norwest, Webb, True, Menlo, Khosla, First Round, Ram Shriram</t>
  </si>
  <si>
    <t>Icon Ventures, World Innovation Lab, Webb Investment Network, True Ventures, Sherpalo Ventures, Norwest Venture Partners, Menlo Ventures, Khosla Ventures, First Round Capital</t>
  </si>
  <si>
    <t>Thoma Bravo, Goldman Sachs, Zoom, World Innovation Lab, Webb Investment Network, True Ventures, Silicon Valley Bank, Sherpalo Ventures, Norwest Venture Partners, Menlo Ventures, Khosla Ventures, Icon Ventures, First Round Capital</t>
  </si>
  <si>
    <t>Christos Tryfonas, Muddu Sudhakar</t>
  </si>
  <si>
    <t>Service desk for customers and employees</t>
  </si>
  <si>
    <t>Louisville, CO</t>
  </si>
  <si>
    <t>Baidu Ventures, Congruent Ventures</t>
  </si>
  <si>
    <t>Sequoia Capital, Sidewalk Infrastructure Partners, Prelude Ventures, Congruent Ventures, Closed Loop Partners, BV Investment Partners</t>
  </si>
  <si>
    <t>XN, Valor Equity Partners, Sidewalk Infrastructure Partners, Sequoia Capital, Google Ventures, Congruent Ventures, Closed Loop Partners</t>
  </si>
  <si>
    <t>Wellington, XN, Valor Equity, Tao Capital, Sidewalk Infrastructure Partners, Sequoia, Range Ventures, Google Ventures, Blue Earth Capital</t>
  </si>
  <si>
    <t>Recycling</t>
  </si>
  <si>
    <t>James Bailey, Matanya Horowitz</t>
  </si>
  <si>
    <t>Waste management, recycling robotics automation</t>
  </si>
  <si>
    <t>Pittsburgh, PA</t>
  </si>
  <si>
    <t>Advantech Capital, Tencent, Oriza Ventures, Northern Light Venture Capital</t>
  </si>
  <si>
    <t>Softbank, Advantech</t>
  </si>
  <si>
    <t>Seems dead</t>
  </si>
  <si>
    <t>Eric Xing, Ning Li, Qirong Ho</t>
  </si>
  <si>
    <t>No-Code ML Automation</t>
  </si>
  <si>
    <t>Softbank, Jim Davidson, Jerry Yang, Henry Kravis, George Roberts</t>
  </si>
  <si>
    <t>Vishal Sikka</t>
  </si>
  <si>
    <t>VianOps, ML Monitoring</t>
  </si>
  <si>
    <t>a16z, Redpoint</t>
  </si>
  <si>
    <t>Spark Capital, Redpoint, a16z, HubSpot Ventures</t>
  </si>
  <si>
    <t>OpenAI, Spark, Redpoint, Daniel Gross, a16z</t>
  </si>
  <si>
    <t>Not an AI company</t>
  </si>
  <si>
    <t>Andrew Mason</t>
  </si>
  <si>
    <t>Video Editor</t>
  </si>
  <si>
    <t>Descript</t>
  </si>
  <si>
    <t>Pitango VC, TPY Capital</t>
  </si>
  <si>
    <t>Walden Catalyst</t>
  </si>
  <si>
    <t>Ahren Innovation, Pitango VC, TPY Capital, Walden Catalyst</t>
  </si>
  <si>
    <t>API</t>
  </si>
  <si>
    <t>Ori Goshen</t>
  </si>
  <si>
    <t>Jurassic-2</t>
  </si>
  <si>
    <t>AI21 Labs</t>
  </si>
  <si>
    <t>www.weka.io</t>
  </si>
  <si>
    <t>Walden, Qualcomm, Norwest, Gemini Israel, CID Group</t>
  </si>
  <si>
    <t>Hitachi, NVIDIA, MoreTech, Micron, Key 1, Ibex, HPE, Cisco</t>
  </si>
  <si>
    <t>Generation, Samsung, Qualcomm, NVIDIA, Norwest, MoreTech Ventures, Mirae, Micron, Lumir, Key 1, Hewlett Packard Enterprise, Gemini Israel, Celesta, Atreides, 10D</t>
  </si>
  <si>
    <t>Liran Zvibel, Maor BenDayan</t>
  </si>
  <si>
    <t>Data Platform</t>
  </si>
  <si>
    <t>Weka</t>
  </si>
  <si>
    <t>Madrona, Amplify</t>
  </si>
  <si>
    <t>Amplify, Madrona</t>
  </si>
  <si>
    <t>Addition, Amplify, Madrona</t>
  </si>
  <si>
    <t>Tiger, Madrona, Amplify, Addition</t>
  </si>
  <si>
    <t>Built on Apache TVM</t>
  </si>
  <si>
    <t>Luis Ceze</t>
  </si>
  <si>
    <t>Wing</t>
  </si>
  <si>
    <t>Wing, Tiger, Menlo</t>
  </si>
  <si>
    <t>a16z, ICONIQ, Menlo, Wing Venture</t>
  </si>
  <si>
    <t>Popular VectorDB</t>
  </si>
  <si>
    <t>Edo Liberty</t>
  </si>
  <si>
    <t>www.meero.com</t>
  </si>
  <si>
    <t>Thibaud Elziere, Nicolas Douay, Jeremy Yap, Global Founders Capital, FJ Labs, Aglae Ventures</t>
  </si>
  <si>
    <t>Global Founders Capital, Alven, Aglae Ventures, White Star</t>
  </si>
  <si>
    <t>White Star, Idinvest, Alven, Global Founders Capital, Aglae, Nicolas Douay, Jeremy Yap</t>
  </si>
  <si>
    <t>Prime Ventures, Eurazeo, Avenir, White Star, Idinvest, GR Capital, Global Founders Capital, Cascade, Alven, Aglae</t>
  </si>
  <si>
    <t>Guillaume Lestrade, Thomas Rebaud</t>
  </si>
  <si>
    <t>www.shift-technology.com</t>
  </si>
  <si>
    <t>Accel, IRIS, HDS Capital, Elaia</t>
  </si>
  <si>
    <t>General Catalyst, Accel, IRIS, Elaia</t>
  </si>
  <si>
    <t>Bessemer, IRIS, General Catalyst, Accel</t>
  </si>
  <si>
    <t>Advent, IRIS, Guidewire, General Catalyst, Bessemer, Avenir, Accel</t>
  </si>
  <si>
    <t>Guidewire, Advent, General Catalyst, Bessemer, Alma Mundi, Accel</t>
  </si>
  <si>
    <t>David Durrleman, Eric Sibony, Jeremy Jawish</t>
  </si>
  <si>
    <t>Underwriting, compliance, claims, etc.</t>
  </si>
  <si>
    <t>www.openspace.ai</t>
  </si>
  <si>
    <t>Sterling.VC, Lux Capital, Goldcrest, Foundation, Fairhaven, BoxGroup, Baidu, AngelList Talent, NSF</t>
  </si>
  <si>
    <t>Lux Capital, Zigg, WeWork Labs, Suffolk Technologies, Navitas, JLL, Goldcrest</t>
  </si>
  <si>
    <t>Menlo Ventures, Zigg Capital, Taronga, Nine Four, Navitas, Lux, JLL</t>
  </si>
  <si>
    <t>Alkeon, Zigg, PSP, New World Development, Navitas, Menlo, Lux, JLL, GreenPoint</t>
  </si>
  <si>
    <t>PSP Growth, Taronga, GreenPoint, Sino Group, Nine Four Ventures, Navitas, Mirae, Menlo, Lux, JLL Spark, Harmonic Growth, Fischer Homes, BlackRock, Alpaca VC, Alkeon</t>
  </si>
  <si>
    <t>Jeevan Kalanithi, Michael Fleischman, Philip DeCamp</t>
  </si>
  <si>
    <t>Construction CV analytics</t>
  </si>
  <si>
    <t>Scale Venture Partners, Steadview Capital, Nexus Venture Partners, Emergent Ventures, 01 Advisors</t>
  </si>
  <si>
    <t>Nexus Venture Partners, Y Combinator, MGV, Liquid 2 Ventures, Hack VC, Emergent Ventures, Nick Candito, Jonathan Downey, Gokul Rajaram</t>
  </si>
  <si>
    <t>Scale Venture Partners, Steadview, Nexuxs Venture, Emergent, 01 Advisors</t>
  </si>
  <si>
    <t>Menlo Ventures, Scale Venture Partners, NGP Capital, Next47, Emergent Ventures, Bossanova Investimentos</t>
  </si>
  <si>
    <t>Softbank, Zoom, Steadview, Scale, NGP Capital, Nexus Venture Partners, Next47, Menlo Ventures, Emergent Ventures</t>
  </si>
  <si>
    <t>Call Centers</t>
  </si>
  <si>
    <t>Sharath Keshava Narayana, Swapnil Jain</t>
  </si>
  <si>
    <t>Call center</t>
  </si>
  <si>
    <t>Salesforce, Lightspeed, Madrona, GV, Menlo, Microsoft</t>
  </si>
  <si>
    <t>Abhay Parasnis</t>
  </si>
  <si>
    <t>SVA, Greylock, Google, Accel, In-Q-Tel</t>
  </si>
  <si>
    <t>Greylock, In-Q-Tel, Google</t>
  </si>
  <si>
    <t>Lightspeed, Nepenthe, In-Q-Tel, Greylock, Google, Boston Trust Walden, Blackrock</t>
  </si>
  <si>
    <t>BlackRock, Addition, Lightspeed, Greylock, Google Ventures, Nepenthe, Stonebridge, Walden</t>
  </si>
  <si>
    <t>Quiet</t>
  </si>
  <si>
    <t>Lee Fixel</t>
  </si>
  <si>
    <t>Snorkel Flow: Data Labeling</t>
  </si>
  <si>
    <t>Mark Cuban</t>
  </si>
  <si>
    <t>LDV Capital, VAS Ventures, Tiny VC, Seedcamp, MMC Ventures, Taavet Hinrikus, Mark Cuban</t>
  </si>
  <si>
    <t>FirstMark, MMC Ventures</t>
  </si>
  <si>
    <t>Kleiner Perkins, Seedcap, s16vc, MMC Ventures, LDV Capital, Google Ventures, FirstMark</t>
  </si>
  <si>
    <t>Accel, nVentures, Kleiner Perkins, Google Ventures, FirstMark, Olivier Pomel, Amjad Masad, Alex Wang</t>
  </si>
  <si>
    <t>Lourdes Agapito, Matthias Niessner, Steffen Tjerrild, Victor Riperbelli</t>
  </si>
  <si>
    <t>a16z, The House Fund, NEA, Intel, Dwight Crow, Ant Group, Amplify, 11.2 Capital</t>
  </si>
  <si>
    <t>NEA, Intel, Foundation, a16z</t>
  </si>
  <si>
    <t>a16z, Addition, NEA, Intel, Foundation</t>
  </si>
  <si>
    <t>Intel, Addition, Foundation, Sancus</t>
  </si>
  <si>
    <t>Team who created Ray</t>
  </si>
  <si>
    <t>Ion Stoica, Michael Jordan, Philipp Moritz, Robert Nishihara</t>
  </si>
  <si>
    <t>Shenzhen</t>
  </si>
  <si>
    <t>5Y, Gaorong</t>
  </si>
  <si>
    <t>Sequoia China, Gaorong, 5Y</t>
  </si>
  <si>
    <t>Game, NPC world</t>
  </si>
  <si>
    <t>Liu Yongsheng</t>
  </si>
  <si>
    <t>Crazy video game NPC thingy</t>
  </si>
  <si>
    <t>Parametrix AI</t>
  </si>
  <si>
    <t>Sequoia, a16z, SVA, Lux</t>
  </si>
  <si>
    <t>Sequoia, a16z, Lux</t>
  </si>
  <si>
    <t>Sequoia, a16z</t>
  </si>
  <si>
    <t>Kleiner Perkins, Tiger, Snowflake, Sequoia, Databricks, Bain, a16z</t>
  </si>
  <si>
    <t>Original Uber AI team</t>
  </si>
  <si>
    <t>Michael Del Balso, Kevin Stumpf</t>
  </si>
  <si>
    <t>Feature Store</t>
  </si>
  <si>
    <t>Zillionzire, Y Combinator, SVA, Haystack, Garage Technology Ventures, CSC Upshot, 408 Ventures, Aventures Capital</t>
  </si>
  <si>
    <t>Lightspeed, Y Combinator, SVA, Shasta Ventures, Mindrock Capital, Index Ventures, Ross Mason, Kendall Collins, Jake Seid, Dharmesh Shah, David Schellhase, Brian Goldfarb</t>
  </si>
  <si>
    <t>a16z, Lightspeed Venture Partners, GGV Capital, Y Combinator</t>
  </si>
  <si>
    <t>ICONIQ, Y Combinator, Maropost Ventures, GGV Capital, Frontline Ventures, a16z, Lightspeed Venture Partners, John Thompson, Godfrey Sullivan, Frank Slootman</t>
  </si>
  <si>
    <t>Mubadala Capital, Akkadian Ventures, Sand Hill Angels, Lightspeed Venture Partners, ICONIQ, Gaingels</t>
  </si>
  <si>
    <t>Oleg Rogynskyy</t>
  </si>
  <si>
    <t>Revenue/Sales Management</t>
  </si>
  <si>
    <t>Lightspeed, Kleiner Perkins, Slack</t>
  </si>
  <si>
    <t>General Catalyst, Slack, Lightpseed, Kleiner Perkins</t>
  </si>
  <si>
    <t>Sequoia, Slack Fund, Lightspeed, Kleiner Perkins, General Catalyst</t>
  </si>
  <si>
    <t>Seems overhyped</t>
  </si>
  <si>
    <t>Arvind Jain</t>
  </si>
  <si>
    <t>Enterprise Search</t>
  </si>
  <si>
    <t>Bosch, Eldridge</t>
  </si>
  <si>
    <t>Lightspeed, Qualcomm</t>
  </si>
  <si>
    <t>Qualcomm, Lightspeed, Eldridge, DJF, Bosch</t>
  </si>
  <si>
    <t>SoftBank, Eldridge, Qualcomm, Lightspeed</t>
  </si>
  <si>
    <t>Eylon Etshtein, Neil Robertson, Shlomo Benartzi</t>
  </si>
  <si>
    <t>CV, security</t>
  </si>
  <si>
    <t>www.vastaitech.com</t>
  </si>
  <si>
    <t>Redpoint, Kuaishou, 5Y</t>
  </si>
  <si>
    <t>Matrix China, China Internet Investment Fund</t>
  </si>
  <si>
    <t>PICC, Matrix Partners China, Alibaba, 5Y, Redpoint, Mouhua Science and Technology, irae, Glory Ventures, Co-Stone Venture Capital, China Science and Technology Innovation</t>
  </si>
  <si>
    <t>Semiconductor</t>
  </si>
  <si>
    <t>John Qian</t>
  </si>
  <si>
    <t>Zaitian cards</t>
  </si>
  <si>
    <t>Alibaba, Glory Ventures, Jeneration Capital, Geely, Fosun, Yunqi</t>
  </si>
  <si>
    <t>Maxwell Zhou</t>
  </si>
  <si>
    <t>Self-Driving Car</t>
  </si>
  <si>
    <t>Deeproute</t>
  </si>
  <si>
    <t>No outside investors, only 9 employees</t>
  </si>
  <si>
    <t>David Holz</t>
  </si>
  <si>
    <t>Discord Bot</t>
  </si>
  <si>
    <t>Self-Funded</t>
  </si>
  <si>
    <t>Midjourney</t>
  </si>
  <si>
    <t>Greylock, Andrej Karpathy, Addition, Chris Re, Howie Liu, Joe Morrissey, Root Ventures, Sarah Meyohas, Scott Belsky</t>
  </si>
  <si>
    <t>Spark Capital, General Catalyst, PSP Growth, NVDA, MSFT, Greylock, Frontiers Capital, Caterina Fake, Atlassian, Addition, A.Capital, SVA, Workday</t>
  </si>
  <si>
    <t>Pre-product…</t>
  </si>
  <si>
    <t>David Luan</t>
  </si>
  <si>
    <t>A.Capital, SVA, Paul Buchheit, Nat Friedman, Elad Gil</t>
  </si>
  <si>
    <t>Andreessen Horowitz, A.Capital, Elad Gil, Nat Friedman, SVA</t>
  </si>
  <si>
    <t>Noam Shazeer</t>
  </si>
  <si>
    <t>Character AI</t>
  </si>
  <si>
    <t>Trinity Ventures, Hack VC, Gaingels, Bloomberg Beta</t>
  </si>
  <si>
    <t>Insight Partners, Bloomberg Beta, Richard Socher, Jeff Hammerbacher, Nat Friedman, Trinity Ventures, Pieter Abbeel, Coatue, Tom Preston-Werner</t>
  </si>
  <si>
    <t>Nvidia, Coatue, Bond, Insight Partners, Felicis</t>
  </si>
  <si>
    <t>OpenAI is a customer</t>
  </si>
  <si>
    <t>Lukas Biewald, Chris Pelt, Shawn Lewis</t>
  </si>
  <si>
    <t>Model Tool Platform</t>
  </si>
  <si>
    <t>Weights and Biases</t>
  </si>
  <si>
    <t>NEXT Canada, DMZ</t>
  </si>
  <si>
    <t>Bessemer Venture Partners, Version One Ventures, Two Small Fish Ventures</t>
  </si>
  <si>
    <t>FirstMark, Version One, Leaders Fund, Giant Ventures, Burst Capital, Bessemer, Barney Pell</t>
  </si>
  <si>
    <t>Accel, Version One, Ramen Ventures, Leaders Fund, FirstMark, Burst Capital, Bessemer, Accel</t>
  </si>
  <si>
    <t>Spark Capital, Tiger, Version One, Giant Ventures, FirstMark, Burst Capital, Bessemer, Accel</t>
  </si>
  <si>
    <t>David Hariri, Mike Murchison</t>
  </si>
  <si>
    <t>CX Chatbots</t>
  </si>
  <si>
    <t>Ada.cx (Toronto)</t>
  </si>
  <si>
    <t>www.enflame-tech.com</t>
  </si>
  <si>
    <t>Tencent, ZhenFund, Yunhe, Summitview, Delta</t>
  </si>
  <si>
    <t>Yunhe Partners, Tencent, RiverHead, Redpoint, Oceanpine, China Equity</t>
  </si>
  <si>
    <t>Summitview, ZhenFund, Tencent, Redpoint, Delta</t>
  </si>
  <si>
    <t>Primavera, CPE, CICC Alpha, Summitview, Tencent, Redpoint</t>
  </si>
  <si>
    <t>Arthur Zhang, Lidong Zhao</t>
  </si>
  <si>
    <t>Mangrove, Comcast, 14W, Primary Ventures, Max Ventures, Lerer Hippeau, BoxGroup, bessemer</t>
  </si>
  <si>
    <t>Mangrove, 14W, Primary, Max, Lerer Hippeau, Elevance Health, Comcast, BoxGroup, BlackPine, 14W</t>
  </si>
  <si>
    <t>Valor Equity Partners, PICO Venture Partners, Max Ventures, Marcy Venture Partners, Atreides Management, 14W</t>
  </si>
  <si>
    <t>Valor Equity Partners, PICO Venture Partners, GGV Capital, Primary Ventures, Max Ventures, Marcy Venture Partners, LTS Investments, Kaiser Permanente, Counterpart Advisors, BoxGroup, Bienville Capital, Atreides Ventures, 14W</t>
  </si>
  <si>
    <t>Allon Bloch</t>
  </si>
  <si>
    <t>Healthcare app</t>
  </si>
  <si>
    <t>Lux</t>
  </si>
  <si>
    <t>Amplify, Lux, Compound, Bossanova</t>
  </si>
  <si>
    <t>Coatue, Amplify, Compound, Lux</t>
  </si>
  <si>
    <t>Lux, Madrona, Felicis, Compound, Coatue, Amplify</t>
  </si>
  <si>
    <t>Cristobal Valenzuela, Anastasis Germanidis</t>
  </si>
  <si>
    <t>www.builder.ai</t>
  </si>
  <si>
    <t>Lakestar, Jungle Ventures, Deepcore</t>
  </si>
  <si>
    <t>IFC, Christian Edler</t>
  </si>
  <si>
    <t>Insight Partners, WndrCo, Jungle Ventures, IFC, Blue Lion, Revo Capital, Nikesh Arora</t>
  </si>
  <si>
    <t>Qatar, Jungle Ventures, Insight Partners, ICONIQ Capital, Blue Lion Global</t>
  </si>
  <si>
    <t>MSFT partnership</t>
  </si>
  <si>
    <t>Sachin Dev Duggal, Saurabh Dhoot</t>
  </si>
  <si>
    <t>No-code app development</t>
  </si>
  <si>
    <t>Quebec</t>
  </si>
  <si>
    <t>Quarry, Bossanova</t>
  </si>
  <si>
    <t>AAF, Foundation, Four Cities</t>
  </si>
  <si>
    <t>Coatue, Insight Partners, Foundation Capital, Bessemer, IVP, HubSpot, Founders Circle</t>
  </si>
  <si>
    <t>John Morgan, Dave Rogenmoser</t>
  </si>
  <si>
    <t>www.eightfold.ai</t>
  </si>
  <si>
    <t>Foundation, South Park Commons</t>
  </si>
  <si>
    <t>IVP, Lightspeed, Foundation</t>
  </si>
  <si>
    <t>General Catalyst, Lightspeed, IVP, Foundation, Capital One</t>
  </si>
  <si>
    <t>SoftBank, Lightspeed, IVP, General Catalyst, Foundation, Capital One</t>
  </si>
  <si>
    <t>Ashutosh Garg, Varun Kacholia</t>
  </si>
  <si>
    <t>Upskilling, Internal placements</t>
  </si>
  <si>
    <t>EightFold AI</t>
  </si>
  <si>
    <t>www.skydio.com</t>
  </si>
  <si>
    <t>a16z, CAA Ventures, Accel, Matt Bellamy</t>
  </si>
  <si>
    <t>Playground, IVP, Parcel B, a16z, Accel, Thirty Five Ventures</t>
  </si>
  <si>
    <t>Next47, Playground Global, NTT Docomo, Levitate Capital, IVP</t>
  </si>
  <si>
    <t>a16z, UP Partners, Next47, NaHCO3, Linse Capital, IVP</t>
  </si>
  <si>
    <t>Linse Capital, UP Partners, NVIDIA, IVP, Hercules, DoCoMo, Axon, a16z</t>
  </si>
  <si>
    <t>Mostly a drone company</t>
  </si>
  <si>
    <t>Drones</t>
  </si>
  <si>
    <t>Abraham Bachrach, Adam Bry, Matt Donahoe</t>
  </si>
  <si>
    <t>SIG China, Nokia</t>
  </si>
  <si>
    <t>SIG China, Tiantu Capital, NGP Capital, China-ASEAN etst Investment Cooperation Fund</t>
  </si>
  <si>
    <t>SIG China, CITIC, NGP</t>
  </si>
  <si>
    <t>Derek Li, Jason Wei Zhou, Wei Cui</t>
  </si>
  <si>
    <t>Squirrel AI Learning</t>
  </si>
  <si>
    <t>Hillhouse, Wuyuan Capital, Northern Light Venture, Neumann Advisors, NetEase, IDG Capital, GGV Capital, 5Y Capital</t>
  </si>
  <si>
    <t>Microsoft spinout? 660m users WW?</t>
  </si>
  <si>
    <t>Digital humans, chatbot</t>
  </si>
  <si>
    <t>Xiaoice (fka Bombax)</t>
  </si>
  <si>
    <t>Thirty Five Ventures, Kevin Durant, Betaworks, A. Capital, Ronny Conway</t>
  </si>
  <si>
    <t>Lux Capital, Thirty Five Ventures, Betaworks, A. Capital, Greg Brockman, Richard Socher, Charles Zedlewski, Augusto Marietti</t>
  </si>
  <si>
    <t>Addition, Rich Kleiman, Richard Socher, Paul St. John, Olivier Pomel, Lux Capital, Kevin Durant, Florian Douetteau, Dev Ittycheria, Betaworks, Augusto Marietti, Alex Wang, A. Capital</t>
  </si>
  <si>
    <t>Lux Capital, Thirty Five Ventures, SVA, Sequoia Capital, Cygni Capital, Coatue, Betaworks, Rich Kleiman, Olivier Pomel, Kevin Durant, AIX Ventures, Addition, A.Capital</t>
  </si>
  <si>
    <t>OpenAssistant</t>
  </si>
  <si>
    <t>Clement Delangue</t>
  </si>
  <si>
    <t>Hugging Face</t>
  </si>
  <si>
    <t>Section 32, Raqel Urtasun, Radical Ventures, Pieter Abebeel, Index Ventures, Geoff Hinton, Fei-Fei Li</t>
  </si>
  <si>
    <t>Tiger, Section32, Radical Ventures, Index Ventures, Geoff Hinton, Raqel Urtasun, Fei-Fei Li, Pieter Abbeel</t>
  </si>
  <si>
    <t>Inovia, Thomvest, SentinelOne, Schroders, Salesforce, Oracle, Nvidia, Mirae, Index, DTCP</t>
  </si>
  <si>
    <t>Wanted higher valuation</t>
  </si>
  <si>
    <t>Aidan Gomez, Nick Frosst</t>
  </si>
  <si>
    <t>Command</t>
  </si>
  <si>
    <t>Lightspeed, Bain</t>
  </si>
  <si>
    <t>Sapphire Ventures, Kleiner Perkins, ICONIQ Capital, Lightspeed, Comerica Bank's Technology, Bain, John Thompson</t>
  </si>
  <si>
    <t>Tiger, Alkeon</t>
  </si>
  <si>
    <t>Employee Experience</t>
  </si>
  <si>
    <t>Bhavin Shah</t>
  </si>
  <si>
    <t>Chiratae Ventures, YourNest Venture Capital</t>
  </si>
  <si>
    <t>JC2 Ventures, IIFL Finance</t>
  </si>
  <si>
    <t>March Capital, Sistema Asia Capital, Patni Wealth Advisors, Patni Family, National Grid Partners, March Capital, Iron Pillar, CXO Fund, Chiratae Ventures</t>
  </si>
  <si>
    <t>Sorenson Capital, Sistema Capital, Serena, Sanabil, National Grid Partners, March Capital, Iron Pillar, Cisco, Chiratae Ventures</t>
  </si>
  <si>
    <t>NEA, March Capital, GoldenArc Capital</t>
  </si>
  <si>
    <t>Ravi Saraogi, Umesh Sachdev</t>
  </si>
  <si>
    <t>CX</t>
  </si>
  <si>
    <t>Uniphore (Jacada)</t>
  </si>
  <si>
    <t>www.shield.ai</t>
  </si>
  <si>
    <t>SVB Capital, Riot.vc, Homebrew, Breyer, a16z</t>
  </si>
  <si>
    <t>Point72</t>
  </si>
  <si>
    <t>Disruptive, Point72, Breyer, a16z</t>
  </si>
  <si>
    <t>Snowpoint, SVB, Riot, Point72, Homebrew, Disruptive, Breyer, a16z</t>
  </si>
  <si>
    <t>Aircraft</t>
  </si>
  <si>
    <t>Andrew Reiter, Brandon Tseng, Ryan Tseng</t>
  </si>
  <si>
    <t>AI Pilot</t>
  </si>
  <si>
    <t>www.graphcore.ai</t>
  </si>
  <si>
    <t>Samsung, Bosch, Amadeus, Pitango, Molten, Foundation, C4, Dell</t>
  </si>
  <si>
    <t>Sequoia, Samsung, Pitango, Molten, Foundation, Dell, C4, Bosch, Amadeus</t>
  </si>
  <si>
    <t>Microsoft, BMW, Sofina, Sequoia, Pitango, Molten, Foundation, Dell, C4, Bosch, Atomico, Amadeus, Ahren</t>
  </si>
  <si>
    <t>Mayfair, Sofina, Latitude, Chrysalis, Baillie Gifford, Amadeus, Ahren</t>
  </si>
  <si>
    <t>Ontario Teachers', Sequoia, Schroders, Sofina, YTWO, Samsung, Pitango, Molten, Microsoft, M&amp;G, Mayfair, Foundation, Fidelity, Dell, Chrysalis, C4, Bosch, BMW, Baillie Gifford, Atomico, Amadeus, Ahren</t>
  </si>
  <si>
    <t>Possibly worthless</t>
  </si>
  <si>
    <t>IPU</t>
  </si>
  <si>
    <t>Nigel Toon, Simon Knowles</t>
  </si>
  <si>
    <t>www.momenta.cn</t>
  </si>
  <si>
    <t>Blue Lake, Shunwei, ZhenFund, Sinovation, Blue Lake</t>
  </si>
  <si>
    <t>NIO Capital, UnityVC, Sinovation, Shunwei, NIO, Mercedes, Cathay</t>
  </si>
  <si>
    <t>Pagoda, NIO Capital, InnoVen, Tencent, China Merchants Group, CCB International</t>
  </si>
  <si>
    <t>Toyota, SAIC, Bosch, YF Capital, Tencent, Temasek, Shunwei, Mercedes-Benz, Cathay Capital, GM, IDG Capital</t>
  </si>
  <si>
    <t>EV FSD</t>
  </si>
  <si>
    <t>Coatue, Fourth Revolution, Kadmos, Lightspeed, O'Shaughnessy</t>
  </si>
  <si>
    <t>Emad Mostaque</t>
  </si>
  <si>
    <t>Stable Diffusion</t>
  </si>
  <si>
    <t>www.symphonyai.com</t>
  </si>
  <si>
    <t>Romesh Wadhwani</t>
  </si>
  <si>
    <t>Vertical focused, eg AML</t>
  </si>
  <si>
    <t>SymphonyAI</t>
  </si>
  <si>
    <t>www.4paradigm.com</t>
  </si>
  <si>
    <t>Sinovation, Sequoia Capital China, Fengshion Capital</t>
  </si>
  <si>
    <t>ZWC Partners, ICBC, CCB, Bank of China</t>
  </si>
  <si>
    <t>Tusholdings, Three Gorges Capital, CTBC Bank, China Reform, China Poly, Ag Bank, Bank of Communications, Huyu Equity, Sequoia Capital China</t>
  </si>
  <si>
    <t>Lenovo, Green Pine, Co-Stone Venture, Cisco, CITIC, Capikris Foundation, Songhe Capital, Cornerstone Capital</t>
  </si>
  <si>
    <t>Primavera Capital, HOPU, Boyu, Sequoia Capital China, Mubadala, Junci Investment, Jinyi Capital, Haitong, Goldman Sachs, FountainVest, CITIC, China Securities, China Reform, China Jianyin, Chinda Development Bank</t>
  </si>
  <si>
    <t>IPO Soon</t>
  </si>
  <si>
    <t>Feng Tian, Qiang Yang, Shiwei Hu, Wenyuan Dai, Yuqiang Chen</t>
  </si>
  <si>
    <t>Chinese AI/ML Platform</t>
  </si>
  <si>
    <t>TPG Growth, Sutter Hill Ventures, The Rise Fund, Breyer Capital</t>
  </si>
  <si>
    <t>IPO</t>
  </si>
  <si>
    <t>Thomas Siebel</t>
  </si>
  <si>
    <t>AI</t>
  </si>
  <si>
    <t>C3</t>
  </si>
  <si>
    <t>www.dataiku.com</t>
  </si>
  <si>
    <t>Battery, Serena, FirstMark, Alven</t>
  </si>
  <si>
    <t>ICONIQ, FirstMark, Dawn, Battery, Alven</t>
  </si>
  <si>
    <t>Stripes, Tiger, ICONIQ, FirstMark, Dawn, CapitalG, Battery</t>
  </si>
  <si>
    <t>Tiger, Snowflake, Lightrock, Insight, ICONIQ, FirstMark, Eurazeo, Dawn Capital, CapitalG, Battery, Olivier Pomel</t>
  </si>
  <si>
    <t>Wellington, Insight Partners, Eurazeo, Olivier Pomel</t>
  </si>
  <si>
    <t>Clément Stenac, Florian Douetteau, Marc Batty, Thomas Cabrol</t>
  </si>
  <si>
    <t>Data Science/ML platform</t>
  </si>
  <si>
    <t>www.megvii.com</t>
  </si>
  <si>
    <t>Sinovation, Comet</t>
  </si>
  <si>
    <t>Qiming, Sinovation</t>
  </si>
  <si>
    <t>Foxteq Holdings, Sinovation, Qiming, Foxxcon, CCB International</t>
  </si>
  <si>
    <t>Foxconn, Ant, Sunshine Insurance, SK Group, Russia-China Investment Fund, China Reform Holdings</t>
  </si>
  <si>
    <t>Bank of China Group Investment, Macquarie, ICBC, Alibaba, ADIA</t>
  </si>
  <si>
    <t>IPO soon</t>
  </si>
  <si>
    <t>Qi Yin, Wenbin Tang, Yang Mu</t>
  </si>
  <si>
    <t>AI Engine, Brain++, Face++, surveillance</t>
  </si>
  <si>
    <t>www.dataminr.com</t>
  </si>
  <si>
    <t>Wharton, Viceroy, SuRo, General Advance, Deep Fork</t>
  </si>
  <si>
    <t>IVP, Wharton, SuRo, Deep Fork</t>
  </si>
  <si>
    <t>Fidelity, WorldQuant, Wellington, Venrock, Richmond Global, IVP, Glynn, FJ Labs, Credit Suisse, BoxGroup, Vikram Pandit, Thomas Glocer, Noam Gottesman, Nicolas Berggruen, Jose Marin, John Mack, Fabrice Grinda</t>
  </si>
  <si>
    <t>Series D at 570m</t>
  </si>
  <si>
    <t>Vulcan, Planven, Kite, Blue Ivy, Alumni</t>
  </si>
  <si>
    <t>Series E at 1200</t>
  </si>
  <si>
    <t>Valor Equity, Pritzker, Reinvent, MSD, Morgan Stanley, Moore, Lurra, IVP, Eldridge, Eden Global, DNS Capital, ArrowMark</t>
  </si>
  <si>
    <t>Alerts</t>
  </si>
  <si>
    <t>Jeffrey Kinsey, Sam Hendel, Theodore Bailey</t>
  </si>
  <si>
    <t>Real-time alerts for breaking news</t>
  </si>
  <si>
    <t>www.cerebras.net</t>
  </si>
  <si>
    <t>Benchmark, SVA, Eclipse</t>
  </si>
  <si>
    <t>Sequoia, Foundation, Eclipse, Benchmark, Altimeter</t>
  </si>
  <si>
    <t>Vy Capital, Foundation Capital, Eclipse Ventures, Coatue, Benchmark, Altimeter</t>
  </si>
  <si>
    <t>Alpha Wave Ventures, Empede Capital, Abu Dhabi Growth Fund</t>
  </si>
  <si>
    <t>Whole Wafer</t>
  </si>
  <si>
    <t>Andrew Feldman, Gary Lauterbach, Jean-Philippe Fricker, Michael James, Sean Lie</t>
  </si>
  <si>
    <t>CS-1</t>
  </si>
  <si>
    <t>Microsoft, Reid Hoffman, Bill Gates, Eric Schmidt, NVIDIA</t>
  </si>
  <si>
    <t>Said they wanted to raise $600m in March 2023, hasn’t materialized</t>
  </si>
  <si>
    <t>Reid Hoffman, Mustafa Suleyman</t>
  </si>
  <si>
    <t>Pi</t>
  </si>
  <si>
    <t>www.thoughtspot.com</t>
  </si>
  <si>
    <t>Geodesic, General Catalyst, Lightspeed, Khosla, Quentin Clark</t>
  </si>
  <si>
    <t>Lightspeed, Capital One, HP</t>
  </si>
  <si>
    <t>Sapphire, Lightspeed, Next Play, Khosla, General Catalyst, Future Fund, Decacorn, BluePointe</t>
  </si>
  <si>
    <t>145 at 855</t>
  </si>
  <si>
    <t>Lightspeed, Silver Lake, Sapphire, Geodesic, Empede</t>
  </si>
  <si>
    <t>248 at 1700</t>
  </si>
  <si>
    <t>March Capital, Snowflake, Sapphire, Lightspeed, Khosla, GIC, General Catalyst, Capital One</t>
  </si>
  <si>
    <t>Abhishek Rai, Ajeet Singh, Amit Prakash, Priyendra Deshwal, Sanjay Agrawal, Shashank Gupta, Vijay Ganesan</t>
  </si>
  <si>
    <t>James McClave, Jaan Tallinn, Eric Schmidt, Dustin Moskovitz, CERR</t>
  </si>
  <si>
    <t>Google</t>
  </si>
  <si>
    <t>Spark, Zoom, Sound, Salesforce, Menlo, Google</t>
  </si>
  <si>
    <t>Public benefit corp, EA-coded</t>
  </si>
  <si>
    <t>Dario Amodei, Tom Brown</t>
  </si>
  <si>
    <t>Claude</t>
  </si>
  <si>
    <t>www.ubtrobot.com</t>
  </si>
  <si>
    <t>CDH Investments, CITIC Securities, Qiming Venture Partners</t>
  </si>
  <si>
    <t>Series B at 900m</t>
  </si>
  <si>
    <t>Tencent, Telstra Ventures, Minsheng Securities, Haier, Green Pine, CreditEase, CDH Investments</t>
  </si>
  <si>
    <t>James Zhou</t>
  </si>
  <si>
    <t>Chinese AI/robotics</t>
  </si>
  <si>
    <t>www.sambanova.ai</t>
  </si>
  <si>
    <t>Walden International, Google Ventures, Redline Capital, Atlantic Bridge</t>
  </si>
  <si>
    <t>Intel, Walden, Redline, Google, Celesta, Atlantic Bridge</t>
  </si>
  <si>
    <t>BlackRock, Walden International, Redline Capital, Intel, Google, Celesta</t>
  </si>
  <si>
    <t>Series C at 2.3B</t>
  </si>
  <si>
    <t>SoftBank, Walden International, Temasek, Intel, Google, GIC, Celesta, BlackRock</t>
  </si>
  <si>
    <t>Christopher Ré, Kunle Olukotun, Rodrigo Liang</t>
  </si>
  <si>
    <t>GAI for enterprise and government, Hardware</t>
  </si>
  <si>
    <t>NEA, Plug and Play, Omega Venture, Accomplice</t>
  </si>
  <si>
    <t>Sapphire Ventures, Meritech Capital Partners, NEA, Intel, IA Ventures, DFJ Growth</t>
  </si>
  <si>
    <t>Sapphire Ventures, World Innovation Lab, Tiger, Sands Capital Ventures, Oryx Ventures, MEA, Meritech Capital, Intel, GoldenArc, Geodesic, EDBI, DFJ Growth, AllianceBernstein</t>
  </si>
  <si>
    <t>Altimeter Capital, T. Rowe Price, Tiger, Silver Lake, Sapphire Ventures, Oryx Ventures, NEA, Glynn Capital, ClearBridge, BlackRock, B Capital, Snowflake, Salesforce, J-Ventures, HP Enterprise</t>
  </si>
  <si>
    <t>Debanjan Saha, Jeremy Achin, Thomas DeGodoy</t>
  </si>
  <si>
    <t>Datarobot</t>
  </si>
  <si>
    <t>www.gong.io</t>
  </si>
  <si>
    <t>Norwest, NextWorld, Wing, Cisco, Shlomo Kramer</t>
  </si>
  <si>
    <t>Battery, Wing, Norwest, NextWorld, Cisco, Shlomo Kramer, Rob Biederman</t>
  </si>
  <si>
    <t>Sequoia, Wing Venture, Norwest, NextWorld, Cisco, Battery, Shlomo Kramer</t>
  </si>
  <si>
    <t>Coatue, Wing, Thrive, Sequoia, Salesforce, Norwest, NextWorld, Index, Battery</t>
  </si>
  <si>
    <t>Franklin Templeton, Tiger, Thrive, Sequoia, Salesforce, Coatue</t>
  </si>
  <si>
    <t>178m ARR</t>
  </si>
  <si>
    <t>Eilon Reshef</t>
  </si>
  <si>
    <t>Revenue cycle management, transcription</t>
  </si>
  <si>
    <t>Gong.io</t>
  </si>
  <si>
    <t>Y Combinator, Outlander Fund I, Nat Friedman, Ilya Sukhar, Guillermo Rauch, Greg Brockman, Charlie Cheever, Accel</t>
  </si>
  <si>
    <t>Y Combinator, Justin Kan, Index, Drew Houston, Accel</t>
  </si>
  <si>
    <t>Founders Fund, Thrive, Spark, Next Play, Index, Mike Krieger, Kevin Systrom, Coatue, Adam D'Angelo, Accel</t>
  </si>
  <si>
    <t>Tiger, Bradley Horowitz</t>
  </si>
  <si>
    <t>Series D: 3.5B valuation</t>
  </si>
  <si>
    <t>Tiger, Coatue, Y Combinator, Wellington, Index, Human Capital, Greenoaks, Founders Fund, Durable Capital, Dragoneer</t>
  </si>
  <si>
    <t>Lucy Guo co-founder</t>
  </si>
  <si>
    <t>Alexandr Wang</t>
  </si>
  <si>
    <t>Scale</t>
  </si>
  <si>
    <t>www.nuro.ai</t>
  </si>
  <si>
    <t>Greylock, Gaorong</t>
  </si>
  <si>
    <t>SoftBank</t>
  </si>
  <si>
    <t>Series B at 1.8B</t>
  </si>
  <si>
    <t>T. Rowe, SoftBank, Greylock, Fidelity, Baillie Gifford</t>
  </si>
  <si>
    <t>Series C at 4.5B</t>
  </si>
  <si>
    <t>Tiger, Woven Capital, T. Rowe, Softbank, Kroger, Google, Gaorong Capital, Fidelity, Baillie Gifford</t>
  </si>
  <si>
    <t>Possible down round coming</t>
  </si>
  <si>
    <t>Automotive</t>
  </si>
  <si>
    <t>Dave Ferguson, Jiajun Zhu</t>
  </si>
  <si>
    <t>Electric, Autonomous Vehicles</t>
  </si>
  <si>
    <t>www.pony.ai</t>
  </si>
  <si>
    <t>Eight Roads, ClearVue, Sequoia China, Redpoint, Morningside, Hongtai, Green Pine, Delong, DCM Ventures, China Merchants, 5Y Capital, Adrian Cheng</t>
  </si>
  <si>
    <t>Toyota, Sequoia China, Kunlun</t>
  </si>
  <si>
    <t>Ontario Teachers', FAW Group, Eight Roads, ClearVue, 5Y</t>
  </si>
  <si>
    <t>Ontario Teachers', Eight Roads, CITIC/CPE, ClearVue Partners, Brunei IA, 5Y Capital</t>
  </si>
  <si>
    <t>James Peng, Tiancheng Lou</t>
  </si>
  <si>
    <t>Hong Kong</t>
  </si>
  <si>
    <t>Zhongping, WANDA, TCL, CDH, Sailing, StarVC, Infore, Huarong, Everbright</t>
  </si>
  <si>
    <t>Alibaba, Temasek, Suning</t>
  </si>
  <si>
    <t>Tiger, Silver Lake, Fidelity, HOPU, Qualcomm, 5Y, Singtel Innov8</t>
  </si>
  <si>
    <t>Series C: 3.9B valuation</t>
  </si>
  <si>
    <t>Series D: 5B valuation</t>
  </si>
  <si>
    <t>Li Xu, Xiagang Wang, Bing Xu</t>
  </si>
  <si>
    <t>20 HK</t>
  </si>
  <si>
    <t>SenseTime</t>
  </si>
  <si>
    <t>www.nice,com</t>
  </si>
  <si>
    <t>Partially AI</t>
  </si>
  <si>
    <t>Enlighten: customer service, IVR</t>
  </si>
  <si>
    <t>NICE</t>
  </si>
  <si>
    <t>Nice (nice.com)</t>
  </si>
  <si>
    <t>Qingfeng Lu</t>
  </si>
  <si>
    <t>Speech</t>
  </si>
  <si>
    <t>002230 CH</t>
  </si>
  <si>
    <t>iFlyTek</t>
  </si>
  <si>
    <t>Silver Lake, CPPIB, Mubadala, Magna, AutoNation, a16z, Alphabet</t>
  </si>
  <si>
    <t>T. Rowe Price, Tiger, Temasek, Silver Lake, PerryCreek, Mubadala, Magna, Fidelity, CPPIB, AutoNation, a16z, Alphabet</t>
  </si>
  <si>
    <t>Originally a Google division</t>
  </si>
  <si>
    <t>Tekedra Mawakana, Dmitri Dolgov</t>
  </si>
  <si>
    <t>FSD</t>
  </si>
  <si>
    <t>Cruise</t>
  </si>
  <si>
    <t>Big Data</t>
  </si>
  <si>
    <t>Spark</t>
  </si>
  <si>
    <t>PLTR</t>
  </si>
  <si>
    <t>Palantir</t>
  </si>
  <si>
    <t>www.openai.com</t>
  </si>
  <si>
    <t>Reid Hoffman, Khosla</t>
  </si>
  <si>
    <t>Microsoft</t>
  </si>
  <si>
    <t>10B at 19B</t>
  </si>
  <si>
    <t>Wisdom Ventures, Thrive Capital, SVA, Sequoia Capital, K2 Global, a16z</t>
  </si>
  <si>
    <t>GPT4, ChatGPT, Whisper, Code Interpreter, CoPilot</t>
  </si>
  <si>
    <t>www.baidu.com</t>
  </si>
  <si>
    <t>Robin Li</t>
  </si>
  <si>
    <t>DuerOS, AI Cloud, Ernie 3.5</t>
  </si>
  <si>
    <t>BIDU</t>
  </si>
  <si>
    <t>Baidu</t>
  </si>
  <si>
    <t>www.facebook.com</t>
  </si>
  <si>
    <t>Yann Le Cun (Chief AI Scientist), Irina Kofman, Hassan Sawaf, Yoram Talmor, Nafissa Yakubova, Michela Paganini, Joaquin Quiñonero Candela, Marc'Aurelio Ranzato, Yongqiang Wang, Jiajun Shen, Kristin E. Lauter, Mitesh Kumar Singh, Licheng Yu, Marie-Anne Lachaux, Roshan Sumbaly, Benoit Steiner, Antoine Bordes, Kushal Lakhotia, Abdelrahman Mohamed, Pierre Stock, Vaibhav Aggarwal, Melissa Hall, Meng Li, Jerry Ma, Rohan Varma, Adam Polyak, Hengyuan Hu, Stéphane d'Ascoli, Chuan Guo, Alexander H. Miller, Adrien Dufraux, Adina Williams, Awni Hannun, Diane Bouchacourt, Alexis Conneau, Bilge Acun, Amanpreet Singh, Alon Halevy, Hubert Etienne, Gabriel Synnaeve, Yatharth Saraf, Yaniv Taigman, Guillaume Lample (left to start Mistral), Xian Li, Fuchun Peng, Ahmad Beirami, Haoqi Fan, Harry Yang, Yossi Adi, Jack Urbanek, Ari Morcos, Edouard Grave, Yuqing Tang, Herve Jegou, Davide Testuggine, Eliya Nachmani, Zhe Liu, Yinglong Xia, Mark Ibrahim, Zhiyi Ma, Eric Smith, Emily Dinan, Jakob Foerster, Xinlei Chen, Shruti Bhosale, Sergey Edunov, Jason Weston, Satwik Kottur, Stephen Roller, Tatiana Likhomanenko, Shagun Sodhani, Srinivas Narayanan, Qinqing Zheng, Joanna Bitton, Liang Xiong, Ludovic Denoyer, Lorenzo Torresani, Louis Martin, Jiatong Zhou, Juan Pino, Koustuv Sinha, Li Jing, Marcus Rohrbach, Kurt Shuster, Leon Bottou, Jiyan Yang, Jiatao Gu, Karthik Prasad, Kristen Grauman, Manohar Paluri, Madian Khabsa, Marco Baroni, Rui Wang, Dieuwke Hupkes, Yaron Lipman, Chau Tran, Zeki Yalniz, Jeff Smith, Ilya Mironov, Marjan Ghazvininejad, Mani Malek, Matthijs Douze, Maximilian Nickel, Matt Le, Mido Assran, Mike Lewis, Nicolas Usunier, Myle Ott, Maziar Sanjabi, Michael Auli, Michael Rabbat, Narine Kokhlikyan, Aaron Defazio, Noam Brown (left to OpenAI), Nikhila Ravi, Onur Celebi, Oran Gafni, Omry Yadan, Rohit Girdhar, Roberto Calandra, Pascal Vincent, Shaomei Wu, Ramakrishna Vedantam, Raj Kosaraju, Han Fang, Deepak Gopinath, Pushkar Mishra, Chao-Yuan Wu, Caner Hazirbas, Akshara Rai, Abhishek Das, Ashkan Yousefpour, Chris Cummins, Amy Zhang, Chunxi Liu, Christian Fuegen, Carole-Jean Wu, Alexandre Sablayrolles, Brandon Amos, Changhan Wang, Arthur Szlam, Albert Gordo, Andrey Malevich, Armand Joulin, Barlas Oguz, Adriana Soriano, Christoph Feichtenhofer, Alex Peysakhovich, Benjamin Graham, Qiantong Xu, Patrick Lewis, Jeong Min Lee, Alexei Baevski, Ann Lee, Brenden M. Lake, Xiaohui Zhang, Jeff Johnson, Yan Zhu, Dhruv Batra, Fabio Petroni, Tal Hassner, Jacob Khan, Geoffrey Zweig, Ruty Rinott, Cristian Ferrer, David Lopez-Paz, Guan Pang, Denis Yarats, Yann Ollivier, Heng Wang, Edward Grefenstette, Sebastian Riedel, Devi Parikh, Haoran Li, Vitaly Liptchinsky, Duc Le, Weiyi Zheng, Florian Metze, Tamara Berg, Du Tran, Jason Gauci, Hao Ma, Zhicheng Yan, Ronan Collobert, Dhruv Mahajan, Vignesh Ramanathan, Holger Schwenk, Luke Zettlemoyer, Dehua Cheng, Laurens van der Maaten, Douwe Kiela, Sainbayar Sukhbaatar, Tim Rocktaschel, Evgene Kharitonov, Ves Stoyanov, Ser-Nam Lim, Deepti Ghadiyaram, Yuandong TIan, Sean Bell, Aparna Lakshmi Ratan, Sean Chang Culatana, Scott Wen-tau Yih, Ishan Misra, Maja Pantic, Edward Chou, Hongyu Gong, Praveen Krishnan, Spencer Poff, Viet Ha-Thuc, Pedro Rodriguez, Geng Ji, Sida Wang, Zoe Papakipos, Sinong Wang, Filip Radenovic, Yixin Lin, Kevin Liang, Francisco Guzman, Yanghao Li, Karttikeya Mangalam, Gedas Bertasius, Vishrav Chaudhary, Yangyang Shi, Jacqueline Pan, Jerome Pesenti, Stevie Bergman, Alborz Geramifard, Piotr Dollar, Karthik Abinav Sankararaman, Sho Yaida, Mannat Singh, Abhimanyu Dubey, Angela Fan, Kavya Srinet, Hugo Touvron, Yun Wang, Yiming Lin, Lin Xiao, Baptiste Roziere, Vikash Kumar, Jungdam Won, Adeel Cheema, Yipin Zhou, Chinnadhurai Sankar, Vinayak Tantia, Mikayel Samvelyan, Randall Balestriero, Zhaoheng Ni, Igor Shilov, Virginie Do, Nekesha Green, Alexandre Defossez, Sean Liu, Yu (Hugo) Chen, Zheqing (Bill) Zhu, Ruta Desai, Long Jin, Wei-Ning Hsu, Qifan Wang, Minqi Jiang, Joelle Pineau</t>
  </si>
  <si>
    <t>www.nvidia.com</t>
  </si>
  <si>
    <t>NVDA</t>
  </si>
  <si>
    <t>Forbes</t>
  </si>
  <si>
    <t>AMZN</t>
  </si>
  <si>
    <t>AWS</t>
  </si>
  <si>
    <t>Altimeter list</t>
  </si>
  <si>
    <t>www.tesla.com</t>
  </si>
  <si>
    <t>Austin</t>
  </si>
  <si>
    <t>TSLA</t>
  </si>
  <si>
    <t>Tesla</t>
  </si>
  <si>
    <t>NfX list</t>
  </si>
  <si>
    <t>www.google.com</t>
  </si>
  <si>
    <t>Jeff Dean</t>
  </si>
  <si>
    <t>Bard, TensorFlow</t>
  </si>
  <si>
    <t>GOOG</t>
  </si>
  <si>
    <t>Nvidia list</t>
  </si>
  <si>
    <t>www.microsoft.com</t>
  </si>
  <si>
    <t>Satya Nadella</t>
  </si>
  <si>
    <t>MSFT</t>
  </si>
  <si>
    <t>Site</t>
  </si>
  <si>
    <t>Investors</t>
  </si>
  <si>
    <t>Prior Round</t>
  </si>
  <si>
    <t>Sub-Subtype</t>
  </si>
  <si>
    <t>Subtype</t>
  </si>
  <si>
    <t>People</t>
  </si>
  <si>
    <t>Product</t>
  </si>
  <si>
    <t>Last Round</t>
  </si>
  <si>
    <t>MC</t>
  </si>
  <si>
    <t>Ticker</t>
  </si>
  <si>
    <t>Name</t>
  </si>
  <si>
    <t>https://github.com/h2oai/h2ogpt</t>
  </si>
  <si>
    <t>H2O GPT</t>
  </si>
  <si>
    <t>https://huggingface.co/chansung/alpaca-lora-65b/tree/main</t>
  </si>
  <si>
    <t>Alpaca-Lora-65B</t>
  </si>
  <si>
    <t>https://github.com/tloen/alpaca-lora</t>
  </si>
  <si>
    <t>Alpaca-Lora</t>
  </si>
  <si>
    <t>GPT-J</t>
  </si>
  <si>
    <t>https://huggingface.co/datasets/nomic-ai/gpt4all-j-prompt-generations/tree/main/data</t>
  </si>
  <si>
    <t>Yuvanesh Anand, Zach Nussbaum, Brandon Duderstadt, Benjamin Schmidt, Andriy Mulyar</t>
  </si>
  <si>
    <t>GPT4All</t>
  </si>
  <si>
    <t>HumanEval</t>
  </si>
  <si>
    <t>1.75T parameters</t>
  </si>
  <si>
    <t>Wu Dao 2.0</t>
  </si>
  <si>
    <t>Embedding scheme.</t>
  </si>
  <si>
    <t>word2vec</t>
  </si>
  <si>
    <t>word embedding vector</t>
  </si>
  <si>
    <t>Lookup table which represents each word as a vector</t>
  </si>
  <si>
    <t>word embedding layer</t>
  </si>
  <si>
    <t>NLP test</t>
  </si>
  <si>
    <t>WiC</t>
  </si>
  <si>
    <t>convert tokens to vectors</t>
  </si>
  <si>
    <t>vectorize</t>
  </si>
  <si>
    <t>library by Google Brain</t>
  </si>
  <si>
    <t>Trax</t>
  </si>
  <si>
    <t>Huggingface library</t>
  </si>
  <si>
    <t>Transformers</t>
  </si>
  <si>
    <t>Google-invented NN in 2017. 6-layer encoder stack, 6-layer decoder stack. Encoder stack has two major sublayers: multi-headed attention mechanism and fully connected position-wise feedforward network.</t>
  </si>
  <si>
    <t>transformer</t>
  </si>
  <si>
    <t>transfer learning</t>
  </si>
  <si>
    <t>represent each word with a token</t>
  </si>
  <si>
    <t>tokenize</t>
  </si>
  <si>
    <t>Model from HF</t>
  </si>
  <si>
    <t>T5</t>
  </si>
  <si>
    <t>optimize clusters</t>
  </si>
  <si>
    <t>t-SNE</t>
  </si>
  <si>
    <t>Situations with Adversarial Generations</t>
  </si>
  <si>
    <t>SWAG</t>
  </si>
  <si>
    <t>support vector machine</t>
  </si>
  <si>
    <t>Build a classifier of labeled x-y pairs: linear regression vs. logistic regression, SVM, Naïve Bayes</t>
  </si>
  <si>
    <t>supervised learning</t>
  </si>
  <si>
    <t>Leaderboard</t>
  </si>
  <si>
    <t>SuperGLUE</t>
  </si>
  <si>
    <t>stochastic gradient descent</t>
  </si>
  <si>
    <t>Stanford Sentiment Treebank</t>
  </si>
  <si>
    <t>SQuAD</t>
  </si>
  <si>
    <t>Focuses on center word in a window of words and predicts context words around it. Generally contains input layer, weights, hidden layer and output containing the word embeddings, resulting in a d_model vector embedding for each word. Word2vec embedding approach is an example of a skipgram.</t>
  </si>
  <si>
    <t>skip-gram</t>
  </si>
  <si>
    <t>A type of NN that converts one sequence of components into another</t>
  </si>
  <si>
    <t>sequence-to-sequence (Seq2Seq)</t>
  </si>
  <si>
    <t>ends tokenizing</t>
  </si>
  <si>
    <t>SEP</t>
  </si>
  <si>
    <t>semantic role labeling</t>
  </si>
  <si>
    <t>Allows association of each word in the input with other words in the same sentence. Based on query, key and value vectors.</t>
  </si>
  <si>
    <t>self-attention</t>
  </si>
  <si>
    <t>RTE</t>
  </si>
  <si>
    <t>RoBERTa</t>
  </si>
  <si>
    <t>RMSNorm</t>
  </si>
  <si>
    <t>Positional input embedding given to multi-headed attention output vector</t>
  </si>
  <si>
    <t>residual connection</t>
  </si>
  <si>
    <t>recurrent neural networks (RNN)</t>
  </si>
  <si>
    <t>positional encoding</t>
  </si>
  <si>
    <t>Planning/modeling language</t>
  </si>
  <si>
    <t>PDDL+</t>
  </si>
  <si>
    <t>Neural Information Processing Systems conference</t>
  </si>
  <si>
    <t>NIPS 2017</t>
  </si>
  <si>
    <t>next sentence prediction (NSP)</t>
  </si>
  <si>
    <t>neural network</t>
  </si>
  <si>
    <t>test for LLMs</t>
  </si>
  <si>
    <t>NaturalQuestions</t>
  </si>
  <si>
    <t>Test for LLMs</t>
  </si>
  <si>
    <t>NarrativeQA</t>
  </si>
  <si>
    <t>MultiRC</t>
  </si>
  <si>
    <t>Uses self-attention to capture different kinds of attentions, for each individual process of self-attention. Divides d_model into 8 64-dimension "heads" to represent different subspaces of how each word relates to another. This output is a matrix Z_i with shape x*d_k</t>
  </si>
  <si>
    <t>multihead attention layer</t>
  </si>
  <si>
    <t>MMLU</t>
  </si>
  <si>
    <t>Megatron-LM</t>
  </si>
  <si>
    <t>4E-5, 1E-4</t>
  </si>
  <si>
    <t>Max Learning Rate</t>
  </si>
  <si>
    <t>Used by decoder to avoid computing attention for future words</t>
  </si>
  <si>
    <t>masking</t>
  </si>
  <si>
    <t>BERT technique</t>
  </si>
  <si>
    <t>masked language modeling</t>
  </si>
  <si>
    <t>Least squared error, logistic loss, hinge loss, cross-entropy, sum of the squared residuals. Calculates error.</t>
  </si>
  <si>
    <t>loss function</t>
  </si>
  <si>
    <t>long short-term memory (LSTM)</t>
  </si>
  <si>
    <t>Logits</t>
  </si>
  <si>
    <t>logistic regression</t>
  </si>
  <si>
    <t>linear regression</t>
  </si>
  <si>
    <t>do the words go together without respect to position</t>
  </si>
  <si>
    <t>lexical field similarity</t>
  </si>
  <si>
    <t>1990s CNN by Le Cun.</t>
  </si>
  <si>
    <t>LeNet-5</t>
  </si>
  <si>
    <t>80 for Chinchilla, Gopher</t>
  </si>
  <si>
    <t>Layers</t>
  </si>
  <si>
    <t>LayerNorm</t>
  </si>
  <si>
    <t>Operation performed on output of residual connection</t>
  </si>
  <si>
    <t>layer normalization</t>
  </si>
  <si>
    <t>Each individual process of self-attention. 128 for Gopher, 64 for Chinchilla.</t>
  </si>
  <si>
    <t>head</t>
  </si>
  <si>
    <t>A type of RNN</t>
  </si>
  <si>
    <t>GRU</t>
  </si>
  <si>
    <t>gradient descent</t>
  </si>
  <si>
    <t>175 billion parameters</t>
  </si>
  <si>
    <t>GPT-3</t>
  </si>
  <si>
    <t>1.5 billion parameters</t>
  </si>
  <si>
    <t>GPT-2</t>
  </si>
  <si>
    <t>DeepMind 280B parameter LLM</t>
  </si>
  <si>
    <t>Gopher</t>
  </si>
  <si>
    <t>GM</t>
  </si>
  <si>
    <t>GLUE</t>
  </si>
  <si>
    <t>Vector encoding scheme</t>
  </si>
  <si>
    <t>GloVe</t>
  </si>
  <si>
    <t>Google effort to regain supremacy post-OpenAI</t>
  </si>
  <si>
    <t>Gemini</t>
  </si>
  <si>
    <t>gated recurrent neural networks</t>
  </si>
  <si>
    <t>FlashAttention (tiling, recomputation)</t>
  </si>
  <si>
    <t>feed-forward network</t>
  </si>
  <si>
    <t>vector distance from origin</t>
  </si>
  <si>
    <t>Euclidean norm</t>
  </si>
  <si>
    <t>Co-Founded Adept AI, left to start NewCo. Started at Google Brain. FIRST AUTHOR ON TRANSFORMER PAPER.</t>
  </si>
  <si>
    <t>Ashish Vaswani</t>
  </si>
  <si>
    <t>encoder</t>
  </si>
  <si>
    <t>Published 1950 paper Computing Machinery and Intelligence</t>
  </si>
  <si>
    <t>Alan Turing</t>
  </si>
  <si>
    <t>Tokens go from single integers to vectors of d_model dimensions using learned embeddings in the model</t>
  </si>
  <si>
    <t>embedding</t>
  </si>
  <si>
    <t>ilyasu@openai.com</t>
  </si>
  <si>
    <t>Ilya Sutskever</t>
  </si>
  <si>
    <t>can compute gradient estimates of some objective function with respect to its own input and propagate to upstream modules</t>
  </si>
  <si>
    <t>differentiable</t>
  </si>
  <si>
    <t>Founder of Character.ai, 21 years at Google, co-author on Transformer paper.</t>
  </si>
  <si>
    <t>deep neural networks</t>
  </si>
  <si>
    <t>Claude Shannon</t>
  </si>
  <si>
    <t>Google-owned NN company</t>
  </si>
  <si>
    <t>DeepMind</t>
  </si>
  <si>
    <t>Adept AI, former Google giant model production infrastructure</t>
  </si>
  <si>
    <t>Kelsey Schroeder</t>
  </si>
  <si>
    <t>decoder</t>
  </si>
  <si>
    <t>Co-Founded Adept AI, left to start NewCo, author on transformer paper.</t>
  </si>
  <si>
    <t>Niki Parmar</t>
  </si>
  <si>
    <t>Output of every sublayer of transformer architecture, 512 in original Google paper.</t>
  </si>
  <si>
    <t>D_model</t>
  </si>
  <si>
    <t>Adept AI, former Google code generation model</t>
  </si>
  <si>
    <t>Augustus Odena</t>
  </si>
  <si>
    <t>cost function</t>
  </si>
  <si>
    <t>Max Nye</t>
  </si>
  <si>
    <t>compares word embeddings using Euclidean norm in unit spheres</t>
  </si>
  <si>
    <t>cosine similarity function</t>
  </si>
  <si>
    <t>Convolutional Neural Networks</t>
  </si>
  <si>
    <t>John McCarthy</t>
  </si>
  <si>
    <t>In Le Cun's model, a module which performs executive control. Given a task to be executed, it preconfigures the perception module.</t>
  </si>
  <si>
    <t>configurator</t>
  </si>
  <si>
    <t>In 1913, used his process to a 20,000 letter dataset to predict the next chain of letters</t>
  </si>
  <si>
    <t>Andrey Markov</t>
  </si>
  <si>
    <t>Common Crawl</t>
  </si>
  <si>
    <t>Co-Founded Adept AI, former head of engineering at OpenAI, led Google's 'giant model' efforts.</t>
  </si>
  <si>
    <t>classifier</t>
  </si>
  <si>
    <t>Yann LeCun</t>
  </si>
  <si>
    <t>Compute-optimal LLM, 70B parameters</t>
  </si>
  <si>
    <t>Chincilla</t>
  </si>
  <si>
    <t>Alex Krizhevsky</t>
  </si>
  <si>
    <t>CB</t>
  </si>
  <si>
    <t>Created recurrent neural networks in 1982</t>
  </si>
  <si>
    <t>John Hopfield</t>
  </si>
  <si>
    <t>BoolQ</t>
  </si>
  <si>
    <t>machine translation scoring method</t>
  </si>
  <si>
    <t>BLEU</t>
  </si>
  <si>
    <t>Adept AI, former Google production speech recognition</t>
  </si>
  <si>
    <t>Anmol Gulati</t>
  </si>
  <si>
    <t>BERT</t>
  </si>
  <si>
    <t>Adept AI, GPU computing pioneer, DeepMind model scaling effort</t>
  </si>
  <si>
    <t>Erich Elsen</t>
  </si>
  <si>
    <t>Bayesian networks</t>
  </si>
  <si>
    <t>Head of AI at Google</t>
  </si>
  <si>
    <t>3M-6M, 1.5M-3M</t>
  </si>
  <si>
    <t>batch size, head (number)</t>
  </si>
  <si>
    <t>Stanford</t>
  </si>
  <si>
    <t>Tri Dao</t>
  </si>
  <si>
    <t>23rd employee at Google</t>
  </si>
  <si>
    <t>Paul Buchheit</t>
  </si>
  <si>
    <t>Huggingface tool</t>
  </si>
  <si>
    <t>AutoTokenizer</t>
  </si>
  <si>
    <t>Adept AI, former Google data and collaborative AI systems</t>
  </si>
  <si>
    <t>Fred Bertsch</t>
  </si>
  <si>
    <t>Huggingface library for loading pretrained models</t>
  </si>
  <si>
    <t>AutoModel</t>
  </si>
  <si>
    <t>U Toronto professor trained by Hinton</t>
  </si>
  <si>
    <t>Jimmy Ba</t>
  </si>
  <si>
    <t>Connects related words using dot products between word vectors</t>
  </si>
  <si>
    <t>attention</t>
  </si>
  <si>
    <t>The "observation selection effect" suggests that the range of observations we could make is limited by the fact that observations could only happen in a universe capable of developing intelligent life in the first place. The universe has properties that accomodate life because we wouldn't be around to make observations otherwise. There are more than 30 forms of anthropic principles. Weak states the unvierse's tuning is due to selection/survivorship bias. Strong anthropic principle considers the universe compelled to eventually have conscious and sapient life emerge within it. Participatory anthropic principle by Wheeler suggests the universe must be observed. Final AP suggests the universe's structure as expressible by bits of information.</t>
  </si>
  <si>
    <t>anthropic principle</t>
  </si>
  <si>
    <t>n=6 identical layers</t>
  </si>
  <si>
    <t>Decoder</t>
  </si>
  <si>
    <t>Encoder</t>
  </si>
  <si>
    <t>https://github.com/openai/gpt-3/tree/master</t>
  </si>
  <si>
    <t>Selfridge, OG. Pandemonium: a paradigm for learning in mechanisation of thought processes. Proc Symposium on Mechanisation of Thought Processes. 1958.</t>
  </si>
  <si>
    <t>Bengio, Y., Delalleau, O, Le Roux N. The curse of highly variable functions for local kernel machines. In Proc Adv NIPS 2005.</t>
  </si>
  <si>
    <t>Scholkopf, B., Smola, A. Learning with Kernels, MIT Press, 2002.</t>
  </si>
  <si>
    <t>Duda, RO, Hart, PE. Pattern Classification and Scene Analysis. Wiley, 1973.</t>
  </si>
  <si>
    <t>Bottou, L., Bousquet, O. The tradeoffs of large scale learning. In Proc Adv NIPS 2007.</t>
  </si>
  <si>
    <t>This paper showed state-of-the-art machine translation results with the architecture introduced in (72), with a recurrent network trained to read a sentence in one language, produce a semantic representation of its meaning, and generate a translation in another language.</t>
  </si>
  <si>
    <t>Sutskever, I., Vinyals, O., Le, QV. Sequence to sequence learning with neural networks. Proc Adv NIPS 2014.</t>
  </si>
  <si>
    <t>Jean, S., Cho, K, Memisevic, R., Bengio Y. On using very large target vocabulary for neural machine translation. Arxiv 2015.</t>
  </si>
  <si>
    <t>Bordes, A., Chopra, S., Weston, J. Question answering with subgraph embeddings. Proc Empirical Methods in NLP 2014.</t>
  </si>
  <si>
    <t>Collobert, R. Natural language processing (almost) from scratch. J Mach Learn Res 2011.</t>
  </si>
  <si>
    <t>Xiong, HY. The human splicing code reveals new insights into the genetic determinants of disease. Science 2015.</t>
  </si>
  <si>
    <t>Leung, MK, Xiong HY, Lee, LJ, Frey, BJ. Deep learning of the issue-regulated splicing code. Bioinformatics 2014.</t>
  </si>
  <si>
    <t>Helmstaedter, M., et al. Connectomic reconstruction of the inner plexiform layer in the mouse retina. Nature 2013.</t>
  </si>
  <si>
    <t>Kaggle. Higgs boson machine learning challenge. 2014.</t>
  </si>
  <si>
    <t>Ciodaro, T., Deva, D., de Seixas, J., Damazio, D. Online particle detection with neural networks based on topological calorimetry information. J Phys Conf Series 2012.</t>
  </si>
  <si>
    <t>Ma., J, Sheridan, R. P., Liaw, A., Dahl, G.E, Svetnik, V. Deep neural nets as a method for quantitative structure-activity relationships. J Chem Inf Model 2015.</t>
  </si>
  <si>
    <t>Sainath, T., Mohamed, A.-R., Kingsbury, B., Ramabhadran, B. Deep convolutional neural networks for LVCSR. In Proc. Acoustics, Speech and Signal Processing 2013.</t>
  </si>
  <si>
    <t>Hinton, G. et al. Deep neural networks for acoustic modeling in speech recognition. IEEE Signal Processing Magazine 2012.</t>
  </si>
  <si>
    <t>Mikolov, T., Deoras, A., Povey, D., Burget, L., Cernocky, J. Strategies for training large scale neural network language models. Proc Automat Speech Recog Understand 2011.</t>
  </si>
  <si>
    <t>Tompson, J., Jain, A., LeCun, Y., Bregler, C. Joint training of a convolutional network and a graphical model for human pose estimation. Proc Adv NIPS 2014.</t>
  </si>
  <si>
    <t>Werbos, P. Beyond regression: New tools for prediction and analysis in the behavioral sciences, 1974.</t>
  </si>
  <si>
    <t>Turaga, S., Murray, J., Jain, V., Roth, F., Helmstaedter, M., Briggman, K., Denk, W., Seung, H. Convolutional networks can learn to generate affinity graphs for image segmentation. Neural Comput. 22, 2 (2010), 511–538.</t>
  </si>
  <si>
    <t>Szegedy, C., Liu, W., Jia, Y., Sermanet, P., Reed, S., Anguelov, D., Erhan, D., Vanhoucke, V., Rabinovich, A.  Going deeper with convolutions. In Proceedings of the IEEE Conference on Computer Vision and Pattern Recognition (2015), 1–9.</t>
  </si>
  <si>
    <t>Simard, P., Steinkraus, D., Platt, J. Best practices for convolutional neural networks applied to visual document analysis. In Proceedings of the Seventh International Conference on Document Analysis and Recognition. Volume 2 (2003), 958–962.</t>
  </si>
  <si>
    <t>Sánchez, J., Perronnin, F. Highdimensional signature compression for large-scale image classification. In IEEE Conference on Computer Vision and Pattern Recognition (CVPR), 2011 (2011). IEEE, 1665–1672.</t>
  </si>
  <si>
    <t>Russell, BC, Torralba, A., Murphy, K., Freeman, W. Labelme: A database and web-based tool for image annotation. Int. J. Comput Vis. 77, 1 (2008), 157–173.</t>
  </si>
  <si>
    <t>Rumelhart, D.E., Hinton, G.E., Williams, R.J. Learning internal representations by error propagation. Technical report, DTIC Document, 1985.</t>
  </si>
  <si>
    <t>Pinto, N., Doukhan, D., DiCarlo, J., Cox, D. A high-throughput screening approach to discovering good forms of biologically inspired visual representation. PLoS Comput. Biol. 5, 11 (2009), e1000579.</t>
  </si>
  <si>
    <t>Pinto, N., Cox, D., DiCarlo, J. Why is real-world visual object recognition hard? PLoS Comput. Biol. 4, 1 (2008), e27.</t>
  </si>
  <si>
    <t>Nair, V., Hinton, G.E. Rectified linear units improve restricted Boltzmann machines. In Proceedings of the 27th International Conference on Machine Learning (2010).</t>
  </si>
  <si>
    <t>Mensink, T., Verbeek, J., Perronnin, F.,  Csurka, G. Metric learning for large scale image classification: Generalizing to new classes at near-zero cost. In ECCV – European Conference on Computer Vision (Florence, Italy, Oct. 2012).</t>
  </si>
  <si>
    <t>References</t>
  </si>
  <si>
    <t>This report was a breakthrough that used convolutional nets to almost halve the error rate for object recognition, and precipitated the rapid adoption of deep learning by the computer vision community.</t>
  </si>
  <si>
    <t>Comments</t>
  </si>
  <si>
    <t>Science</t>
  </si>
  <si>
    <t>NIPS (Proc Advances in Neural Information Processing Systems)</t>
  </si>
  <si>
    <t>Neural Networks</t>
  </si>
  <si>
    <t>Neural Computation</t>
  </si>
  <si>
    <t>Mach Learn</t>
  </si>
  <si>
    <t>J Mach Learn Res</t>
  </si>
  <si>
    <t>IEEE Trans Pattern Anal Mach Intell</t>
  </si>
  <si>
    <t>IEEE Signal Processing Magazine</t>
  </si>
  <si>
    <t>Comm ACM</t>
  </si>
  <si>
    <t>ACM SIGKDD Explor</t>
  </si>
  <si>
    <t>Journals</t>
  </si>
  <si>
    <t>Fast curvature matrix-vector products for second-order gradient descent. Schraudolph. Neural Computation 2002.</t>
  </si>
  <si>
    <t>Fast exact multiplication by the hessian. Neural Computation 1994.</t>
  </si>
  <si>
    <t>Numerical Optimization. Nocedal, Wright. Springer 1999.</t>
  </si>
  <si>
    <t>Second-order stagewise back-propagation for hessian-matrix analyses and investigation of negative curvature. Mizutani, Dreyfus. Neural Networks 2008.</t>
  </si>
  <si>
    <t>Efficient backprop. LeCun, Bottou, Orr, Muller. Neural Networks: Tricks of the trade 1998.</t>
  </si>
  <si>
    <t>Reducing the dimensionality of data with neural networks. Hinton, Salakhutdinov. Science 2006.</t>
  </si>
  <si>
    <t>Why does unsupervised pre-training help deep learning? Erhan, Bengio, Courville, Manzagol, Vincent, Bengio. J ML Res 2010.</t>
  </si>
  <si>
    <t>Greedy layer-wise training of deep networks. Bengio, Lamblin, Popvici, Larochelle. NIPS 2007.</t>
  </si>
  <si>
    <t>Adaptive method of realizing natural gradient learning for multilayer perceptrons. Amari Park Fukumizu et al. Neural Computation 2000.</t>
  </si>
  <si>
    <t>Companies</t>
  </si>
  <si>
    <t>Glossary</t>
  </si>
  <si>
    <t>Papers</t>
  </si>
  <si>
    <t>DL Software</t>
  </si>
  <si>
    <t>Martin Shkreli</t>
  </si>
  <si>
    <t>NOYB</t>
  </si>
  <si>
    <t>Z</t>
  </si>
  <si>
    <t>PaLM</t>
  </si>
  <si>
    <t>540B parameters</t>
  </si>
  <si>
    <t>LaMDA</t>
  </si>
  <si>
    <t>DALL-E</t>
  </si>
  <si>
    <t>BERT-Large</t>
  </si>
  <si>
    <t>NPLM</t>
  </si>
  <si>
    <t>NetTalk</t>
  </si>
  <si>
    <t>Neocognitron</t>
  </si>
  <si>
    <t>ADALINE</t>
  </si>
  <si>
    <t>Theseus</t>
  </si>
  <si>
    <t>MNIST</t>
  </si>
  <si>
    <t>handwriting recognition</t>
  </si>
  <si>
    <t>ImageNet</t>
  </si>
  <si>
    <t>Switchboard</t>
  </si>
  <si>
    <t>speech recognition</t>
  </si>
  <si>
    <t>diffusion model</t>
  </si>
  <si>
    <t>Make-A-Video</t>
  </si>
  <si>
    <t>Facebook library</t>
  </si>
  <si>
    <t>Google text-to-3D</t>
  </si>
  <si>
    <t>Jeff Dean, Ben Poole, Jonathan Barron, Ben Mildenhall</t>
  </si>
  <si>
    <t>GET3D</t>
  </si>
  <si>
    <t>Nvidia library</t>
  </si>
  <si>
    <t>MDM</t>
  </si>
  <si>
    <t>Tel Aviv library on human motion diffusion model</t>
  </si>
  <si>
    <t>X-CLIP</t>
  </si>
  <si>
    <t>Microsoft video-to-text</t>
  </si>
  <si>
    <t>ChatGPT, Bing, Co-Pilot, X-CLIP</t>
  </si>
  <si>
    <t>PyTorch, Llama, fairseq, SAM, Voicebox, wav2vec, Galactic, Omni3D, ImageBind, MoDem, I-JEPA, MusicGen, LIMA, Detectron, fastText, OPT</t>
  </si>
  <si>
    <t>OPT</t>
  </si>
  <si>
    <t>Facebook Open Pre-Trained Transformer</t>
  </si>
  <si>
    <t>BlLOOM</t>
  </si>
  <si>
    <t>Language models by Hugging Face</t>
  </si>
  <si>
    <t>AI2</t>
  </si>
  <si>
    <t>Allen Institute open language model</t>
  </si>
  <si>
    <t>Sonya Huang</t>
  </si>
  <si>
    <t>Pat Grady</t>
  </si>
  <si>
    <t>grady@sequoiacap.com</t>
  </si>
  <si>
    <t>sonya@sequoiacap.com</t>
  </si>
  <si>
    <t>David Cahn</t>
  </si>
  <si>
    <t>ex-Coatue</t>
  </si>
  <si>
    <t>Text-to-video, text-to-speech. Hundreds of thousands of users - Coatue</t>
  </si>
  <si>
    <t>Wordtune</t>
  </si>
  <si>
    <t>Mustafa Suleyman</t>
  </si>
  <si>
    <t>Co-founder DeepMind, Co-Founder Inflection AI</t>
  </si>
  <si>
    <t>www.gantry.io</t>
  </si>
  <si>
    <t>Appzen</t>
  </si>
  <si>
    <t>Not really AI?</t>
  </si>
  <si>
    <t>ByteDance</t>
  </si>
  <si>
    <t>Clockwise</t>
  </si>
  <si>
    <t>Cobalt Robotics</t>
  </si>
  <si>
    <t>Deep Instinct</t>
  </si>
  <si>
    <t>DoNotPay</t>
  </si>
  <si>
    <t>Edge Impulse</t>
  </si>
  <si>
    <t>Entos</t>
  </si>
  <si>
    <t>Ghost Autonomy</t>
  </si>
  <si>
    <t>Figma</t>
  </si>
  <si>
    <t>Kustomer</t>
  </si>
  <si>
    <t>Lunchclub</t>
  </si>
  <si>
    <t>Magical</t>
  </si>
  <si>
    <t>Product Science</t>
  </si>
  <si>
    <t>Raycast</t>
  </si>
  <si>
    <t>SiFive</t>
  </si>
  <si>
    <t>SourceGraph</t>
  </si>
  <si>
    <t>Sri Viswanath</t>
  </si>
  <si>
    <t>Basch (dead)</t>
  </si>
  <si>
    <t>www.wave-ai.net</t>
  </si>
  <si>
    <t>Amper (Shutterstock)</t>
  </si>
  <si>
    <t>Ecrett Music</t>
  </si>
  <si>
    <t>Vverse.ai</t>
  </si>
  <si>
    <t>Fathom.video</t>
  </si>
  <si>
    <t>Clearword</t>
  </si>
  <si>
    <t>Sembly.ai</t>
  </si>
  <si>
    <t>Trash.app</t>
  </si>
  <si>
    <t>Grain</t>
  </si>
  <si>
    <t>Vochi</t>
  </si>
  <si>
    <t>Elicit (elicit.org, now ought.org?)</t>
  </si>
  <si>
    <t>NightCafe</t>
  </si>
  <si>
    <t>Astria</t>
  </si>
  <si>
    <t>Kite</t>
  </si>
  <si>
    <t>Failed</t>
  </si>
  <si>
    <t>Trainium, Bedrock, Infernium, CodeWhisperer</t>
  </si>
  <si>
    <t>Every.to</t>
  </si>
  <si>
    <t>AdZis</t>
  </si>
  <si>
    <t>SellScale</t>
  </si>
  <si>
    <t>TLDR this</t>
  </si>
  <si>
    <t>www.tome.app</t>
  </si>
  <si>
    <t>Tome.com</t>
  </si>
  <si>
    <t>air.ai</t>
  </si>
  <si>
    <t>Self-Driving Trucks</t>
  </si>
  <si>
    <t>Zoyi Capital</t>
  </si>
  <si>
    <t>SAIC Capital</t>
  </si>
  <si>
    <t>Quanta Computer</t>
  </si>
  <si>
    <t>Millennium Technology Value Partners</t>
  </si>
  <si>
    <t>MESH</t>
  </si>
  <si>
    <t>Huochebang</t>
  </si>
  <si>
    <t xml:space="preserve">Wanxiang, Guotai Junan, CPE, Sequoia, SAIC, Mayfield, Manbang, Lightspeed, GSR Ventures, China Growth Capital, </t>
  </si>
  <si>
    <t>Wanxiang</t>
  </si>
  <si>
    <t>Guotai Junan International</t>
  </si>
  <si>
    <t>CPE Capital (Australia)</t>
  </si>
  <si>
    <t>Mayfield Fund</t>
  </si>
  <si>
    <t>Manbang Group</t>
  </si>
  <si>
    <t>China Growth Capital</t>
  </si>
  <si>
    <t>Guotai Junan</t>
  </si>
  <si>
    <t>Sequoia China, GSR Ventures</t>
  </si>
  <si>
    <t>GSR Ventures, SAIC, Mayfield, Lightspeed, China Growth Capital, TSVC</t>
  </si>
  <si>
    <t>https://aws.amazon.com</t>
  </si>
  <si>
    <t>www.palantir.com</t>
  </si>
  <si>
    <t>www.databricks.com</t>
  </si>
  <si>
    <t>www.getcruise.com</t>
  </si>
  <si>
    <t>www.waymo.com</t>
  </si>
  <si>
    <t>https://global.iflytek.com/</t>
  </si>
  <si>
    <t>www.sensetime.com</t>
  </si>
  <si>
    <t>www.scale.com</t>
  </si>
  <si>
    <t>www.datarobot.com</t>
  </si>
  <si>
    <t>www.anthropic.com</t>
  </si>
  <si>
    <t>www.inflection.ai</t>
  </si>
  <si>
    <t>www.c3.ai</t>
  </si>
  <si>
    <t>www.stability.ai</t>
  </si>
  <si>
    <t>www.uniphore.com</t>
  </si>
  <si>
    <t>www.moveworks.com</t>
  </si>
  <si>
    <t>www.cohere.com</t>
  </si>
  <si>
    <t>www.huggingface.co</t>
  </si>
  <si>
    <t>Argo AI</t>
  </si>
  <si>
    <t>Volkswagen</t>
  </si>
  <si>
    <t>AutoX</t>
  </si>
  <si>
    <t>Alexander Karp, Joe Lonsdale, Nathan Gettings, Peter Thiel, Stephen Cohen</t>
  </si>
  <si>
    <t>Oakhouse Partners</t>
  </si>
  <si>
    <t>REV (RELX)</t>
  </si>
  <si>
    <t>Lauder Partners</t>
  </si>
  <si>
    <t>Founders Fund, Ulu Ventures, Lauder Partners, Glynn Capital, Konstantin von Unger, Keith Rabois, Jeremy Stoppelman, Benjamin Ling</t>
  </si>
  <si>
    <t>Friends and Family Capital</t>
  </si>
  <si>
    <t>Friends &amp; Family Capital</t>
  </si>
  <si>
    <t>90 at 645m</t>
  </si>
  <si>
    <t>Sozo Ventures, 137 Ventures</t>
  </si>
  <si>
    <t>137 Ventures</t>
  </si>
  <si>
    <t>196.5m at 8B</t>
  </si>
  <si>
    <t>Founders Fund, Artis Ventures</t>
  </si>
  <si>
    <t>Mithril, Artis, Scott H. Cohen</t>
  </si>
  <si>
    <t>www.rungalileo.io</t>
  </si>
  <si>
    <t>Atindriyo Sanyal, Vikram Chatterji, Yash Sheth</t>
  </si>
  <si>
    <t>Unstructured data, LLM studio</t>
  </si>
  <si>
    <t>Battery Ventures, Walden Catalyst, FPV Ventures, The Factory, Anthony Goldbloom</t>
  </si>
  <si>
    <t>TheFactory</t>
  </si>
  <si>
    <t>Factory, Anthony Goldbloom, Young Sohn, Remi El-Ouazzane, Lip-Bu Tan, Amarjit Gill, Ajay Shah</t>
  </si>
  <si>
    <t>www.soterea.cn</t>
  </si>
  <si>
    <t>Software, Hardware, no car</t>
  </si>
  <si>
    <t>Xu Xianjie</t>
  </si>
  <si>
    <t>Ping An Capital, SK China, Henan, Harvest</t>
  </si>
  <si>
    <t>Henan Investment Group</t>
  </si>
  <si>
    <t>Harvest Fund</t>
  </si>
  <si>
    <t>SK China</t>
  </si>
  <si>
    <t>Suspicious</t>
  </si>
  <si>
    <t>Arbe</t>
  </si>
  <si>
    <t>Aurora Labs</t>
  </si>
  <si>
    <t>Alex Kendall, Amar Shah</t>
  </si>
  <si>
    <t>Kajiwoto.ai</t>
  </si>
  <si>
    <t>Automobiles</t>
  </si>
  <si>
    <t>Fleet</t>
  </si>
  <si>
    <t>Eclipse Ventures, Virgin Group, Reference Capital SA, Ocado Group, Necessary Ventures, Moore, Microsoft, Linse Capital, F+ Ventures, D1 Capital, Compound, Balderton Capital, Baillie Gifford, Yann LeCun, Rosemary Leith, Richard Branson, Pieter Abbeel, Linda Levinson, David Richter</t>
  </si>
  <si>
    <t>Virgin Group</t>
  </si>
  <si>
    <t>Reference Capital SA</t>
  </si>
  <si>
    <t>Ocado Group</t>
  </si>
  <si>
    <t>Necessary Ventures</t>
  </si>
  <si>
    <t>F+ Ventures</t>
  </si>
  <si>
    <t>Balderton Capital, Necessary Ventures, Exor Seeds, Fly Ventures, Eclipse Ventures, Compound, Bossanova, Yann LeCun, Steve Girsky, Richard Branson, Linda Levinson, Greg Winter</t>
  </si>
  <si>
    <t>Fly Ventures</t>
  </si>
  <si>
    <t>Eclipse, Necessary, Fly, Firstminute, Balderton, Pieter Abbeel</t>
  </si>
  <si>
    <t>Fly Ventures, Compound, Tiny VC, Firstminute, Zoubin Gharamani</t>
  </si>
  <si>
    <t>regularization</t>
  </si>
  <si>
    <t>DL technique</t>
  </si>
  <si>
    <t>parameter</t>
  </si>
  <si>
    <t>norm</t>
  </si>
  <si>
    <t>penalty</t>
  </si>
  <si>
    <t>optimization</t>
  </si>
  <si>
    <t>constrained</t>
  </si>
  <si>
    <t>noise</t>
  </si>
  <si>
    <t>semi-supervised training/learning</t>
  </si>
  <si>
    <t>multi-task learning</t>
  </si>
  <si>
    <t>sparse representation</t>
  </si>
  <si>
    <t>ensemble methods</t>
  </si>
  <si>
    <t>bagging</t>
  </si>
  <si>
    <t>dropout</t>
  </si>
  <si>
    <t>adversarial training</t>
  </si>
  <si>
    <t>tangent distance</t>
  </si>
  <si>
    <t>tangent drop</t>
  </si>
  <si>
    <t>manifold tangent classifier</t>
  </si>
  <si>
    <t>adaptive learning rate</t>
  </si>
  <si>
    <t>learning rate</t>
  </si>
  <si>
    <t>pooling</t>
  </si>
  <si>
    <t>prior</t>
  </si>
  <si>
    <t>sequence modeling</t>
  </si>
  <si>
    <t>uses recurrent and recursive networks</t>
  </si>
  <si>
    <t>recursive network</t>
  </si>
  <si>
    <t>echo state networks</t>
  </si>
  <si>
    <t>leaky units</t>
  </si>
  <si>
    <t>A type of RNN. Can forget, is gated</t>
  </si>
  <si>
    <t>Created by John Hopfield in 1982, also known as Hopfield networks or associative neural networks. LSTMs emerged from RNNs. Can be bidirectional. Can be gated (LSTM)</t>
  </si>
  <si>
    <t>hyperparameter</t>
  </si>
  <si>
    <t>ML model hub</t>
  </si>
  <si>
    <t>principcal component analysis</t>
  </si>
  <si>
    <t>Probablistic, independent</t>
  </si>
  <si>
    <t>autoencoder</t>
  </si>
  <si>
    <t>Pygmalion</t>
  </si>
  <si>
    <t>Daedalus</t>
  </si>
  <si>
    <t>Hephaestus</t>
  </si>
  <si>
    <t>Galatea</t>
  </si>
  <si>
    <t>Talos</t>
  </si>
  <si>
    <t>Pandora</t>
  </si>
  <si>
    <t>Deep Blue</t>
  </si>
  <si>
    <t>IBM chess playing program, defeated Kasparov in 1997</t>
  </si>
  <si>
    <t>knowledge base</t>
  </si>
  <si>
    <t>Cyc</t>
  </si>
  <si>
    <t>machine learning</t>
  </si>
  <si>
    <t>subgroup of AI where machines can extract patterns from raw data</t>
  </si>
  <si>
    <t>naïve Bayes</t>
  </si>
  <si>
    <t>Simple ML algorithm which classifies.</t>
  </si>
  <si>
    <t>feature</t>
  </si>
  <si>
    <t>Elements of data for ML algorithms</t>
  </si>
  <si>
    <t>representation learning</t>
  </si>
  <si>
    <t>Encodes text (or any input data) into a vector (or different representation) and transmits to the decoder.</t>
  </si>
  <si>
    <t>Decoder constructs the output sequence based on the vector received from the encoder. In transformers, the decoder produces text sequences and has the multi-headed attention layer, add and norm layers, feed-forward layers, and a linear layer with proabilities of output. In representational learning, and in general, decoders convert encoded representations back into their original formats.</t>
  </si>
  <si>
    <t>An RL algorithm which combines encoder and decoder. Autoencoders try to preserve information, but create new representations with useful properties. Undercomplete, regularized.</t>
  </si>
  <si>
    <t>ML approach which learns the representation of data. See autoencoder. Representation learning has a critical issue: representations are often as hard to obtain as solving the original problem. Deep learning is the solution.</t>
  </si>
  <si>
    <t>deep learning</t>
  </si>
  <si>
    <t>Aaron Matos</t>
  </si>
  <si>
    <t>Olivia, AI recruiter, onboarding</t>
  </si>
  <si>
    <t>Thoma Bravo, Stripes, Sapphire, Workday, Willoughby Capital, Twilio, Principia Growth, Indeed, Geodesic Capital, DLA Piper, Brighton Park, Blue Cloud</t>
  </si>
  <si>
    <t>Willoughby Capital</t>
  </si>
  <si>
    <t>Principia Growth</t>
  </si>
  <si>
    <t>Indeed</t>
  </si>
  <si>
    <t>DLA Piper</t>
  </si>
  <si>
    <t>Brighton Park</t>
  </si>
  <si>
    <t>Blue Cloud</t>
  </si>
  <si>
    <t>Andrew Kinzer, Gordon Hempton, Manny Medina, Wes Hather</t>
  </si>
  <si>
    <t>Pipeline</t>
  </si>
  <si>
    <t>Ilya Sustkever, Andrej Karpathy, Jakub Pachoki, Sam Altman, Greg Brockman, Jan Leike, Wojciech Zaremba, Jason Kwon, Brad Lightcap, Mira Murati, Tasha McCauley, James Dyett, Allisa Rosenthal, Barret Zoph, Tabarak Khan, Atty Eleti, Caitlin Carroll, Srinivas Narayanan, Joanne Jang, Chris Brown, Chris Koch, Scott Gray, Ted Sanders, James Betker, Aurelia Guy, Bogo Giertler, Trevor Cai, Aidan Clark</t>
  </si>
  <si>
    <t>Charactr</t>
  </si>
  <si>
    <t>www.charactr.com</t>
  </si>
  <si>
    <t>Paul Jaski</t>
  </si>
  <si>
    <t>Millions of users already</t>
  </si>
  <si>
    <t>www.janitorai.com</t>
  </si>
  <si>
    <t>www.lovo.ai</t>
  </si>
  <si>
    <t>John Schulman</t>
  </si>
  <si>
    <t>Co-Founder, Head of RL</t>
  </si>
  <si>
    <t>PhD under Pieter Abbeel</t>
  </si>
  <si>
    <t>Pieter Abbeel</t>
  </si>
  <si>
    <t>RL, robotics expert</t>
  </si>
  <si>
    <t>Andrej Karpathy</t>
  </si>
  <si>
    <t>Co-founder OpenAI</t>
  </si>
  <si>
    <t>Richard Socher</t>
  </si>
  <si>
    <t>Quoc Le</t>
  </si>
  <si>
    <t>Stanford, Google, Baidu</t>
  </si>
  <si>
    <t>Yoshua Bengio</t>
  </si>
  <si>
    <t>Ray Kurzweil</t>
  </si>
  <si>
    <t>Stephen Wolfram</t>
  </si>
  <si>
    <t>Demis Hassabis</t>
  </si>
  <si>
    <t>Marvin Minsky</t>
  </si>
  <si>
    <t>Nate Derbinsky</t>
  </si>
  <si>
    <t>Stuart Russell</t>
  </si>
  <si>
    <t>Peter Norvig</t>
  </si>
  <si>
    <t>Marc Raibert</t>
  </si>
  <si>
    <t>Sam Altman</t>
  </si>
  <si>
    <t>Co-Founder</t>
  </si>
  <si>
    <t>Employee</t>
  </si>
  <si>
    <t>Elon Musk</t>
  </si>
  <si>
    <t>Joined</t>
  </si>
  <si>
    <t>Left</t>
  </si>
  <si>
    <t>Greg Brockman</t>
  </si>
  <si>
    <t>Co-Founder, CEO</t>
  </si>
  <si>
    <t>Ian Goodfellow</t>
  </si>
  <si>
    <t>Oriol Vinyals</t>
  </si>
  <si>
    <t>George Hotz</t>
  </si>
  <si>
    <t>Francois Chollet</t>
  </si>
  <si>
    <t>Gary Marcus</t>
  </si>
  <si>
    <t>Co-founder OpenAI, CEO of Tesla</t>
  </si>
  <si>
    <t>Judea Pearl</t>
  </si>
  <si>
    <t>Scott Aaronson</t>
  </si>
  <si>
    <t>Nick Bostrom</t>
  </si>
  <si>
    <t>David Silver</t>
  </si>
  <si>
    <t>Wojciech Zaremba</t>
  </si>
  <si>
    <t>Jason Kwon</t>
  </si>
  <si>
    <t>Brad Lightcap</t>
  </si>
  <si>
    <t>Mira Murati</t>
  </si>
  <si>
    <t>Tasha McCauley</t>
  </si>
  <si>
    <t>BOD</t>
  </si>
  <si>
    <t>James Dyett</t>
  </si>
  <si>
    <t>Head of Strategic Accounts</t>
  </si>
  <si>
    <t>Aliisa Rosenthal</t>
  </si>
  <si>
    <t>Head of Sales</t>
  </si>
  <si>
    <t>Barret Zoph</t>
  </si>
  <si>
    <t>Tabarak Khan</t>
  </si>
  <si>
    <t>Partnerships</t>
  </si>
  <si>
    <t>Atty Eleti</t>
  </si>
  <si>
    <t>SWE</t>
  </si>
  <si>
    <t>Caitlin Carroll</t>
  </si>
  <si>
    <t>Talent</t>
  </si>
  <si>
    <t>Srinivas Narayanan</t>
  </si>
  <si>
    <t>VP Engineering</t>
  </si>
  <si>
    <t>Joanne Jang</t>
  </si>
  <si>
    <t>Chris Brown</t>
  </si>
  <si>
    <t>GTM</t>
  </si>
  <si>
    <t>Chris Finlayson</t>
  </si>
  <si>
    <t>Joseph Landers</t>
  </si>
  <si>
    <t>Jerry Tworek</t>
  </si>
  <si>
    <t>Tarun Gogineni</t>
  </si>
  <si>
    <t>Technical Staff</t>
  </si>
  <si>
    <t>Benjamin Zweig</t>
  </si>
  <si>
    <t>Product &amp; Interface Design</t>
  </si>
  <si>
    <t>Head of Solutions &amp; Account Engineering</t>
  </si>
  <si>
    <t>Boris Power</t>
  </si>
  <si>
    <t>Peter Welinder</t>
  </si>
  <si>
    <t>VP Product &amp; Partnerships</t>
  </si>
  <si>
    <t>Applied AI</t>
  </si>
  <si>
    <t>Shyamal Hitesh Anadkat</t>
  </si>
  <si>
    <t>Preston Tuggle</t>
  </si>
  <si>
    <t>Applied AI Solutions</t>
  </si>
  <si>
    <t>Jan Leike</t>
  </si>
  <si>
    <t>Alignment team lead</t>
  </si>
  <si>
    <t>Ted Sanders</t>
  </si>
  <si>
    <t>Ari Allyn-Feuer</t>
  </si>
  <si>
    <t>Akila Welihinda</t>
  </si>
  <si>
    <t>Supercomputing</t>
  </si>
  <si>
    <t>Jeb Henry Head</t>
  </si>
  <si>
    <t>Product Policy</t>
  </si>
  <si>
    <t>Scott Gray</t>
  </si>
  <si>
    <t>Chris Koch</t>
  </si>
  <si>
    <t>Research Engineer</t>
  </si>
  <si>
    <t>Sarthak Agrawal</t>
  </si>
  <si>
    <t>Steven Adler</t>
  </si>
  <si>
    <t>Lilian Weng</t>
  </si>
  <si>
    <t>Head of Safety Systems</t>
  </si>
  <si>
    <t>Bianca Martin</t>
  </si>
  <si>
    <t>Technical Chief of Staff</t>
  </si>
  <si>
    <t>Rajeev Nayak</t>
  </si>
  <si>
    <t>Software Engineer</t>
  </si>
  <si>
    <t>Jakub Pachocki</t>
  </si>
  <si>
    <t>Pamela Mishkin</t>
  </si>
  <si>
    <t>Ishant Singh</t>
  </si>
  <si>
    <t>Trust &amp; Safety</t>
  </si>
  <si>
    <t>Zack Kass</t>
  </si>
  <si>
    <t>Head of GTM</t>
  </si>
  <si>
    <t>Denny Jin</t>
  </si>
  <si>
    <t>Strategic Finance Lead</t>
  </si>
  <si>
    <t>Brydon Eastman</t>
  </si>
  <si>
    <t>Bob McGrew</t>
  </si>
  <si>
    <t>VP Research</t>
  </si>
  <si>
    <t>Prafulla Dhariwal</t>
  </si>
  <si>
    <t>Research Scientist</t>
  </si>
  <si>
    <t>Adam Perelman</t>
  </si>
  <si>
    <t>Engineering</t>
  </si>
  <si>
    <t>Sowmya Ranganathan</t>
  </si>
  <si>
    <t>Controller</t>
  </si>
  <si>
    <t>Jan Hendrik Kirchner</t>
  </si>
  <si>
    <t>Robert Infantino</t>
  </si>
  <si>
    <t>Carl Ross</t>
  </si>
  <si>
    <t>Matt Wiethoff</t>
  </si>
  <si>
    <t>Arvind Neelakantan</t>
  </si>
  <si>
    <t>Research Lead &amp; Manager</t>
  </si>
  <si>
    <t xml:space="preserve">Colin S. </t>
  </si>
  <si>
    <t>Maddie Simens</t>
  </si>
  <si>
    <t>Product Design Lead</t>
  </si>
  <si>
    <t>Jason Wei</t>
  </si>
  <si>
    <t>Logan Kilpatrick</t>
  </si>
  <si>
    <t>Diane Yoon</t>
  </si>
  <si>
    <t>VP People</t>
  </si>
  <si>
    <t>Alexis Conneau</t>
  </si>
  <si>
    <t>Rohan Nuttall</t>
  </si>
  <si>
    <t>Applied</t>
  </si>
  <si>
    <t>Evan Morikawa</t>
  </si>
  <si>
    <t>OpenAI Applied Engineering Manager</t>
  </si>
  <si>
    <t>Michelle Kim</t>
  </si>
  <si>
    <t>Kristen Dallara</t>
  </si>
  <si>
    <t>Yoshi Wang</t>
  </si>
  <si>
    <t>Irving Washington</t>
  </si>
  <si>
    <t>Joshua Gross</t>
  </si>
  <si>
    <t>Andrew Busker</t>
  </si>
  <si>
    <t>Jesse Han</t>
  </si>
  <si>
    <t>Bowen Baker</t>
  </si>
  <si>
    <t>Behrooz Ghorbani</t>
  </si>
  <si>
    <t>Researcher</t>
  </si>
  <si>
    <t>Karl Cobbe</t>
  </si>
  <si>
    <t>Hugo Larochelle</t>
  </si>
  <si>
    <t>Ex-Twitter, DeepMind researcher</t>
  </si>
  <si>
    <t>https://www.youtube.com/watch?v=zij_FTbJHsk</t>
  </si>
  <si>
    <t>Dave Willner</t>
  </si>
  <si>
    <t>Former Head of Trust and Safety</t>
  </si>
  <si>
    <t>Co-Founder OpenAI, Chief Scientist</t>
  </si>
  <si>
    <t>Start</t>
  </si>
  <si>
    <t>GC YC Continuity</t>
  </si>
  <si>
    <t>Chief Strategy Officer, GC</t>
  </si>
  <si>
    <t>Ex-YC</t>
  </si>
  <si>
    <t>COO, CFO</t>
  </si>
  <si>
    <t>Ex-CTO Stripe</t>
  </si>
  <si>
    <t>Will DePue</t>
  </si>
  <si>
    <t>CTO, former SVP Research, VP Applied AI</t>
  </si>
  <si>
    <t>ex-Leap Motion</t>
  </si>
  <si>
    <t>ex-Stripe</t>
  </si>
  <si>
    <t>Pam Lewis</t>
  </si>
  <si>
    <t>ex-Bossa Nova</t>
  </si>
  <si>
    <t>AI Platform Product Manager</t>
  </si>
  <si>
    <t>Anna Tifft</t>
  </si>
  <si>
    <t>Natalie Staudacher</t>
  </si>
  <si>
    <t>ex-Lilt</t>
  </si>
  <si>
    <t>ex-Google</t>
  </si>
  <si>
    <t>Former</t>
  </si>
  <si>
    <t>Contact</t>
  </si>
  <si>
    <t>Present</t>
  </si>
  <si>
    <t>David Lees</t>
  </si>
  <si>
    <t>Voj Voyej</t>
  </si>
  <si>
    <t>Angela Jiang</t>
  </si>
  <si>
    <t>Jessica Shieh</t>
  </si>
  <si>
    <t>ex-Facebook</t>
  </si>
  <si>
    <t>Adrien Ecoffet</t>
  </si>
  <si>
    <t>ex-Uber</t>
  </si>
  <si>
    <t>Normal neural network</t>
  </si>
  <si>
    <t>https://www.youtube.com/@hugolarochelle/videos</t>
  </si>
  <si>
    <t>forward propagation</t>
  </si>
  <si>
    <t>ML technique decides whether input belongs in class A or B. (in LLMs): Abbreviated CLS, begins tokenizing.</t>
  </si>
  <si>
    <t>backpropagation</t>
  </si>
  <si>
    <t>batch normalization</t>
  </si>
  <si>
    <t>unsupervised learning</t>
  </si>
  <si>
    <t>unsupervised pre-training</t>
  </si>
  <si>
    <t>minority vs. supervised</t>
  </si>
  <si>
    <t>Co-Founder, President, Infrastructure lead</t>
  </si>
  <si>
    <t>Trevor Cai</t>
  </si>
  <si>
    <t>David Farhi</t>
  </si>
  <si>
    <t>Chris Hesse</t>
  </si>
  <si>
    <t>Infrastructure usability co-lead</t>
  </si>
  <si>
    <t>Shantanu Jain</t>
  </si>
  <si>
    <t>Kyle Kosic</t>
  </si>
  <si>
    <t>Alex Paino</t>
  </si>
  <si>
    <t>Mikhail Pavlov</t>
  </si>
  <si>
    <t>Software correctness lead for GPT-4</t>
  </si>
  <si>
    <t>Michael Petrov</t>
  </si>
  <si>
    <t>Hardware correctness lead for GPT-4</t>
  </si>
  <si>
    <t>Nick Ryder</t>
  </si>
  <si>
    <t>Architecture &amp; data lead for GPT-4</t>
  </si>
  <si>
    <t>Szymon Sidor</t>
  </si>
  <si>
    <t>Optimization vice lead for GPT-4</t>
  </si>
  <si>
    <t>Nikolas Tezak</t>
  </si>
  <si>
    <t>Triton lead for GPT-4</t>
  </si>
  <si>
    <t>Amin Tootoonchian</t>
  </si>
  <si>
    <t>Model distribution, systems, networking lead for GPT-4</t>
  </si>
  <si>
    <t>Qiming Yuan</t>
  </si>
  <si>
    <t>Co-Founder; Founded DNNResearch; Managed dataset team for GPT-4</t>
  </si>
  <si>
    <t>Oleg Boiko</t>
  </si>
  <si>
    <t>Compute cluster scaling for GPT-4</t>
  </si>
  <si>
    <t>Andrew Cann</t>
  </si>
  <si>
    <t>Che Chang</t>
  </si>
  <si>
    <t>Sheila Dunning</t>
  </si>
  <si>
    <t>Leo Gao</t>
  </si>
  <si>
    <t>Jonathan Gordon</t>
  </si>
  <si>
    <t>Peter Hoeschele</t>
  </si>
  <si>
    <t>Shawn Jain</t>
  </si>
  <si>
    <t>Roger Jiang</t>
  </si>
  <si>
    <t>Heewoo Jun</t>
  </si>
  <si>
    <t>Lukasz Kaiser</t>
  </si>
  <si>
    <t>Nitish Shirish Keskar</t>
  </si>
  <si>
    <t>Jong Wook Kim</t>
  </si>
  <si>
    <t>Aris Konstantinidis</t>
  </si>
  <si>
    <t>Chak Ming Li</t>
  </si>
  <si>
    <t>Todor Markov</t>
  </si>
  <si>
    <t>David Mely</t>
  </si>
  <si>
    <t>Oleg Murk</t>
  </si>
  <si>
    <t>Hyeonwoo Noh</t>
  </si>
  <si>
    <t>Long Ouyang</t>
  </si>
  <si>
    <t>Vitchyr Pong</t>
  </si>
  <si>
    <t>Alec Radford</t>
  </si>
  <si>
    <t>Daniel Selsam</t>
  </si>
  <si>
    <t>Ian Sohl</t>
  </si>
  <si>
    <t>Chelsea Voss</t>
  </si>
  <si>
    <t>Clemens Winter</t>
  </si>
  <si>
    <t>Tao Xu</t>
  </si>
  <si>
    <t>Eric Sigler</t>
  </si>
  <si>
    <t>Henri Roussez</t>
  </si>
  <si>
    <t>Emy Parparita</t>
  </si>
  <si>
    <t>Mateusz Litwin</t>
  </si>
  <si>
    <t>Christian Gibson</t>
  </si>
  <si>
    <t>Ben Chess</t>
  </si>
  <si>
    <t>Sandhini Agarwal</t>
  </si>
  <si>
    <t>Suchir Balaji</t>
  </si>
  <si>
    <t>Yongjik Kim</t>
  </si>
  <si>
    <t>Madeleine Thompson</t>
  </si>
  <si>
    <t>Ingmar Kanitscheider</t>
  </si>
  <si>
    <t>Daniel Levy</t>
  </si>
  <si>
    <t>Jie Tang</t>
  </si>
  <si>
    <t>Ben Wang</t>
  </si>
  <si>
    <t>Gabriel Goh</t>
  </si>
  <si>
    <t>Long context co-lead</t>
  </si>
  <si>
    <t>Attention architecture lead</t>
  </si>
  <si>
    <t>Throughput lead, Vision lead</t>
  </si>
  <si>
    <t>Mark Chen</t>
  </si>
  <si>
    <t>Casey Chu</t>
  </si>
  <si>
    <t>Shengli Hu</t>
  </si>
  <si>
    <t>Jamie Kiros</t>
  </si>
  <si>
    <t>Igor Babuschkin</t>
  </si>
  <si>
    <t>Christine McLeavey</t>
  </si>
  <si>
    <t>Raul Puri</t>
  </si>
  <si>
    <t>Aditya Ramesh</t>
  </si>
  <si>
    <t>Rory Carmichael</t>
  </si>
  <si>
    <t>Yunxing Dai</t>
  </si>
  <si>
    <t>Brandon Houghton</t>
  </si>
  <si>
    <t>Lukasz Kondraciuk</t>
  </si>
  <si>
    <t>Tianhao Zheng</t>
  </si>
  <si>
    <t>Alethea Power</t>
  </si>
  <si>
    <t>Reiichiro Nakano</t>
  </si>
  <si>
    <t>Pranav Shyam</t>
  </si>
  <si>
    <t>Ilge Akkaya</t>
  </si>
  <si>
    <t>Rachel Lim</t>
  </si>
  <si>
    <t>Jiayi Weng</t>
  </si>
  <si>
    <t>Arka Dhar</t>
  </si>
  <si>
    <t>Liam Fedus</t>
  </si>
  <si>
    <t>Rapha Gontijo-Lopes</t>
  </si>
  <si>
    <t>Johannes Heidecke</t>
  </si>
  <si>
    <t>Joost Huizinga</t>
  </si>
  <si>
    <t>Teddy Lee</t>
  </si>
  <si>
    <t>Ryan Lowe</t>
  </si>
  <si>
    <t>Alignment co-lead</t>
  </si>
  <si>
    <t>Luke Metz</t>
  </si>
  <si>
    <t>Carroll Wainwright</t>
  </si>
  <si>
    <t>Jonathan Ward</t>
  </si>
  <si>
    <t>Sarah Yoo</t>
  </si>
  <si>
    <t>Chong Zhang</t>
  </si>
  <si>
    <t>Shengjia Zhao</t>
  </si>
  <si>
    <t>Diogo Almeida</t>
  </si>
  <si>
    <t>Juan Felipe Ceron Uribe</t>
  </si>
  <si>
    <t>Tyna Eloundou</t>
  </si>
  <si>
    <t>Christina Kim</t>
  </si>
  <si>
    <t>Stephanie Lin</t>
  </si>
  <si>
    <t>Jacob Menick</t>
  </si>
  <si>
    <t>Tong Mu</t>
  </si>
  <si>
    <t>Ashvin Nair</t>
  </si>
  <si>
    <t>Alex Passos</t>
  </si>
  <si>
    <t>Michael Pokorny</t>
  </si>
  <si>
    <t>Sarah Shoker</t>
  </si>
  <si>
    <t>Kai Xiao</t>
  </si>
  <si>
    <t>Kevin Yu</t>
  </si>
  <si>
    <t>Marvin Zhang</t>
  </si>
  <si>
    <t>William Zhuk</t>
  </si>
  <si>
    <t>Irwan Bello</t>
  </si>
  <si>
    <t>Lenny Bogdonoff</t>
  </si>
  <si>
    <t>Haozhun Jin</t>
  </si>
  <si>
    <t>David Medina</t>
  </si>
  <si>
    <t>Andrey Mishchenko</t>
  </si>
  <si>
    <t>Josh Achiam</t>
  </si>
  <si>
    <t>Hyung Won Chung</t>
  </si>
  <si>
    <t>Shixiang Shane Gu</t>
  </si>
  <si>
    <t>Andrea Vallone</t>
  </si>
  <si>
    <t>RLHF</t>
  </si>
  <si>
    <t>Safety, RLHF</t>
  </si>
  <si>
    <t>Dan Mossing</t>
  </si>
  <si>
    <t>Katarina Slama</t>
  </si>
  <si>
    <t>Training</t>
  </si>
  <si>
    <t>Safety, Training</t>
  </si>
  <si>
    <t>RLHF, Training</t>
  </si>
  <si>
    <t>Uptime and stability lead, Training</t>
  </si>
  <si>
    <t>Code capability</t>
  </si>
  <si>
    <t>Safety, Code Capability</t>
  </si>
  <si>
    <t>Training, Code Capability</t>
  </si>
  <si>
    <t>Benjamin Sokolowsky</t>
  </si>
  <si>
    <t>Research, Code Capability</t>
  </si>
  <si>
    <t>Technical Staff, Code Capability</t>
  </si>
  <si>
    <t>System card co-lead</t>
  </si>
  <si>
    <t>Lama Ahmad</t>
  </si>
  <si>
    <t>Expert red teaming &amp; adversarial lead</t>
  </si>
  <si>
    <t>Compute cluster scaling for GPT-4, capability prediction co-lead</t>
  </si>
  <si>
    <t>Safety, safety evaluations co-lead</t>
  </si>
  <si>
    <t>Andrew Kondrich</t>
  </si>
  <si>
    <t>Evals</t>
  </si>
  <si>
    <t>Gretchen Krueger</t>
  </si>
  <si>
    <t>Michael Lampe</t>
  </si>
  <si>
    <t>Privacy</t>
  </si>
  <si>
    <t>Capability prediction</t>
  </si>
  <si>
    <t>Jack Rae</t>
  </si>
  <si>
    <t>Research benchmark execution</t>
  </si>
  <si>
    <t>Eval execution lead</t>
  </si>
  <si>
    <t>Safety, Evals</t>
  </si>
  <si>
    <t>Dev Rel, Evals</t>
  </si>
  <si>
    <t>Research, Safety, Economic impact, Evals</t>
  </si>
  <si>
    <t>Principal of Research, ran optimization for GPT-4 pretraining, Evals</t>
  </si>
  <si>
    <t>Alvin Wang</t>
  </si>
  <si>
    <t>OpenAI Evals</t>
  </si>
  <si>
    <t>Alan Hickey</t>
  </si>
  <si>
    <t>Acceleration forecasting</t>
  </si>
  <si>
    <t>Daniel Kokotajlo</t>
  </si>
  <si>
    <t>Shibani Santurkar</t>
  </si>
  <si>
    <t>Infrastructure</t>
  </si>
  <si>
    <t>Technical Staff, Infrastructure</t>
  </si>
  <si>
    <t>Katie Mayer</t>
  </si>
  <si>
    <t>Miles Brundage</t>
  </si>
  <si>
    <t>Ruby Chen</t>
  </si>
  <si>
    <t>Communications</t>
  </si>
  <si>
    <t>Jake Berdine</t>
  </si>
  <si>
    <t>Compute cluster scaling for GPT-4, Legal</t>
  </si>
  <si>
    <t>Ashley Pantuliano</t>
  </si>
  <si>
    <t>Morgan Grafstein</t>
  </si>
  <si>
    <t>Sysadmin</t>
  </si>
  <si>
    <t>Francis Real</t>
  </si>
  <si>
    <t>Mario Saltarelli</t>
  </si>
  <si>
    <t>Bob Rotsted</t>
  </si>
  <si>
    <t>Joel Parish</t>
  </si>
  <si>
    <t>Vinnie Monaco</t>
  </si>
  <si>
    <t>Jake McNeil</t>
  </si>
  <si>
    <t>Matt Knight</t>
  </si>
  <si>
    <t>Shino Jomoto</t>
  </si>
  <si>
    <t>Wade Hickey</t>
  </si>
  <si>
    <t>Lauren Workman</t>
  </si>
  <si>
    <t>Brooke Chan</t>
  </si>
  <si>
    <t>Kyla Sheppard</t>
  </si>
  <si>
    <t>Theresa Lopez</t>
  </si>
  <si>
    <t>autoregressive</t>
  </si>
  <si>
    <t>Someone famous?</t>
  </si>
  <si>
    <t>AI Observability</t>
  </si>
  <si>
    <t>Jonathan Ross</t>
  </si>
  <si>
    <t>Esperanto Technologies</t>
  </si>
  <si>
    <t>GroqChip, real-time compute</t>
  </si>
  <si>
    <t>Tiger, D1, XTX Ventures, XN, Tru Arrow, The Spruce House Partnership, TDK Ventures, Junipero Capital, Infinitum Partners, General Global Capital, GCM Grosvenor, Firebolt Ventures, Castor Ventures, Boardman Bay, Alumni Ventures, Addition</t>
  </si>
  <si>
    <t>XTX Ventures</t>
  </si>
  <si>
    <t>Tru Arrow Partners</t>
  </si>
  <si>
    <t>The Spruce House Partnership</t>
  </si>
  <si>
    <t>Junipero</t>
  </si>
  <si>
    <t>Infinitum Partners</t>
  </si>
  <si>
    <t>General Global Capital</t>
  </si>
  <si>
    <t>GCM Grosvenor</t>
  </si>
  <si>
    <t>Castor Ventures</t>
  </si>
  <si>
    <t>Boardman Bay</t>
  </si>
  <si>
    <t>Infinitum, D1, TDK, Maropost, Boardman Bay</t>
  </si>
  <si>
    <t>Social Capital, NJF Capital, Cambium Capital, Acequia</t>
  </si>
  <si>
    <t>Social Capital</t>
  </si>
  <si>
    <t>Cambium Capital</t>
  </si>
  <si>
    <t>hidden layers</t>
  </si>
  <si>
    <t>between input and output layers, introduce nonlinearity</t>
  </si>
  <si>
    <t>pre-activation</t>
  </si>
  <si>
    <t xml:space="preserve">computed prior to </t>
  </si>
  <si>
    <t>activation function</t>
  </si>
  <si>
    <t>sigmoid</t>
  </si>
  <si>
    <t>type of activation function = 1/(1+exp(-a)), transforms input to [0, 1]</t>
  </si>
  <si>
    <t>tanh</t>
  </si>
  <si>
    <t>see hyperbolic tangent</t>
  </si>
  <si>
    <t>hyperbolic tangent</t>
  </si>
  <si>
    <t>relu</t>
  </si>
  <si>
    <t>Rectified Linear Activation Function</t>
  </si>
  <si>
    <t>softmax</t>
  </si>
  <si>
    <t>Conconi Growth Partners</t>
  </si>
  <si>
    <t>Chamath, avoid</t>
  </si>
  <si>
    <t>Peter Ludwig, Qasar Younis</t>
  </si>
  <si>
    <t>Social Capital, Daniel Gross, Conconi</t>
  </si>
  <si>
    <t>Coatue, Addition, Lux, La Famiglia, General Catalyst, a16z, Semil Shah</t>
  </si>
  <si>
    <t>Zeno Ventures</t>
  </si>
  <si>
    <t>General Catalyst, Zeno, Sozo, NJF, Microsoft, Lux, La Famiglia, Kleiner Perkins, Human Capital, Floodgate, a16z, Brad Horowitz</t>
  </si>
  <si>
    <t>Lux, General Catalyst, a16z, Microsoft</t>
  </si>
  <si>
    <t>Floodgate, a16z, Zeno, Tribe, Lux, Haystack, Brad Horowitz</t>
  </si>
  <si>
    <t>Tribe Capital</t>
  </si>
  <si>
    <t>Village Global, SVA</t>
  </si>
  <si>
    <t>AV software</t>
  </si>
  <si>
    <t>Jeff Denworth, Renen Hallak, Shachar Fienblit</t>
  </si>
  <si>
    <t>AltaML</t>
  </si>
  <si>
    <t>Tiger, The Syndicate Group, Nvidia, Norwest, Next47, Mellanox, Greenfield, Goldman Sachs, Dell, Common Fund, 83North</t>
  </si>
  <si>
    <t>VAST Data</t>
  </si>
  <si>
    <t>The Syndicate Group</t>
  </si>
  <si>
    <t>Greenfield Partners</t>
  </si>
  <si>
    <t>Common Fund</t>
  </si>
  <si>
    <t>83North</t>
  </si>
  <si>
    <t>Next47, The Syndicate Group, Norwest, Mellanox, Greenfield, Goldman, Dell, Common Fund, 83North</t>
  </si>
  <si>
    <t>The Syndicate Group, Norwest, Dell, 83North</t>
  </si>
  <si>
    <t>Norwest, Goldman, Dell, 83North</t>
  </si>
  <si>
    <t>Storage</t>
  </si>
  <si>
    <t>old knowledge base AI approach. Used CycL language. Demonstrates flaws of knowledge base approach.</t>
  </si>
  <si>
    <t>Used in transformers to encode the position of specifics words in a sentence</t>
  </si>
  <si>
    <t>Mythological God which created Galatea, a sculpture which came to life</t>
  </si>
  <si>
    <t>perceptron</t>
  </si>
  <si>
    <t>A multilayer perceptron is the quintessential example of a DL model. It maps inputs to outputs by composing simpler functions.</t>
  </si>
  <si>
    <t>visible layer</t>
  </si>
  <si>
    <t>The input or output layers. So called because we can see and understand them.</t>
  </si>
  <si>
    <t>A simple ML algorithm which optimizes a quadratic.</t>
  </si>
  <si>
    <t>ex-Deepmind</t>
  </si>
  <si>
    <t>Chinchilla, Gopher</t>
  </si>
  <si>
    <t>Researcher, Manager of GPT-4 pretraining optimization team</t>
  </si>
  <si>
    <t>mark@openai.com</t>
  </si>
  <si>
    <t>jt@openai.com</t>
  </si>
  <si>
    <t>Vision team co-lead, Codex</t>
  </si>
  <si>
    <t>Dataset sourcing and processing lead for GPT-4; Codex</t>
  </si>
  <si>
    <t>Codex (at least 7/14/21)</t>
  </si>
  <si>
    <t>Henrique Ponde de Oliveira Pinto</t>
  </si>
  <si>
    <t>Jared Kaplan</t>
  </si>
  <si>
    <t>Anthropic AI</t>
  </si>
  <si>
    <t>Left for Anthropic</t>
  </si>
  <si>
    <t>Harri Edwards</t>
  </si>
  <si>
    <t>Yuri Burda</t>
  </si>
  <si>
    <t>Nicholas Joseph</t>
  </si>
  <si>
    <t>Alex Ray</t>
  </si>
  <si>
    <t>Heidy Khlaaf</t>
  </si>
  <si>
    <t>Left for Zipline</t>
  </si>
  <si>
    <t>Girish Sastry</t>
  </si>
  <si>
    <t>Mohammad Bavarian</t>
  </si>
  <si>
    <t>Philippe "Phil" Tillet</t>
  </si>
  <si>
    <t>Juan Petroski Such</t>
  </si>
  <si>
    <t>Sam McCandlish</t>
  </si>
  <si>
    <t>Dario Armodei</t>
  </si>
  <si>
    <t>Vedant Misra</t>
  </si>
  <si>
    <t>Matthias Plappert</t>
  </si>
  <si>
    <t>Dave Cummings</t>
  </si>
  <si>
    <t>Fotios Chantzis</t>
  </si>
  <si>
    <t>Elizabeth Barnes</t>
  </si>
  <si>
    <t>Ariel Herbert-Voss</t>
  </si>
  <si>
    <t>William Hebgen Guss</t>
  </si>
  <si>
    <t>Alex Nichol</t>
  </si>
  <si>
    <t>William Saunders</t>
  </si>
  <si>
    <t>Andrew N. Carr</t>
  </si>
  <si>
    <t>qiming@openai.com</t>
  </si>
  <si>
    <t>hee-woo@openai.com</t>
  </si>
  <si>
    <t>Quantifying Generalization in RL (2019)</t>
  </si>
  <si>
    <t>Oleg Klimov</t>
  </si>
  <si>
    <t>Taehoon Kim</t>
  </si>
  <si>
    <t>karl@openai.com</t>
  </si>
  <si>
    <t>Vicki Pfau</t>
  </si>
  <si>
    <t>Quantifying Generalization in RL (2019), Gotta Learn Fast (4/23/18)</t>
  </si>
  <si>
    <t>joschu@openai.com</t>
  </si>
  <si>
    <t>Tom B. Brown</t>
  </si>
  <si>
    <t>Language Models are Few-Shot Learners (7/22/2020)</t>
  </si>
  <si>
    <t>Benjamin Mann</t>
  </si>
  <si>
    <t>Codex (at least 7/14/21), Language Models are Few-Shot Learners (7/22/2020)</t>
  </si>
  <si>
    <t>Melanie Subbiah</t>
  </si>
  <si>
    <t>Anthropic AI, Language Models are Few-Shot Learners (7/22/2020)</t>
  </si>
  <si>
    <t>Amanda Askell</t>
  </si>
  <si>
    <t>Tom Henighan</t>
  </si>
  <si>
    <t>Rewon Child</t>
  </si>
  <si>
    <t>Daniel M. Ziegler</t>
  </si>
  <si>
    <t>Jeffrey "Jeff" Wu</t>
  </si>
  <si>
    <t>Jack Clark</t>
  </si>
  <si>
    <t>Christopher "Chris" Berner</t>
  </si>
  <si>
    <t>Language Models are Few-Shot Learners (7/22/2020), OpenAI Baselines (5/24/2017)</t>
  </si>
  <si>
    <t>Github</t>
  </si>
  <si>
    <t>OpenAI Baselines (5/24/17)</t>
  </si>
  <si>
    <t>szymon.sidor@gmail.com</t>
  </si>
  <si>
    <t>https://github.com/siemanko</t>
  </si>
  <si>
    <t>Olivier Moindrot</t>
  </si>
  <si>
    <t>https://github.com/omoindrot</t>
  </si>
  <si>
    <t>Fragment</t>
  </si>
  <si>
    <t>OpenAI Baselines (5/24/17), made early commit</t>
  </si>
  <si>
    <t>https://github.com/joschu</t>
  </si>
  <si>
    <t>Codex (at least 7/14/21), Language Models are Few-Shot Learners (7/22/2020), OpenAI Baselines (1/25/18)</t>
  </si>
  <si>
    <t>Yuhuai Wu</t>
  </si>
  <si>
    <t>OpenAI Baselines</t>
  </si>
  <si>
    <t>https://github.com/christopherhesse</t>
  </si>
  <si>
    <t>Aaron van den Oord</t>
  </si>
  <si>
    <t>Koray Kavukcuoglu</t>
  </si>
  <si>
    <t>korayk@google.com</t>
  </si>
  <si>
    <t>vinyals@google.com</t>
  </si>
  <si>
    <t>avdnoord@google.com</t>
  </si>
  <si>
    <t>VAE</t>
  </si>
  <si>
    <t>Variational AutoEncoder</t>
  </si>
  <si>
    <t>Cliff Click, Sri Satish Ambati</t>
  </si>
  <si>
    <t>SparkCognition</t>
  </si>
  <si>
    <t>LLM Studio, Data Studio, App Studio, AutoML/nocode</t>
  </si>
  <si>
    <t>Commonwealth Bank of Australia, Wells Fargo, Pivot Investment Partners, NVIDIA, New York Life Insurance, Goldman Sachs, Crane Venture Partners, Celesta Capital</t>
  </si>
  <si>
    <t>Commonwealth Bank of Australia</t>
  </si>
  <si>
    <t>Pivot Investment Partners</t>
  </si>
  <si>
    <t>New York Life Insurance</t>
  </si>
  <si>
    <t>Ping An Global Voyager, Goldman, Wells Fargo, Nexus Venture Partners</t>
  </si>
  <si>
    <t>Ping An Capital (Global Voyager)</t>
  </si>
  <si>
    <t>Microsoft, M12 (MSFT)</t>
  </si>
  <si>
    <t>Wells Fargo, Transamerica Ventures, Nexus, New York Life, CreditEase Fintech Investment Fund, Crane, Barclays</t>
  </si>
  <si>
    <t>Transamerica Ventures</t>
  </si>
  <si>
    <t>Paxion</t>
  </si>
  <si>
    <t>Paxion, Transamerica, Nexus, Capital One, Celesta</t>
  </si>
  <si>
    <t>Rakesh Mathur, Ash Bhardwaj, Transamerica, SanDisk, Rajesh Ambati, Nexus</t>
  </si>
  <si>
    <t>Sandisk</t>
  </si>
  <si>
    <t>Wells Fargo (WFC)</t>
  </si>
  <si>
    <t>Workday (WDAY)</t>
  </si>
  <si>
    <t>Comcast (CMCSA)</t>
  </si>
  <si>
    <t>Bloomberg Beta (Private)</t>
  </si>
  <si>
    <t>NTT Docomo Ventures (Public)</t>
  </si>
  <si>
    <t>Micron Ventures (MU)</t>
  </si>
  <si>
    <t>Domino Data Lab</t>
  </si>
  <si>
    <t>Chris Yang, Matthew Granade, Nick Elprin</t>
  </si>
  <si>
    <t>Data Science Platform</t>
  </si>
  <si>
    <t>Snowflake, Great Hill Partners, Sequoia, NVIDIA, Highland, Empede, Coatue</t>
  </si>
  <si>
    <t>Great Hill Partners</t>
  </si>
  <si>
    <t>Highland Capital</t>
  </si>
  <si>
    <t>Highland, Sequoia, Dell, Coatue</t>
  </si>
  <si>
    <t>Sequoia, Coatue</t>
  </si>
  <si>
    <t>Coatue, Zetta, Sequoia, Bloomberg</t>
  </si>
  <si>
    <t>In-Q-Tel (Government)</t>
  </si>
  <si>
    <t>8VC (VC)</t>
  </si>
  <si>
    <t>Brian Rieger, Daniel Rasmuson, Manu Sharma</t>
  </si>
  <si>
    <t>Data training/labeling</t>
  </si>
  <si>
    <t>Figure Eight</t>
  </si>
  <si>
    <t>Softbank, Snowpoint, Databricks, B Capital, a16z, Cathy Wood</t>
  </si>
  <si>
    <t>GptGirlfriend</t>
  </si>
  <si>
    <t>SW 7/20/23 L28V</t>
  </si>
  <si>
    <t>SW 7/20/23 L28D</t>
  </si>
  <si>
    <t>Self-funded by Romesh Wadhwani, &gt;220m in revenue allegedly</t>
  </si>
  <si>
    <t>www.character.ai</t>
  </si>
  <si>
    <t>31:33</t>
  </si>
  <si>
    <t>www.drgupta.ai</t>
  </si>
  <si>
    <t>www.myanima.ai</t>
  </si>
  <si>
    <t>www.chatfai.com</t>
  </si>
  <si>
    <t>www.chub.ai</t>
  </si>
  <si>
    <t>www.novelai.net</t>
  </si>
  <si>
    <t>www.spicychat.ai</t>
  </si>
  <si>
    <t>www.crushon.ai</t>
  </si>
  <si>
    <t>www.nastia.ai</t>
  </si>
  <si>
    <t>24:30</t>
  </si>
  <si>
    <t>www.dreamily.ai</t>
  </si>
  <si>
    <t>www.voice.ai</t>
  </si>
  <si>
    <t>B Capital, Tau Ventures, Kleiner Perkins, Gradient Ventures, First Round, a16z, Cathy Wood</t>
  </si>
  <si>
    <t>a16z, Kleiner, Gradient, First Round</t>
  </si>
  <si>
    <t>Gradient, First Round, Kleiner, Sumon Sadhu</t>
  </si>
  <si>
    <t>Kleiner, Gradient, First Round</t>
  </si>
  <si>
    <t>www.jasper.ai</t>
  </si>
  <si>
    <t>www.runwayml.com</t>
  </si>
  <si>
    <t>www.khealth.com</t>
  </si>
  <si>
    <t>www.squirrelai.com</t>
  </si>
  <si>
    <t>www.ada.cx</t>
  </si>
  <si>
    <t>www.wandb.ai</t>
  </si>
  <si>
    <t>www.adept.ai</t>
  </si>
  <si>
    <t>www.midjourney.com</t>
  </si>
  <si>
    <t>www.deeproute.ai</t>
  </si>
  <si>
    <t>Oosto (fka AnyVision)</t>
  </si>
  <si>
    <t>www.oosto.com</t>
  </si>
  <si>
    <t>www.glean.ai</t>
  </si>
  <si>
    <t>www.people.ai</t>
  </si>
  <si>
    <t>www.tecton.ai</t>
  </si>
  <si>
    <t>www.anyscale.com</t>
  </si>
  <si>
    <t>www.hourone.ai</t>
  </si>
  <si>
    <t>www.synthesia.io</t>
  </si>
  <si>
    <t>www.snorkel.ai</t>
  </si>
  <si>
    <t>www.typeface.ai</t>
  </si>
  <si>
    <t>www.observe.ai</t>
  </si>
  <si>
    <t>www.v7labs.com</t>
  </si>
  <si>
    <t>www.ambirobotics.com</t>
  </si>
  <si>
    <t>www.pinecone.io</t>
  </si>
  <si>
    <t>www.octoml.ai</t>
  </si>
  <si>
    <t>ex-Google. Very weak user base</t>
  </si>
  <si>
    <t>www.ai21.com</t>
  </si>
  <si>
    <t>www.descript.com</t>
  </si>
  <si>
    <t>www.vian.ai</t>
  </si>
  <si>
    <t>Seems like a zero, ngmi</t>
  </si>
  <si>
    <t>www.petuum.com</t>
  </si>
  <si>
    <t>www.amprobotics.com</t>
  </si>
  <si>
    <t>www.aisera.com</t>
  </si>
  <si>
    <t>Botcore.ai</t>
  </si>
  <si>
    <t>getleon.ai</t>
  </si>
  <si>
    <t>www.supremind.com</t>
  </si>
  <si>
    <t>www.zhipu.ai</t>
  </si>
  <si>
    <t>www.covariant.ai</t>
  </si>
  <si>
    <t>www.primer.ai</t>
  </si>
  <si>
    <t>www.cloudfactory.com</t>
  </si>
  <si>
    <t>ArteraAI (artera.ai)</t>
  </si>
  <si>
    <t>www.artera.ai</t>
  </si>
  <si>
    <t>www.ada.com</t>
  </si>
  <si>
    <t>www.climavision.com</t>
  </si>
  <si>
    <t>www.rossum.ai</t>
  </si>
  <si>
    <t>www.poly.ai</t>
  </si>
  <si>
    <t>Revoicer</t>
  </si>
  <si>
    <t>NGMI</t>
  </si>
  <si>
    <t>www.vedrai.com</t>
  </si>
  <si>
    <t>www.abacus.ai</t>
  </si>
  <si>
    <t>www.fetch.ai</t>
  </si>
  <si>
    <t>www.infinitus.ai</t>
  </si>
  <si>
    <t>www.mistral.ai</t>
  </si>
  <si>
    <t>www.woebothealth.com</t>
  </si>
  <si>
    <t>www.ascertain.com</t>
  </si>
  <si>
    <t>www.reka.ai</t>
  </si>
  <si>
    <t>www.artera.io</t>
  </si>
  <si>
    <t>www.playgroundai.com</t>
  </si>
  <si>
    <t>Morphcast</t>
  </si>
  <si>
    <t>www.johnsnowlabs.com</t>
  </si>
  <si>
    <t>AutoNLP</t>
  </si>
  <si>
    <t>MetaText</t>
  </si>
  <si>
    <t>www.langchain.com</t>
  </si>
  <si>
    <t>www.perplexity.ai</t>
  </si>
  <si>
    <t>www.weaviate.io</t>
  </si>
  <si>
    <t>www.airudder.com</t>
  </si>
  <si>
    <t>www.harvey.ai</t>
  </si>
  <si>
    <t>www.kumo.ai</t>
  </si>
  <si>
    <t>www.assemblyai.com</t>
  </si>
  <si>
    <t>www.lightning.ai</t>
  </si>
  <si>
    <t>www.skan.ai</t>
  </si>
  <si>
    <t>www.sima.ai</t>
  </si>
  <si>
    <t>www.seekr.com</t>
  </si>
  <si>
    <t>www.landing.ai</t>
  </si>
  <si>
    <t>www.d-matrix.ai</t>
  </si>
  <si>
    <t>www.fiddler.ai</t>
  </si>
  <si>
    <t>www.generallyintelligent.com</t>
  </si>
  <si>
    <t>www.arize.com</t>
  </si>
  <si>
    <t>www.hippocraticai.com</t>
  </si>
  <si>
    <t>www.datagen.tech</t>
  </si>
  <si>
    <t>www.inworld.ai</t>
  </si>
  <si>
    <t>iMerit</t>
  </si>
  <si>
    <t>TheWizard.ai</t>
  </si>
  <si>
    <t>www.wizard.com</t>
  </si>
  <si>
    <t>mycharacter.ai</t>
  </si>
  <si>
    <t>dead company</t>
  </si>
  <si>
    <t>www.unsupervised.com</t>
  </si>
  <si>
    <t>www.aaico.com</t>
  </si>
  <si>
    <t>www.irreverentlabs.com</t>
  </si>
  <si>
    <t>www.capacity.com</t>
  </si>
  <si>
    <t>Commbox</t>
  </si>
  <si>
    <t>Floatbot.ai</t>
  </si>
  <si>
    <t>www.magic.dev</t>
  </si>
  <si>
    <t>www.modular.com</t>
  </si>
  <si>
    <t>www.robustintelligence.com</t>
  </si>
  <si>
    <t>www.imagen-ai.com</t>
  </si>
  <si>
    <t>Robust AI</t>
  </si>
  <si>
    <t>Unite.AI</t>
  </si>
  <si>
    <t>Batch.ai</t>
  </si>
  <si>
    <t>Remini.ai</t>
  </si>
  <si>
    <t>www.jina.ai</t>
  </si>
  <si>
    <t>decent traffic</t>
  </si>
  <si>
    <t>Auto-GPT.ai</t>
  </si>
  <si>
    <t>www.elevenlabs.io</t>
  </si>
  <si>
    <t>www.mem.ai</t>
  </si>
  <si>
    <t>www.neocybernetica.com</t>
  </si>
  <si>
    <t>www.merlyn.org</t>
  </si>
  <si>
    <t>www.upstage.ai</t>
  </si>
  <si>
    <t>www.expresssteuer.de</t>
  </si>
  <si>
    <t>www.keenagi.com</t>
  </si>
  <si>
    <t>www.aleph-alpha.com</t>
  </si>
  <si>
    <t>www.play.ht</t>
  </si>
  <si>
    <t>www.murf.ai</t>
  </si>
  <si>
    <t>www.resemble.ai</t>
  </si>
  <si>
    <t>TTSMP3.com</t>
  </si>
  <si>
    <t>www.aible.com</t>
  </si>
  <si>
    <t>www.surgehq.ai</t>
  </si>
  <si>
    <t>www.predibase.com</t>
  </si>
  <si>
    <t>www.speak.com</t>
  </si>
  <si>
    <t>www.curaihealth.com</t>
  </si>
  <si>
    <t>Pre-LLM chatbot? Running out of $? Low traffic</t>
  </si>
  <si>
    <t>www.axon-networks.com</t>
  </si>
  <si>
    <t>HumanSignal (fka Heartex)</t>
  </si>
  <si>
    <t>www.humansignal.com</t>
  </si>
  <si>
    <t>www.exafunction.com</t>
  </si>
  <si>
    <t>www.kili-technology.com</t>
  </si>
  <si>
    <t>www.aiola.com</t>
  </si>
  <si>
    <t>www.truera.com</t>
  </si>
  <si>
    <t>www.aporia.com</t>
  </si>
  <si>
    <t>EssayGenius.ai</t>
  </si>
  <si>
    <t>HyperWriteAI.com</t>
  </si>
  <si>
    <t>www.hyperwriteai.com</t>
  </si>
  <si>
    <t>Music</t>
  </si>
  <si>
    <t>Sonix.ai</t>
  </si>
  <si>
    <t>Chirper</t>
  </si>
  <si>
    <t>Well Said Labs</t>
  </si>
  <si>
    <t>HotPot.ai</t>
  </si>
  <si>
    <t>Vanceai.com</t>
  </si>
  <si>
    <t>TypeCast</t>
  </si>
  <si>
    <t>SpeechElo</t>
  </si>
  <si>
    <t>Natural Readers</t>
  </si>
  <si>
    <t>www.claraanalytics.com</t>
  </si>
  <si>
    <t>www.deci.ai</t>
  </si>
  <si>
    <t>Unrealspeech</t>
  </si>
  <si>
    <t>www.conjecture.dev</t>
  </si>
  <si>
    <t>www.phaidra.ai</t>
  </si>
  <si>
    <t>www.nr2.io</t>
  </si>
  <si>
    <t>www.nabla.com</t>
  </si>
  <si>
    <t>www.quantiphi.com</t>
  </si>
  <si>
    <t>www.protex.ai</t>
  </si>
  <si>
    <t>singing voice conversion</t>
  </si>
  <si>
    <t>Converts source voice to target voice</t>
  </si>
  <si>
    <t>InterSpeech</t>
  </si>
  <si>
    <t>Speech conference</t>
  </si>
  <si>
    <t>vllm</t>
  </si>
  <si>
    <t>Competitor to Huggingface Transformers for inference</t>
  </si>
  <si>
    <t>WORLD</t>
  </si>
  <si>
    <t>Vocoder</t>
  </si>
  <si>
    <t>F0</t>
  </si>
  <si>
    <t>Fundamental frequency variable used in speech synthesis</t>
  </si>
  <si>
    <t>SP</t>
  </si>
  <si>
    <t>Spectral envelope variable used in speech synthesis</t>
  </si>
  <si>
    <t>AP</t>
  </si>
  <si>
    <t>aperiodic parameter used in speech synthesis</t>
  </si>
  <si>
    <t>WaveNet</t>
  </si>
  <si>
    <t>Neural-based vocoder</t>
  </si>
  <si>
    <t>WaveRNN</t>
  </si>
  <si>
    <t>Hifi-GAN</t>
  </si>
  <si>
    <t>Diffwave</t>
  </si>
  <si>
    <t>wav2vec</t>
  </si>
  <si>
    <t>LibriTTS</t>
  </si>
  <si>
    <t>LJSpeech</t>
  </si>
  <si>
    <t>M-AILABS</t>
  </si>
  <si>
    <t>Tacotron2</t>
  </si>
  <si>
    <t>Transformer-TTS</t>
  </si>
  <si>
    <t>FastSpeech</t>
  </si>
  <si>
    <t>FastSpeech2</t>
  </si>
  <si>
    <t>MelGAN</t>
  </si>
  <si>
    <t>pseudolabeling</t>
  </si>
  <si>
    <t>self-training, a semi-supervised learning technique</t>
  </si>
  <si>
    <t>HuBERT</t>
  </si>
  <si>
    <t>hidden-unit BERT</t>
  </si>
  <si>
    <t>Text-to-speech</t>
  </si>
  <si>
    <t>Erik Dunteman, Kyle Morris</t>
  </si>
  <si>
    <t>Zetane Systems</t>
  </si>
  <si>
    <t>Serverless GPU</t>
  </si>
  <si>
    <t>VoxCeleb</t>
  </si>
  <si>
    <t>With VoxCeleb2, celebrity voice/video training set. https://www.robots.ox.ac.uk/~vgg/data/voxceleb/vox2.html</t>
  </si>
  <si>
    <t>Alex Lonsberry, Andrew Lonsberry, Ken Lonsberry, Matthew Klein</t>
  </si>
  <si>
    <t>Robot welders</t>
  </si>
  <si>
    <t>Tiger, Addition, Silicon Valley Bank</t>
  </si>
  <si>
    <t>Addition, Lemnos, Drive, Basis Set</t>
  </si>
  <si>
    <t>Tiger Cub</t>
  </si>
  <si>
    <t>Lemnos VC</t>
  </si>
  <si>
    <t>Drive, Basis Set</t>
  </si>
  <si>
    <t>Eudaimonia Capital</t>
  </si>
  <si>
    <t>Lemnos, Xplorer, Eudaimonia, Basis Set</t>
  </si>
  <si>
    <t>Robert Glennie, Sarvarth Misra, Viraj Chaudhary</t>
  </si>
  <si>
    <t>LM Studio</t>
  </si>
  <si>
    <t>SoftBank, Eagle Proprietary Investments</t>
  </si>
  <si>
    <t>ContractPodAi</t>
  </si>
  <si>
    <t>Eagle Proprietary Investments</t>
  </si>
  <si>
    <t>ContractPodAI</t>
  </si>
  <si>
    <t>Legal contracts AI, contract management</t>
  </si>
  <si>
    <t>vocoder</t>
  </si>
  <si>
    <t>mel-spectrogram</t>
  </si>
  <si>
    <t>text-to-speech. Current models include neural (wavenet, tacotron) and statistical parametric speech synthesis (spss).</t>
  </si>
  <si>
    <t>acoustic model</t>
  </si>
  <si>
    <t>An encoder-attention-decoder acoustic model</t>
  </si>
  <si>
    <t>A transformer block acoustic model</t>
  </si>
  <si>
    <t>GAN-based vocoder, multi-band.</t>
  </si>
  <si>
    <t>Neural, GAN-based vocoder</t>
  </si>
  <si>
    <t>The main acoustic feature for acoustic models.</t>
  </si>
  <si>
    <t>Used in TTS, predicts acoustic features. Tacotron 2 and FastSpeech 2 are examples. Input transcript is one feature, but prosody and linguistic feature can be another. Phoneme-level prosodies, word-level prosodies and hierarchical prosodies. Syntactic graph, word embeddings. L1, L2 loss assumes distribution of the acoustic feature is unimodal, but the real distribution is much more complex. Normalizing flow is an approach (FlowTTS, GlowTTS). Txt2vec (self-supervised VQ acoustic feature vs. mel spectrogram).</t>
  </si>
  <si>
    <t>vec2wav</t>
  </si>
  <si>
    <t>VQTTS</t>
  </si>
  <si>
    <t>Vocoder used in VQTTS, uses an additional feature encoder before HifiGAN generation to smooth discontinuous quantized feature.</t>
  </si>
  <si>
    <t>txt2vec</t>
  </si>
  <si>
    <t>Multi-layer convolutional network optimized via contrastive loss. Extracts features to predict successive frames.</t>
  </si>
  <si>
    <t>gumbel softmax</t>
  </si>
  <si>
    <t>vector quantization</t>
  </si>
  <si>
    <t>can be applied to self-supervised feature extraction</t>
  </si>
  <si>
    <t>contrastive loss</t>
  </si>
  <si>
    <t>diversity loss</t>
  </si>
  <si>
    <t>TTS approach consisting of acoustic model txt2vec and vocoder vec2wav. Adds log pitch, energy and probability of voice features for prosody.</t>
  </si>
  <si>
    <t xml:space="preserve">Acoustic model using vector-quantized acoustic feature instead of mel-spectrogram. A classification model rather than a traditional regression model. Uses labeled phoneme-level prosodies for all phonemes in advance. The text encoder consists of 6 Conformer blocks, which encode the input phonemes into hidden states h. </t>
  </si>
  <si>
    <t>beam search decoding</t>
  </si>
  <si>
    <t>greedy search decoding</t>
  </si>
  <si>
    <t>VITS</t>
  </si>
  <si>
    <t>GlowTTS</t>
  </si>
  <si>
    <t>Fairseq</t>
  </si>
  <si>
    <t>Facebook AI research sequence-to-sequence toolkit written in Python</t>
  </si>
  <si>
    <t>Rhasspy</t>
  </si>
  <si>
    <t>github.com/rhasspy</t>
  </si>
  <si>
    <t>espeak</t>
  </si>
  <si>
    <t>robotic TTS</t>
  </si>
  <si>
    <t>Larynx</t>
  </si>
  <si>
    <t>TTS system</t>
  </si>
  <si>
    <t>SVCC</t>
  </si>
  <si>
    <t>Singing Voice Conversion challenge</t>
  </si>
  <si>
    <t>DiffSVC</t>
  </si>
  <si>
    <t>Diffusion probabilistic model for SVC</t>
  </si>
  <si>
    <t>FastSVC</t>
  </si>
  <si>
    <t>Fast cross-domain SVC</t>
  </si>
  <si>
    <t>RVC</t>
  </si>
  <si>
    <r>
      <t xml:space="preserve">Retrieval-based voice conversion. Example: </t>
    </r>
    <r>
      <rPr>
        <b/>
        <sz val="10"/>
        <color theme="1"/>
        <rFont val="Arial"/>
        <family val="2"/>
      </rPr>
      <t>https://github.com/w-okada/voice-changer</t>
    </r>
  </si>
  <si>
    <t>Conditional variational autoencoder with adversarial learning. TTS Model. https://github.com/jaywalnut310/vits</t>
  </si>
  <si>
    <t>MOS</t>
  </si>
  <si>
    <t>Mean Opinion Score, used to rate TTS</t>
  </si>
  <si>
    <t>https://github.com/unixpickle</t>
  </si>
  <si>
    <t>alex@openai.com ; unixpickle@gmail.com</t>
  </si>
  <si>
    <t>Co-creator of DALLE-2. Codex, Shap-E</t>
  </si>
  <si>
    <t>Codex, Shape-E</t>
  </si>
  <si>
    <t>At least 5/3/23</t>
  </si>
  <si>
    <t>First job at OpenAI. College dropout. 3/24/19 said he was not currently affiliated with OpenAI. 8/6/21 says he is.</t>
  </si>
  <si>
    <t>https://github.com/endrift</t>
  </si>
  <si>
    <t>vi@endrift.com</t>
  </si>
  <si>
    <t>Gym Retro</t>
  </si>
  <si>
    <t>Now at Valve?</t>
  </si>
  <si>
    <t>DSSL, ISS, now at Small Megallanic Cloud AI (refact.ai)</t>
  </si>
  <si>
    <t>refact.ai</t>
  </si>
  <si>
    <t>omgtech@gmail.com</t>
  </si>
  <si>
    <t>https://github.com/olegklimov</t>
  </si>
  <si>
    <t>Code</t>
  </si>
  <si>
    <t>Bo Li</t>
  </si>
  <si>
    <t>boboli@google.com</t>
  </si>
  <si>
    <t>shuoyiin@google.com</t>
  </si>
  <si>
    <t>tsainath@google.com</t>
  </si>
  <si>
    <t>Tara Sainath</t>
  </si>
  <si>
    <t>Shuo-yiin Chang</t>
  </si>
  <si>
    <t>Deep Learning for Audio Signal Processing 2019</t>
  </si>
  <si>
    <t>Frank Rosenblatt</t>
  </si>
  <si>
    <t>Published Perceptron idea in 1958.</t>
  </si>
  <si>
    <t>Father of DL. Published backpropagation in Nature 1986.</t>
  </si>
  <si>
    <t>David Rumelhart</t>
  </si>
  <si>
    <t>Co-published backpropagation with Hinton in Nature 1986.</t>
  </si>
  <si>
    <t>Ronald Williams</t>
  </si>
  <si>
    <t>Principles of Neurodynamics 1961.</t>
  </si>
  <si>
    <t>Perceptrons: an introduction to computational geometry. 1969.</t>
  </si>
  <si>
    <t>Marvin Minsky, Seymour Papert.</t>
  </si>
  <si>
    <t>Seymour Papert</t>
  </si>
  <si>
    <t>Co-authored book on Perceptrons with Minsky in 1969.</t>
  </si>
  <si>
    <t>Meta head of AI, was Hinton student. Invented CNNs. Published in 1985.</t>
  </si>
  <si>
    <t>Parallel Distributed Processing: Explorations in the Microstructure of Cognition. Volume 1: Foundations. 1986.</t>
  </si>
  <si>
    <t>David E. Rumelhart, Geoffrey E. Hinton, Ronald J. Williams.</t>
  </si>
  <si>
    <t>CLVP</t>
  </si>
  <si>
    <t>Contrastive Language-Voice Pretraining. Compares autoregressive samples vs CLVP to find the best candidates.</t>
  </si>
  <si>
    <t>ex-Quora</t>
  </si>
  <si>
    <t>Code capability, open-endedness</t>
  </si>
  <si>
    <t>ex-Microsoft, Uber</t>
  </si>
  <si>
    <t>MIT (MS, Meng)</t>
  </si>
  <si>
    <t>Bogo Giertler</t>
  </si>
  <si>
    <t>Reddit, Elis, Dropbox, Spotify</t>
  </si>
  <si>
    <t>Columbia, Colby</t>
  </si>
  <si>
    <t>UC Berkeley (Math PhD), Rice</t>
  </si>
  <si>
    <t>ex-AWS</t>
  </si>
  <si>
    <t>ex-Quant, Decura, JPMorgan</t>
  </si>
  <si>
    <t>U Warsaw (BSc, MS)</t>
  </si>
  <si>
    <t>GIT (MS), Alabama (BS)</t>
  </si>
  <si>
    <t>ex-OnScale, now Co-Founder xAI</t>
  </si>
  <si>
    <t>Architecture &amp; data vice lead for GPT-4. Was on Robotics team.</t>
  </si>
  <si>
    <t>ex-Sift</t>
  </si>
  <si>
    <t>U Missouri (BS)</t>
  </si>
  <si>
    <t>Rubik's Cube (10/16/2019)</t>
  </si>
  <si>
    <t>Marcin Andrychowicz</t>
  </si>
  <si>
    <t>Maciek Chociej</t>
  </si>
  <si>
    <t>Language Models are Few-Shot Learners (7/22/2020), Rubik's Cube (10/16/2019)</t>
  </si>
  <si>
    <t>Codex (at least 7/14/21), Rubik's Cube (10/16/19)</t>
  </si>
  <si>
    <t>Athrur Petron</t>
  </si>
  <si>
    <t>Rubik's Cube (10/16/19)</t>
  </si>
  <si>
    <t>Codex (at least 7/14/21), Baselines (7/27/17 commit), Rubik's Cube (10/16/19)</t>
  </si>
  <si>
    <t>Glenn Powell</t>
  </si>
  <si>
    <t>Raphael Ribas</t>
  </si>
  <si>
    <t>Jonas Schneider</t>
  </si>
  <si>
    <t>Lei Zhang</t>
  </si>
  <si>
    <t>ex-PSPDFKit, left to go to Github, and now with Factorial Funds</t>
  </si>
  <si>
    <t>Karlsruhe Institute of Technology (B, M)</t>
  </si>
  <si>
    <t>https://github.com/Newmu</t>
  </si>
  <si>
    <t>Very little GH activity</t>
  </si>
  <si>
    <t>ex-Indico (with Radford)</t>
  </si>
  <si>
    <t>ex-Indico (1/7/16 paper), used gmail for 6/10/16 openai paper</t>
  </si>
  <si>
    <t>woj@openai.com</t>
  </si>
  <si>
    <t>Tim Salimans</t>
  </si>
  <si>
    <t>tim@openai.com</t>
  </si>
  <si>
    <t>Improved Techniques for Training GANs (6/10/16)</t>
  </si>
  <si>
    <t>Xi Chen</t>
  </si>
  <si>
    <t>peter@openai.com</t>
  </si>
  <si>
    <t>God</t>
  </si>
  <si>
    <t>ex-Google, back to Google again, then Apple, back to DeepMind</t>
  </si>
  <si>
    <t>briefly left for OpenAI and Apple</t>
  </si>
  <si>
    <t>Was at OpenAI for 2 years</t>
  </si>
  <si>
    <t>Team Lead</t>
  </si>
  <si>
    <t>Rotterdam (PhD Econometrics)</t>
  </si>
  <si>
    <t>ex-Algoritmica, Aidence; went to Google.</t>
  </si>
  <si>
    <t>Vicki Cheung</t>
  </si>
  <si>
    <t>alec@openai.com ; alec.radford@gmail.com</t>
  </si>
  <si>
    <t>Jacob Devlin</t>
  </si>
  <si>
    <t>Ming-Wei Chang</t>
  </si>
  <si>
    <t>Kenton Lee</t>
  </si>
  <si>
    <t>Kristina Toutanova</t>
  </si>
  <si>
    <t>kristout@google.com</t>
  </si>
  <si>
    <t>kentonl@google.com</t>
  </si>
  <si>
    <t>mingweichang@google.com</t>
  </si>
  <si>
    <t>jacobdevlin@google.com</t>
  </si>
  <si>
    <t>BERT (2019)</t>
  </si>
  <si>
    <t>Bidirectional (encoder representations from) transformer powers Google Search, succeeded Transformers. Base tool had 110m parameters, 12 attention heads, 768 hidden nodes, 12 layers. BERT-large had 24 layers, 1024 hidden nodes, 16 attention heads and 340m parameters.</t>
  </si>
  <si>
    <t>General Language Understanding Evaluation test. BERT set records at 80.5% when it came out 5/24/19.</t>
  </si>
  <si>
    <t>MultiNLI</t>
  </si>
  <si>
    <t>BERT set standard with 86.7%</t>
  </si>
  <si>
    <t>Stanford Question Answering Dataset. Reading comprehension. V1.1, V2.0. BERT set standard with 93.2 on v1.1 (F1) and 83.1 on v2.0 (F1)</t>
  </si>
  <si>
    <t>ELMo</t>
  </si>
  <si>
    <t>Computational Linguistics</t>
  </si>
  <si>
    <t>Quora question pairs. Chen et al. 2018. (now deleted, https://www.quora.com/profile/Ricky-Riche-2/First-Quora-Dataset-Release-Question-Pairs)</t>
  </si>
  <si>
    <t>Adv Neur Infor Proc Sys</t>
  </si>
  <si>
    <t>Dissecting contextual word embeddings: Architecture and representation. Peters, Neumann, Zettlemoyer, Yih. EMNLP 2018.</t>
  </si>
  <si>
    <t>Squad: 100,000+ questions for machine comprehension of text. Rajpurkar, Zhang, Lopyrev, Liang. EMNLP 2016.</t>
  </si>
  <si>
    <t>Bidirectional attention flow for machine comprehension. Seo, Kembhavi, Farhadi, Hajishirzi. ICLR 2017.</t>
  </si>
  <si>
    <t>Recursive deep models for semantic compositionality over a sentiment tree-bank. Socher, Perelygin, Wu, Chuang, Manning, Ng, Potts. EMNLP 2013.</t>
  </si>
  <si>
    <t>Machine reading comprehension and unanswerable questions. Sun, Li, Qiu, Liu. arXiv 2018.</t>
  </si>
  <si>
    <t>Cloze procedure: A new tool for measuring readability. Wilson Taylor. Journalism Bulletin 1953.</t>
  </si>
  <si>
    <t>Introduction to the conll-2003 shared task: Language-independent named entity recognition. Sang, Meulder. CoNLL 2003.</t>
  </si>
  <si>
    <t>Word representations: A simple and general method for semi-supervised learning. Turian, Ratinov, Bengio. ACL 2010.</t>
  </si>
  <si>
    <t>Extracting and composing robust features with denoising autoencoders. Vincent, Larochelle, Bengio, Manzagol. ICML 2008.</t>
  </si>
  <si>
    <t>Glue: A multi-task benchmark and analysis platform for natural language understanding. Wang, Singh, Michael, Hill, Levy, Bowman. EMNLP 2018.</t>
  </si>
  <si>
    <t>Multi-granularity hierarchical attention fusion networks for reading comprehension and question answering. Wang, Yan, Wu. ACL 2018.</t>
  </si>
  <si>
    <t>Neural network acceptability judgments. Warstadt, Singh, Bowman. arXiv 2018.</t>
  </si>
  <si>
    <t>A broad-coverage challenge corpus for sentence understanding through inference. Williams, Nangia, Bowman. NAACL 2018.</t>
  </si>
  <si>
    <t>Google’s neural machine translation system: Bridging the gap between human and machine translation. Wu, Schuster, Chen, Quoc Le, Norouzi, Macherey, Krikun, Cao, Gao, Macherey. arXiv 2016.</t>
  </si>
  <si>
    <t>How transferable are features in deep neural networks? Yosinski, Clune, Bengio, Lipson. Adv NIPS 2014.</t>
  </si>
  <si>
    <t>QANet: Combining local convolution with global self-attention for reading comprehension. Yu, Dohan, Luong, Zhao, Chen, Norouzi, Quoc Le. ICLR 2018.</t>
  </si>
  <si>
    <t>Swag: A large-scale adversarial dataset for grounded commonsense inference. Zellers, Bisk, Schwartz, Choi. EMNLP 2018.</t>
  </si>
  <si>
    <t>Aligning books and movies: Towards story-like visual explanations by watching movies and reading books. Zhu, Kiros, Zemel, Salakhutdinov, Urtasun, Torralba, Fidler. Proc IEEE ICCV 2015.</t>
  </si>
  <si>
    <t>Superhuman AI for heads-up no-limit poker: Libratus beats top professionals. Noam Brown and Tuomas Sandholm. Science, pp. eaao1733, 2017.</t>
  </si>
  <si>
    <t>X.AI</t>
  </si>
  <si>
    <t>Dmitriy Karpman, Kevin Guo</t>
  </si>
  <si>
    <t>Algolux</t>
  </si>
  <si>
    <t>Glynn, Tomales Bay, Jericho, General Catalyst, Bain</t>
  </si>
  <si>
    <t>Content Moderation</t>
  </si>
  <si>
    <t>Hive</t>
  </si>
  <si>
    <t>Tomales Bay Capital</t>
  </si>
  <si>
    <t>Jericho Capital</t>
  </si>
  <si>
    <t>Tomales Bay, Visa, Jericho, General Catalyst, Bain</t>
  </si>
  <si>
    <t>Visa Ventures</t>
  </si>
  <si>
    <t>Bracket Capital</t>
  </si>
  <si>
    <t>Alex Kolicich</t>
  </si>
  <si>
    <t>8VC, Rocketship.vc, General Catalyst, Founders Fund, Eniac Ventures, Dan Rumennik</t>
  </si>
  <si>
    <t>Tomales Bay, General Catalyst, Bracket, 8VC</t>
  </si>
  <si>
    <t>SNOW</t>
  </si>
  <si>
    <t>CRM content</t>
  </si>
  <si>
    <t>S. Zayd Enam, Sebastian Thrun, Tim Shi</t>
  </si>
  <si>
    <t>Tiger, Zoom, Sequoia, Roosh, Porsche, JPMorgan, Greylock, Genesys, Five9, CarMax, a16z</t>
  </si>
  <si>
    <t>Roosh Ventures</t>
  </si>
  <si>
    <t>Porsche</t>
  </si>
  <si>
    <t>JPMorgan Chase</t>
  </si>
  <si>
    <t>Genesys</t>
  </si>
  <si>
    <t>Five9</t>
  </si>
  <si>
    <t>CarMax</t>
  </si>
  <si>
    <t>Sequoia, Porsche, Greylock, a16z, Allen</t>
  </si>
  <si>
    <t>Allen &amp; Company</t>
  </si>
  <si>
    <t>Tech Square Ventures</t>
  </si>
  <si>
    <t>Greylock, a16z, Tech Square Ventures, Vivi Nevo, Mark Leslie, Andy Bechtolsheim</t>
  </si>
  <si>
    <t>a16z, Nat Friedman, Daniel Gross, TheSoul Publishing, SVA, Storytel, Embark Studios, Credo Ventures, Concept Ventures, Siqi Chen, Mustafa Suleyman, Mike Krieger, Guillermo Rauch, Dima Shvets, Brendan Iribe, Aravind Srinivas, Anjney Midha, Ali Albazaz</t>
  </si>
  <si>
    <t>TheSoul Publishing</t>
  </si>
  <si>
    <t>Storytel</t>
  </si>
  <si>
    <t>Embark Studios</t>
  </si>
  <si>
    <t>Credo Ventures</t>
  </si>
  <si>
    <t>Creator Ventures</t>
  </si>
  <si>
    <t>Concept Ventures</t>
  </si>
  <si>
    <t>Molham Aref</t>
  </si>
  <si>
    <t>Knowledge graph for data clouds</t>
  </si>
  <si>
    <t>Tiger, Menlo, Madrona, Addition</t>
  </si>
  <si>
    <t>RelationalAI</t>
  </si>
  <si>
    <t>8Flow</t>
  </si>
  <si>
    <t>8flow.ai</t>
  </si>
  <si>
    <t>Boaz Hecht, Josh Russ, Yev Goldin</t>
  </si>
  <si>
    <t>Distyl AI</t>
  </si>
  <si>
    <t>distyl.ai</t>
  </si>
  <si>
    <t>Capsule</t>
  </si>
  <si>
    <t>Champ Bennett, Joseph Jorgensen</t>
  </si>
  <si>
    <t>capsule.video</t>
  </si>
  <si>
    <t>atomic.ai</t>
  </si>
  <si>
    <t>Thu Nguyen-Phuoc</t>
  </si>
  <si>
    <t>Stephen Lombardi</t>
  </si>
  <si>
    <t>Gabriel Schwartz</t>
  </si>
  <si>
    <t>Yuting Ye</t>
  </si>
  <si>
    <t>Lei Xiao</t>
  </si>
  <si>
    <t>Christopher Berner, Greg Brockman, Brooke Chan, Vicki Cheung, Przemysław Debiak, Christy Dennison, David Farhi, Quirin Fischer, Shariq Hashme, Chris Hesse, Rafal Jozefowicz, Scott Gray, Catherine Olsson, Jakub Pachocki, Michael Petrov, Henrique Ponde de Oliveira Pinto, Jonathan Raiman, Tim Salimans, Jeremy Schlatter, Jonas Schneider, Szymon Sidor, Ilya Sutskever, Jie Tang, Filip Wolski, Susan Zhang (OpenAI)</t>
  </si>
  <si>
    <t>Mnih V, Kavukcuoglu K, Silver D, Graves A, Antonoglou I, Wierstra D, Riedmiller, M.</t>
  </si>
  <si>
    <t>Mastering the game of Go with deep neural networks and tree search. 2016.</t>
  </si>
  <si>
    <t>Silver, D., Huang, A., Maddison, CJ, Guez, A, Sifre, L, Van Den Driessche, G, Schrittwieser, J, Antonoglou I, Panneershelvam V, Lanctot M. Nature 529, 484.</t>
  </si>
  <si>
    <t>David Silver, Thomas Hubert, Julian Schrittwieser, Ioannis Antonoglou, Matthew Lai, Arthur Guez, Marc Lanctot, Laurent Sifre, Dharshan Kumaran, Thore Graepel, et al. Science, 362(6419):1140–1144, 2018.</t>
  </si>
  <si>
    <t>Playing atari with deep reinforcement learning. Mnih, Kavukcuoglu, Silver, Graves, Antonoglou, Wierstra, Riedmiller. arXiv 2013.</t>
  </si>
  <si>
    <t>Mastering the game of Go with deep neural networks and tree search. Silver, D., Huang, A., Maddison, CJ, Guez, A, Sifre, L, Van Den Driessche, G, Schrittwieser, J, Antonoglou I, Panneershelvam V, Lanctot M. Nature 529, 484.</t>
  </si>
  <si>
    <t>Grandmaster level in starcraft ii using multi-agent reinforcement learning. Oriol Vinyals, Igor Babuschkin, Wojciech M Czarnecki, Michael Mathieu, Andrew Dudzik, Juny-oung Chung, David H Choi, Richard Powell, Timo Ewalds, Petko Georgiev, et al. Nature, 575(7782):350–354, 2019.</t>
  </si>
  <si>
    <t>A general reinforcement learning algorithm that masters chess, shogi, and go through self-play. David Silver, Thomas Hubert, Julian Schrittwieser, Ioannis Antonoglou, Matthew Lai, Arthur Guez, Marc Lanctot, Laurent Sifre, Dharshan Kumaran, Thore Graepel, et al. Science, 362(6419):1140–1144, 2018.</t>
  </si>
  <si>
    <t>James Martens.</t>
  </si>
  <si>
    <t>Deep learning via Hessian-free optimization. 2010</t>
  </si>
  <si>
    <t>LeCun, Bengio, Hinton. Nature.</t>
  </si>
  <si>
    <t>Conferences</t>
  </si>
  <si>
    <t>Nature</t>
  </si>
  <si>
    <t>Goodfellow, Bengio, Courville.</t>
  </si>
  <si>
    <t>M Mohri, A Rostamizadeh, A Talwalkar.</t>
  </si>
  <si>
    <t>Foundations of machine learning. 2018</t>
  </si>
  <si>
    <t>Principles of Artificial Intelligence. 1982.</t>
  </si>
  <si>
    <t>Nils Nilsson (Stanford)</t>
  </si>
  <si>
    <t>A proposal for the Dartmouth Summer Resarch Project on Artificial Intelligence. 1955.</t>
  </si>
  <si>
    <t>John McCarthy, Marvin Minsky, Nathaniel Rochester, Claude Shannon.</t>
  </si>
  <si>
    <t>Intriguing properties of neural networks. 2013.</t>
  </si>
  <si>
    <t>Christian Szegedy, Wojciech Zaremba, Ilya Sutskever, Joan Bruna, Dumitru Erhan, Ian Goodfellow, Rob Fergus</t>
  </si>
  <si>
    <t>Christian Szegedy</t>
  </si>
  <si>
    <t>Dumitru Erhan</t>
  </si>
  <si>
    <t>Left for OpenAI</t>
  </si>
  <si>
    <t>Intriguing properties of neural networks (2/19/14)</t>
  </si>
  <si>
    <t>Reinforcement learning: An Introduction. 2018.</t>
  </si>
  <si>
    <t>RS Sutton, AG Barto.</t>
  </si>
  <si>
    <t>M Tan, Q Le, ICML.</t>
  </si>
  <si>
    <t>Efficientnet: Rethinking model scaling for convolutional neural networks. 2019.</t>
  </si>
  <si>
    <t>Adaptation in natural and artificial systems: an introductory analysis with applications to biology, control and artificial intelligence. 1992.</t>
  </si>
  <si>
    <t>Programs with common sense. 1959.</t>
  </si>
  <si>
    <t>JA Hartigan, MA Wong. J Royal Stat Soc C.</t>
  </si>
  <si>
    <t>Aditya Ramesh, Mikhail Pavlov, Gabriel Goh, Scott Gray, Chelsea Voss, Alec Radford, Mark Chen, Ilya Sutskever (Open AI).</t>
  </si>
  <si>
    <t>Yann LeCun, Leon Bottou, Yoshua Bengio, Patrick Haffner. (AT&amp;T, U Montreal)</t>
  </si>
  <si>
    <t>Backpropagation applied to handwritten zip code recognition. 1989.</t>
  </si>
  <si>
    <t>Yann LeCun, B Boser, JS Denker, D Henderson, RE Howard, W Hubbard, LD Jackel (AT&amp;T/Bell Labs)</t>
  </si>
  <si>
    <t>Understanding the difficulty of training deep feedforward neural networks. 2010.</t>
  </si>
  <si>
    <t>Xavier Glorot, Yoshua Bengio (U Montreal)</t>
  </si>
  <si>
    <t>J Bergstra, Yoshua Bengio.</t>
  </si>
  <si>
    <t>Reducing the dimensionality of data with neural networks. 2006.</t>
  </si>
  <si>
    <t>Geoff Hinton, RR Salakhutdinov.</t>
  </si>
  <si>
    <t>A Krizhevsky, Geoffrey E Hinton.</t>
  </si>
  <si>
    <t>Learning multiple layers of features from tiny images. 2009.</t>
  </si>
  <si>
    <t>Colin Raffel, Noam Shazeer, Adam Roberts, Katherine Lee, Sharan Narang, Michael Matena, Yanqi Zhou, Wei Li, Peter J. Liu (Google)</t>
  </si>
  <si>
    <t>noam@google.com</t>
  </si>
  <si>
    <t>Colin Raffel</t>
  </si>
  <si>
    <t>craffel@gmail.com</t>
  </si>
  <si>
    <t>Exploring the Limits of Transfer Learning (2020)</t>
  </si>
  <si>
    <t>Adam Roberts</t>
  </si>
  <si>
    <t>adarob@google.com</t>
  </si>
  <si>
    <t>Katherine Lee</t>
  </si>
  <si>
    <t>katherinelee@google.com</t>
  </si>
  <si>
    <t>Sharan Narang</t>
  </si>
  <si>
    <t>sharannarang@google.com</t>
  </si>
  <si>
    <t>Michael Matena</t>
  </si>
  <si>
    <t>mmatena@google.com</t>
  </si>
  <si>
    <t>Yanqi Zhou</t>
  </si>
  <si>
    <t>yanqiz@google.com</t>
  </si>
  <si>
    <t>Wei Li</t>
  </si>
  <si>
    <t>mweili@google.com</t>
  </si>
  <si>
    <t>Peter J. Liu</t>
  </si>
  <si>
    <t>peterjliu@google.com</t>
  </si>
  <si>
    <t>Exploring the Limits of Transfer Learning (2020), Palm (2022)</t>
  </si>
  <si>
    <t>BERT (2019), Palm (2022)</t>
  </si>
  <si>
    <t>Aakanksha Chowdhery</t>
  </si>
  <si>
    <t>Palm (2022)</t>
  </si>
  <si>
    <t>Maarten Bosma</t>
  </si>
  <si>
    <t>Gaurav Mishra</t>
  </si>
  <si>
    <t>Paul Barham</t>
  </si>
  <si>
    <t>Charles Sutton</t>
  </si>
  <si>
    <t>Sebastian Gehrmann</t>
  </si>
  <si>
    <t>Parker Schuh</t>
  </si>
  <si>
    <t>Kensen Shi</t>
  </si>
  <si>
    <t>Sasha Tsvyashchenko</t>
  </si>
  <si>
    <t>Joshua Maynez</t>
  </si>
  <si>
    <t>Abhishek Rao</t>
  </si>
  <si>
    <t>Parker Barnes</t>
  </si>
  <si>
    <t>Yi Tay</t>
  </si>
  <si>
    <t>Vinodkumar Prabhakaran</t>
  </si>
  <si>
    <t>Emily Reif</t>
  </si>
  <si>
    <t>Nan Du</t>
  </si>
  <si>
    <t>Ben Hutchinson</t>
  </si>
  <si>
    <t>Reiner Pope</t>
  </si>
  <si>
    <t>James Bradbury</t>
  </si>
  <si>
    <t>Jacob Austin</t>
  </si>
  <si>
    <t>Michael Isard</t>
  </si>
  <si>
    <t>Guy Gur-Ari</t>
  </si>
  <si>
    <t>Pengcheng Yin</t>
  </si>
  <si>
    <t>Toju Duke</t>
  </si>
  <si>
    <t>Anselm Levskaya</t>
  </si>
  <si>
    <t>Sanjay Ghemawat</t>
  </si>
  <si>
    <t>Sunipa Dev</t>
  </si>
  <si>
    <t>Henryk Michalewski</t>
  </si>
  <si>
    <t>Xavier Garcia</t>
  </si>
  <si>
    <t>Kevin Robinson</t>
  </si>
  <si>
    <t>Denny Zhou</t>
  </si>
  <si>
    <t>Daphne Ippolito</t>
  </si>
  <si>
    <t>Hyeontaek Lim</t>
  </si>
  <si>
    <t>Alexander Spiridonov</t>
  </si>
  <si>
    <t>Ryan Sepassi</t>
  </si>
  <si>
    <t>David Dohan</t>
  </si>
  <si>
    <t>Shivani Agrawal</t>
  </si>
  <si>
    <t>Mark Omernick</t>
  </si>
  <si>
    <t>Andrew M. Dai</t>
  </si>
  <si>
    <t>Thanumalayan Sankaranarayana Pillai</t>
  </si>
  <si>
    <t>Marie Pellat</t>
  </si>
  <si>
    <t>Aitor Lewkowycz</t>
  </si>
  <si>
    <t>Erica Moreira</t>
  </si>
  <si>
    <t>Oleksandr Polozov</t>
  </si>
  <si>
    <t>Zongwei Zhou</t>
  </si>
  <si>
    <t>Xuezhi Wang</t>
  </si>
  <si>
    <t>Brennan Saeta</t>
  </si>
  <si>
    <t>Mark Diaz</t>
  </si>
  <si>
    <t>Orhan Firat</t>
  </si>
  <si>
    <t>Michele Catasta</t>
  </si>
  <si>
    <t>Kathy Meier-Hellstern</t>
  </si>
  <si>
    <t>Douglas Eck</t>
  </si>
  <si>
    <t>Slav Petrov</t>
  </si>
  <si>
    <t>Noah Fiedel</t>
  </si>
  <si>
    <t>William "Liam" Fedus, Barret Zoph, Noam Shazeer</t>
  </si>
  <si>
    <t>William "Liam" Fedus</t>
  </si>
  <si>
    <t>liamfedus@google.com</t>
  </si>
  <si>
    <t>Outrageously large neural networks: The sparsely-gated mixture-of-experts layer. 2017.</t>
  </si>
  <si>
    <t>Noam Shazeer, Azalia Mirhoseini, Krzysztof Maziarz, Andy Davis, Quoc Le, Geoffrey Hinton, Jeff Dean. (Google) ICLR 2017.</t>
  </si>
  <si>
    <t>Exploring the Limits of Transfer Learning (2020), Palm (2022), Outrageously Large Neural Networks (2017)</t>
  </si>
  <si>
    <t>Azalia Mirhoseini</t>
  </si>
  <si>
    <t>Outrageously Large Neural Networks (2017)</t>
  </si>
  <si>
    <t>azalia@google.com</t>
  </si>
  <si>
    <t>Andy Davis</t>
  </si>
  <si>
    <t>andydavis@google.com</t>
  </si>
  <si>
    <t>jeff@google.com</t>
  </si>
  <si>
    <t>Geoffrey E. Hinton</t>
  </si>
  <si>
    <t>geoffhinton@google.com</t>
  </si>
  <si>
    <t>qvl@google.com</t>
  </si>
  <si>
    <t>Distributed representations of words and phrases and their compositionality. 2013.</t>
  </si>
  <si>
    <t>Tomas Mikolov, Ilya Sutskever, Kai Chen, Greg Corrado, Jeffrey Dean.</t>
  </si>
  <si>
    <t>Tomas Mikolov</t>
  </si>
  <si>
    <t>mikolov@google.com</t>
  </si>
  <si>
    <t>Distributed Representations (2013)</t>
  </si>
  <si>
    <t>at least 2013</t>
  </si>
  <si>
    <t>ilyasu@google.com</t>
  </si>
  <si>
    <t>Kai Chen</t>
  </si>
  <si>
    <t>kai@google.com</t>
  </si>
  <si>
    <t>Greg Corrado</t>
  </si>
  <si>
    <t>gcorrado@google.com</t>
  </si>
  <si>
    <t>Tensorflow: Large-scale machine learning on heterogeneous distributed systems. 2016.</t>
  </si>
  <si>
    <t>Martin Abadi, Ashish Agarwal, Paul Barham, Eugene Brevdo, Zhifeng Chen, Craig Citro, Greg S. Corrado, Andy Davis, Jeffrey Dean, Matthieu Devin, Sanjay Ghemawat, Ian Goodfellow, Andrew Harp, Geoffrey Irving, Michael Isard, Yangqing Jia, Rafal Jozefowicz, Lukasz Kaiser, Manjunath Kudlur, Josh Levenberg, Dan Mane, Rajat Monga, Sherry Moore, Derek Murray, Chris Olah, Mike Schuster, Jonathon Shlens, Benoit Steiner, Ilya Sutskever, Kunal Talwar, Paul Tucker, Vincent Vanhoucke, Vijay Vasudevan, Fernanda Viegas, Oriol Vinyals, Pete Warden, Martin Wattenberg, Martin Wicke, Yuan Yu, Xiaoqiang Zheng (Google)</t>
  </si>
  <si>
    <t>TensorFlow (2015)</t>
  </si>
  <si>
    <t>Martin Abadi</t>
  </si>
  <si>
    <t>TensorFlow (2015), Palm (2022)</t>
  </si>
  <si>
    <t>Ashish Agarwal</t>
  </si>
  <si>
    <t>Eugene Brevdo</t>
  </si>
  <si>
    <t>Zhifeng Chen</t>
  </si>
  <si>
    <t>Distributed Representations (2013), TensorFlow (2015)</t>
  </si>
  <si>
    <t>TensorFlow (2015), Outrageously Large Neural Networks (2017)</t>
  </si>
  <si>
    <t>Craig Citro</t>
  </si>
  <si>
    <t>Andrew Harp</t>
  </si>
  <si>
    <t>Geoffrey Irving</t>
  </si>
  <si>
    <t>Matthieu Devin</t>
  </si>
  <si>
    <t>Yangqing Jia</t>
  </si>
  <si>
    <t>Rafal Jozefowicz</t>
  </si>
  <si>
    <t>Manjunath Kudlur</t>
  </si>
  <si>
    <t>Josh Levenberg</t>
  </si>
  <si>
    <t>Dan Mane</t>
  </si>
  <si>
    <t>Rajat Monga</t>
  </si>
  <si>
    <t>Sherry Moore</t>
  </si>
  <si>
    <t>Derek Murray</t>
  </si>
  <si>
    <t>Chris Olah</t>
  </si>
  <si>
    <t>Mike Schuster</t>
  </si>
  <si>
    <t>Jonathon Shlens</t>
  </si>
  <si>
    <t>Intriguing properties of neural networks (2/19/14), Distributed Representations (2013), TensorFlow (2015)</t>
  </si>
  <si>
    <t>Kunal Talwar</t>
  </si>
  <si>
    <t>Paul Tucker</t>
  </si>
  <si>
    <t>Benoit Steiner</t>
  </si>
  <si>
    <t>Vincent Vanhoucke</t>
  </si>
  <si>
    <t>Vijay Vasudevan</t>
  </si>
  <si>
    <t>Pete Warden</t>
  </si>
  <si>
    <t>Fernanda Viegas</t>
  </si>
  <si>
    <t>Martin Wattenberg</t>
  </si>
  <si>
    <t>Yuan Yu</t>
  </si>
  <si>
    <t>Martin Wicke</t>
  </si>
  <si>
    <t>Xiaoqiang Zheng</t>
  </si>
  <si>
    <t>MapReduce: simplified data processing on large clusters. 2004.</t>
  </si>
  <si>
    <t>Jeff Dean, S Ghemawat.</t>
  </si>
  <si>
    <t>Infogrid</t>
  </si>
  <si>
    <t>Prima Materia</t>
  </si>
  <si>
    <t>Security, Defense</t>
  </si>
  <si>
    <t>Limited details.</t>
  </si>
  <si>
    <t>https://ailibrary.s3.amazonaws.com/Deep+Learning+-+MIT+(2017)+-+Ian+Goodfellow%2C+Yoshua+Bengio%2C+Aaron+Courville.pdf</t>
  </si>
  <si>
    <t>https://ailibrary.s3.amazonaws.com/ImageNet+Classification+with+Deep+Convolutional+Neural+Networks+-+Krizhevsky%2C+Sutskever%2C+Hinton+2017.pdf</t>
  </si>
  <si>
    <t>https://ailibrary.s3.amazonaws.com/Attention+is+All+You+Need+-+Vaswani.pdf</t>
  </si>
  <si>
    <t>https://ailibrary.s3.amazonaws.com/BERT+-+Pre-training+of+Deep+Bidirectional+Transformers+for+Language+Understanding+-+1810.04805.pdf</t>
  </si>
  <si>
    <t>Run:AI</t>
  </si>
  <si>
    <t>Omri Geller, Ronen Dar</t>
  </si>
  <si>
    <t>Tiger, Insight, TLV, S Capital</t>
  </si>
  <si>
    <t>MLOps, Infrastructure, Compute</t>
  </si>
  <si>
    <t>S Capital</t>
  </si>
  <si>
    <t>Lonne Jaffe</t>
  </si>
  <si>
    <t>Nobody</t>
  </si>
  <si>
    <t>Insight, TLV, S Capital</t>
  </si>
  <si>
    <t>TLV Partners, S Capital</t>
  </si>
  <si>
    <t>https://ailibrary.s3.amazonaws.com/Outrageously+Large+Neural+Networks+-+The+Sparsely-Gated+Mixture-of-Experts+Layer.pdf</t>
  </si>
  <si>
    <t>https://ailibrary.s3.amazonaws.com/TensorFlow+-+Large-Scale+Machine+Learning+on+Heterogeneous+Distributed+Systems.pdf</t>
  </si>
  <si>
    <t>https://ailibrary.s3.amazonaws.com/Layer+Normalization+-+Ba%2C+Hinton.pdf</t>
  </si>
  <si>
    <t>https://ailibrary.s3.amazonaws.com/Deep+Learning+Review+(Nature)+-+Yann+LeCun%2C+Yoshua+Bengio%2C+Geoffrey+Hinton.pdf</t>
  </si>
  <si>
    <t>This joint paper from the major speech recognition laboratories, summarizing the breakthrough achieved with deep learning on the task of phonetic classification for automatic speech recognition, was the first major industrial application of deep learning.</t>
  </si>
  <si>
    <t>greedy layer-wise pre-training</t>
  </si>
  <si>
    <t>2017-1</t>
  </si>
  <si>
    <t>2016-1</t>
  </si>
  <si>
    <t>2016-2</t>
  </si>
  <si>
    <t>2016-3</t>
  </si>
  <si>
    <t>2016-4</t>
  </si>
  <si>
    <t>Link</t>
  </si>
  <si>
    <t>Authors</t>
  </si>
  <si>
    <t>Citations</t>
  </si>
  <si>
    <t>Deep Learning. 2016, 2017.</t>
  </si>
  <si>
    <t>Ackley, DH, Geoffrey E Hinton, TJ Sejnowski</t>
  </si>
  <si>
    <t>A learning algorithm for Boltzmann machines. Cognitive Science 1985.</t>
  </si>
  <si>
    <t>1985-1</t>
  </si>
  <si>
    <t>Une procedure d'apprentissage pour reseau a seiul (A learning process for asymmetric threshold network). 1985 (French). Disordered Systems and Biological Organization 1986 (English).</t>
  </si>
  <si>
    <t>1985-2</t>
  </si>
  <si>
    <t>https://ailibrary.s3.amazonaws.com/A+Proposal+for+the+Dartmouth+Summer+Research+Project+on+Artificial+Intelligence.pdf</t>
  </si>
  <si>
    <t>The perceptron: A probabilistic model for information storage and organization in the brain. Psychological Review, v65, n6, p386 1958.</t>
  </si>
  <si>
    <t>https://ailibrary.s3.amazonaws.com/Perceptron.pdf</t>
  </si>
  <si>
    <t>1955-1</t>
  </si>
  <si>
    <t>1958-1</t>
  </si>
  <si>
    <t>1959-1</t>
  </si>
  <si>
    <t>1960-1</t>
  </si>
  <si>
    <t>1961-1</t>
  </si>
  <si>
    <t>1961-2</t>
  </si>
  <si>
    <t>1969-1</t>
  </si>
  <si>
    <t>1975-1</t>
  </si>
  <si>
    <t>1979-1</t>
  </si>
  <si>
    <t>1981-1</t>
  </si>
  <si>
    <t>1982-1</t>
  </si>
  <si>
    <t>https://ailibrary.s3.amazonaws.com/Programs+with+Common+Sense+-+McCarthy+1959.pdf</t>
  </si>
  <si>
    <t>JCR Licklider</t>
  </si>
  <si>
    <t>Man-computer symbiosis. IRE Transact Human Factor 1960</t>
  </si>
  <si>
    <t>https://ailibrary.s3.amazonaws.com/Man-Computer+Symbiosis+-+Licklider.pdf</t>
  </si>
  <si>
    <t>https://ailibrary.s3.amazonaws.com/neurodynamics1962rosenblatt.pdf</t>
  </si>
  <si>
    <t>Steps toward artificial intelligence. Proceedings of the IRE 1961.</t>
  </si>
  <si>
    <t>https://ailibrary.s3.amazonaws.com/Steps+Toward+Artificial+Intelligence+-+Minsky.pdf</t>
  </si>
  <si>
    <t>Cognitron: A self-organizing multilayered neural network. Biological cybernetics 1975.</t>
  </si>
  <si>
    <t>K Fukushima</t>
  </si>
  <si>
    <t>https://ailibrary.s3.amazonaws.com/Marvin+Minsky%2C+Seymour+Papert+-+Perceptrons_+An+introduction+to+computational+geometry-MIT+Press+(1969).djvu</t>
  </si>
  <si>
    <t>https://ailibrary.s3.amazonaws.com/Cognitron+-+A+Self-Organizing+Multilayered+Neural+Network+-+Fukushima+1975.pdf</t>
  </si>
  <si>
    <t>Algorithm AS 136: A k-means clustering algorithm. J Royal Stat Soc C 1979.</t>
  </si>
  <si>
    <t>https://ailibrary.s3.amazonaws.com/Algorithm+AS+136+-+A+K-Means+Clustering+Algorithm+-+Hartigan.pdf</t>
  </si>
  <si>
    <t>Some philosophical problems from the standpoint of artificial intelligence. Readings in artificial intelligence 1981.</t>
  </si>
  <si>
    <t>John McCarthy, PJ Hayes</t>
  </si>
  <si>
    <t>https://ailibrary.s3.amazonaws.com/Some+Philosophical+problems+from+the+standpoint+of+AI+-+McCarthy+1981.pdf</t>
  </si>
  <si>
    <t>https://ailibrary.s3.amazonaws.com/Principles+of+Artificial+Intelligence+-+Nilsson.pdf</t>
  </si>
  <si>
    <t>https://ailibrary.s3.amazonaws.com/A+Learning+Algorithm+for+Boltzmann+Machines+-+Ackley%2C+Hinton%2C+Sejnowski.pdf</t>
  </si>
  <si>
    <t>https://ailibrary.s3.amazonaws.com/Learning+Process+in+an+Asymmetric+Threshold+Network+-+LeCun+1986.pdf</t>
  </si>
  <si>
    <t>1986-1</t>
  </si>
  <si>
    <t>1986-2</t>
  </si>
  <si>
    <t>Learning representations by back-propagating errors. Nature 1986, v323, n6088, p533</t>
  </si>
  <si>
    <t>https://ailibrary.s3.amazonaws.com/Learning+Representations+by+Back-Propagating+Errors+-+Rumelhart%2C+Hinton%2C+Williams.pdf</t>
  </si>
  <si>
    <t>1961-1, 1969-1, 1985-2, 1986-2</t>
  </si>
  <si>
    <t>https://ailibrary.s3.amazonaws.com/Parallel+Distributed+Processing+-+Explorations+in+the+Microstructure+of+Cognition+-+David+E.+Rumelhart%2C+Geoff+Hinton+James+L.+McClelland+(1986).pdf</t>
  </si>
  <si>
    <t>1989-1</t>
  </si>
  <si>
    <t>1989-2</t>
  </si>
  <si>
    <t>1992-1</t>
  </si>
  <si>
    <t>1990-1</t>
  </si>
  <si>
    <t>1994-1</t>
  </si>
  <si>
    <t>1994-2</t>
  </si>
  <si>
    <t>1995-1</t>
  </si>
  <si>
    <t>1998-2</t>
  </si>
  <si>
    <t>1998-1</t>
  </si>
  <si>
    <t>2002-1</t>
  </si>
  <si>
    <t>2004-1</t>
  </si>
  <si>
    <t>https://ailibrary.s3.amazonaws.com/Backpropagation+Applied+to+Handwritten+Zip+Code+Recognition+-+LeCun+1989.pdf</t>
  </si>
  <si>
    <t>On the approximate realization of continuous mappings by neural networks. Neural Networks 1989.</t>
  </si>
  <si>
    <t>K Funahashi</t>
  </si>
  <si>
    <t>https://ailibrary.s3.amazonaws.com/On+the+approximate+realization+of+continuous+mappings+by+neural+networks+-+Funahashi+1989.pdf</t>
  </si>
  <si>
    <t>Identification and control of dynamical systems using neural networks. IEEE Transact Neural Net 1990, Vol 1, No 1</t>
  </si>
  <si>
    <t>Kumpati S. Narendra, Kannan Parthasarathy</t>
  </si>
  <si>
    <t>https://ailibrary.s3.amazonaws.com/Identification+and+Control+of+Dynamical+Systems+Using+Neural+Networks+-+Narendra+1990.pdf</t>
  </si>
  <si>
    <t>JH Holland</t>
  </si>
  <si>
    <t>Author</t>
  </si>
  <si>
    <t>https://ailibrary.s3.amazonaws.com/Adaptation+in+Natural+and+Artificial+Systems+-+An+Introductory+Analysis+with+Applications+to+Biology%2C+Control%2C+and+Artificial+Intelligence+-+John+H.+Holland+-+The+MIT+Press+(1992).pdf</t>
  </si>
  <si>
    <t>Learning long-term dependencies with gradient descent is difficult. IEEE Trans Neural Net 1994.</t>
  </si>
  <si>
    <t>Yoshua Bengio, P Simard, P Frasconi</t>
  </si>
  <si>
    <t>https://ailibrary.s3.amazonaws.com/Learning+long-term+dependencies+with+gradient+descent+is+difficult.+Bengio+Simard+Frasconi+1994.pdf</t>
  </si>
  <si>
    <t>TD-Gammon, a self-teaching backgammon program, achieves master-level play. Neural Computation 1994; 6(215-219)</t>
  </si>
  <si>
    <t>Gerald Tesauro (IBM)</t>
  </si>
  <si>
    <t>https://ailibrary.s3.amazonaws.com/TD-Gammon%2C+A+Self-Teaching+Backgammon+Program%2C+Achieves+Master-Level+Play.pdf</t>
  </si>
  <si>
    <t>Convolutional networks for images, speech and time series. The handbook of Brain Theory and Neural Networks 1995.</t>
  </si>
  <si>
    <t>Yann LeCun, Yoshua Bengio</t>
  </si>
  <si>
    <t>https://ailibrary.s3.amazonaws.com/Convolutional+networks+for+images%2C+speech+and+time+series.+LeCun%2C+Bengio+1995.pdf</t>
  </si>
  <si>
    <t>S Haykin</t>
  </si>
  <si>
    <t>https://ailibrary.s3.amazonaws.com/Neural+Networks+-+A+Comprehensive+Foundation+-+Simon+Haykin+-+Prentice+Hall+(1998).pdf</t>
  </si>
  <si>
    <t>Neural Networks: A Comprehensive Foundation. Prentice Hall, 1998.</t>
  </si>
  <si>
    <t>https://ailibrary.s3.amazonaws.com/Gradient-based+learning+applied+to+document+recognition+-+LeCun.pdf</t>
  </si>
  <si>
    <t>Gradient-based learning applied to document recognition. Proc IEEE 1998.</t>
  </si>
  <si>
    <t>Deep Blue. Artif Intell 2002, 134:57-83.</t>
  </si>
  <si>
    <t>Murray Campbell, A. Joseph Hoane Jr., Feng-hsiung Hsu (IBM)</t>
  </si>
  <si>
    <t>2006-1</t>
  </si>
  <si>
    <t>2006-3</t>
  </si>
  <si>
    <t>2006-2</t>
  </si>
  <si>
    <t>https://ailibrary.s3.amazonaws.com/Deep+Blue+-+Campbell%2C+Hoane%2C+Hsu.pdf</t>
  </si>
  <si>
    <t>sanjay@google.com</t>
  </si>
  <si>
    <t>Palm (2022), TensorFlow (2015), MapReduce (2004)</t>
  </si>
  <si>
    <t>Prior</t>
  </si>
  <si>
    <t>DEC</t>
  </si>
  <si>
    <t>Wayne Rosing</t>
  </si>
  <si>
    <t>Alan Eustace</t>
  </si>
  <si>
    <t>Wilson Hsieh</t>
  </si>
  <si>
    <t>Building 40</t>
  </si>
  <si>
    <t>L11. Shared office with Shazeer.</t>
  </si>
  <si>
    <t>Claire Cui</t>
  </si>
  <si>
    <t>Steven Gribblew</t>
  </si>
  <si>
    <t>ex-DEC</t>
  </si>
  <si>
    <t>L11, Chief Scientist. Shared office with Shazeer.</t>
  </si>
  <si>
    <t>https://ailibrary.s3.amazonaws.com/MapReduce+-+Dean%2C+Ghemawat.pdf</t>
  </si>
  <si>
    <t>Not AI, including because of Dean and relative historical importance.</t>
  </si>
  <si>
    <t>Pattern recognition and machine learning. Springer, 2006.</t>
  </si>
  <si>
    <t>Christopher M. Bishop</t>
  </si>
  <si>
    <t>A fast learning algorithm for deep belief nets. Neural Computation 2006.</t>
  </si>
  <si>
    <t>https://ailibrary.s3.amazonaws.com/Pattern+Recognition+and+Machine+Learning+-+Christopher+M.+Bishop+(2006).pdf</t>
  </si>
  <si>
    <t>https://ailibrary.s3.amazonaws.com/Reducing+the+dimensionality+of+data+with+neural+networks.+Hinton%2C+Salakhutdinov+-+2006.pdf</t>
  </si>
  <si>
    <t>GE Hinton, S Osindero, YW Teh</t>
  </si>
  <si>
    <t>https://ailibrary.s3.amazonaws.com/A+fast+learning+algorithm+for+deep+belief+nets.+Hinton%2C+Osindero%2C+Teh+-+2006.pdf</t>
  </si>
  <si>
    <t>2008-1</t>
  </si>
  <si>
    <t>Visualizing data using t-SNE. J Mach Learn Res 2008.</t>
  </si>
  <si>
    <t>L Van der Maaten, Geoffrey E Hinton</t>
  </si>
  <si>
    <t>https://ailibrary.s3.amazonaws.com/Visualizing+Data+using+t-SNE+-+van+der+Maaten%2C+Hinton+2008.pdf</t>
  </si>
  <si>
    <t>2009-1</t>
  </si>
  <si>
    <t>StageZero</t>
  </si>
  <si>
    <t>https://ailibrary.s3.amazonaws.com/Learning+multiple+layers+of+features+from+tiny+images+-+Krizhevsky+2009.pdf</t>
  </si>
  <si>
    <t>2010-1</t>
  </si>
  <si>
    <t>https://ailibrary.s3.amazonaws.com/Artificial+Intelligence+-+A+Modern+Approach+-+Stuart+Russell%2C+Peter+Norvig+-+Prentice+Hall+(2010).pdf</t>
  </si>
  <si>
    <t>2010-2</t>
  </si>
  <si>
    <t>https://ailibrary.s3.amazonaws.com/Understanding+the+difficulty+of+training+deep+feedforward+neural+networks.pdf</t>
  </si>
  <si>
    <t>Rectified linear units improve restricted Boltzmann machines. Proc 27th ICML 2010.</t>
  </si>
  <si>
    <t>Vinod Nair, Geoffrey E Hinton</t>
  </si>
  <si>
    <t>2010-3</t>
  </si>
  <si>
    <t>https://ailibrary.s3.amazonaws.com/Rectified+Linear+Units+Improve+Restricted+Boltzmann+Machines+-+Nair%2C+Hinton.pdf</t>
  </si>
  <si>
    <t>2010-4</t>
  </si>
  <si>
    <t>https://ailibrary.s3.amazonaws.com/Deep+learning+via+Hessian-free+optimization+-+Martens.pdf</t>
  </si>
  <si>
    <t>2012-1</t>
  </si>
  <si>
    <t>2012-2</t>
  </si>
  <si>
    <t>Random search for hyper-parameter optimization. J Mach Learn Res 2012.</t>
  </si>
  <si>
    <t>https://ailibrary.s3.amazonaws.com/Random+search+for+hyper-parameter+optimization.+Bergstra%2C+Bengio+2012.pdf</t>
  </si>
  <si>
    <t>2013-1</t>
  </si>
  <si>
    <t>https://ailibrary.s3.amazonaws.com/Distributed+Representations+of+Words+and+Phrases+and+Their+Compositionality+-+Mikolov%2C+2013.pdf</t>
  </si>
  <si>
    <t>2013-2</t>
  </si>
  <si>
    <t>Efficient estimation of word representations in vector space. arXiv 2013.</t>
  </si>
  <si>
    <t>Tomas Mikolov, Kai Chen, Greg Corrado, Jeff Dean</t>
  </si>
  <si>
    <t>https://ailibrary.s3.amazonaws.com/Efficient+Estimation+of+Word+Representations+in+Vector+Space.pdf</t>
  </si>
  <si>
    <t>2013-3</t>
  </si>
  <si>
    <t>https://ailibrary.s3.amazonaws.com/Intriguing+properties+of+Neural+Networks.pdf</t>
  </si>
  <si>
    <t>2013-4</t>
  </si>
  <si>
    <t>2013-5</t>
  </si>
  <si>
    <t>2014-1</t>
  </si>
  <si>
    <t>2014-2</t>
  </si>
  <si>
    <t>2014-3</t>
  </si>
  <si>
    <t>2014-4</t>
  </si>
  <si>
    <t>2014-5</t>
  </si>
  <si>
    <t>2014-6</t>
  </si>
  <si>
    <t>2015-1</t>
  </si>
  <si>
    <t>2015-2</t>
  </si>
  <si>
    <t>2015-3</t>
  </si>
  <si>
    <t>Playing Atari with deep reinforcement learning. arXiv 2013.</t>
  </si>
  <si>
    <t>Volodymyr Mnih</t>
  </si>
  <si>
    <t>vlad@deepmind.com</t>
  </si>
  <si>
    <t>Playing Atari (2013)</t>
  </si>
  <si>
    <t>david@deepmind.com</t>
  </si>
  <si>
    <t>Alex Graves</t>
  </si>
  <si>
    <t>Ioannis Antonoglou</t>
  </si>
  <si>
    <t>ioannis@deepmind.com</t>
  </si>
  <si>
    <t>Daan Wierstra</t>
  </si>
  <si>
    <t>daan@deepmind.com</t>
  </si>
  <si>
    <t>Martin Riedmiller</t>
  </si>
  <si>
    <t>martin.riedmiller@deepmind.com</t>
  </si>
  <si>
    <t>https://ailibrary.s3.amazonaws.com/Playing+Atari+with+Deep+Reinforcement+Learning+-+Mnih+2013.pdf</t>
  </si>
  <si>
    <t>Speech recognition with deep recurrent neural networks. IEEE Intl 2013.</t>
  </si>
  <si>
    <t>https://arxiv.org/pdf/1303.5778.pdf</t>
  </si>
  <si>
    <t>A Graves, A Mohamed, Geoffrey E Hinton (U Toronto)</t>
  </si>
  <si>
    <t>Generative adversarial nets. Adv NIPS 2014.</t>
  </si>
  <si>
    <t>https://arxiv.org/pdf/1406.2661.pdf</t>
  </si>
  <si>
    <t>Ian Goodfellow, Jean Pouget-Abadie, Mehdi Mirza, Bing Xu, David Warde-Farley, Sherjil Ozair, Aaron Courville, Yoshua Bengio (U Montreal)</t>
  </si>
  <si>
    <t>Nitish Srivastava, Geoffrey Hinton, Alex Krizhevsky, Ilya Sutskever, Ruslan Salakhutdinov (U Toronto)</t>
  </si>
  <si>
    <t>Dropout: a simple way to prevent neural networks from overfitting. J Mach Learn Res 2014: 15, 1929-1958.</t>
  </si>
  <si>
    <t>https://ailibrary.s3.amazonaws.com/Dropout+-+A+Simple+Way+to+Prevent+Neural+Networks+from+Overfitting+-+Srivastava.pdf</t>
  </si>
  <si>
    <t>Tsung-Yi Lin, Michael Maire, Serge Belongie, Lubomir Bourdev, Ross Girshick, James Hays, Pietro Perona, Deva Ramanan, C. Lawrence Zitnick, Piotr Dollar (MSFT)</t>
  </si>
  <si>
    <t>Microsoft coco: Common objects in context. 2014, arXiv 2/21/15 revision.</t>
  </si>
  <si>
    <t>https://ailibrary.s3.amazonaws.com/Microsoft+COCO+-+Common+Objects+in+Context.pdf</t>
  </si>
  <si>
    <t>Neural machine translation by jointly learning to align and translate. arXiv 2014.</t>
  </si>
  <si>
    <t>D Bahdanau, K Cho, Yoshua Bengio</t>
  </si>
  <si>
    <t>https://arxiv.org/pdf/1409.0473.pdf</t>
  </si>
  <si>
    <t>Learning phrase representations using RNN encoder-decoder for statistical machine translation. arXiv 2014.</t>
  </si>
  <si>
    <t>Kyunghyun Cho, Bart van Merrienboer, Caglar Gulcehre, Dzmitry Bahdanau, Fethi Bougares, Holger Schwenk, Yoshua Bengio</t>
  </si>
  <si>
    <t>https://arxiv.org/pdf/1406.1078.pdf</t>
  </si>
  <si>
    <t>Deep Learning. Nature 2015.</t>
  </si>
  <si>
    <t>Shai Shalev-Shwartz, Shai Ben-David</t>
  </si>
  <si>
    <t>Understanding machine learning: From theory to algorithms. CUP 2014.</t>
  </si>
  <si>
    <t>https://ailibrary.s3.amazonaws.com/Shalev-Shwartz+S.%2C+Ben-David+S.+-+Understanding+Machine+Learning_+From+Theory+to+Algorithms-CUP+(2014).pdf</t>
  </si>
  <si>
    <t>Deep learning in neural networks: An overview. arXiv 2014, Neural Networks 2015.</t>
  </si>
  <si>
    <t>Jurgen Schmidhuber</t>
  </si>
  <si>
    <t>https://ailibrary.s3.amazonaws.com/Deep+Learning+in+Neural+Networks+-+Schmidhuber+2015.pdf</t>
  </si>
  <si>
    <t>Distilling the knowledge in a neural network. arXiv 2015.</t>
  </si>
  <si>
    <t>Geoffrey Hinton, O Vinyals, Jeff Dean</t>
  </si>
  <si>
    <t>https://arxiv.org/pdf/1503.02531.pdf</t>
  </si>
  <si>
    <t>Outrageously Large Neural Networks (2017), Distilling the Knowledge (2015)</t>
  </si>
  <si>
    <t>at least 2015</t>
  </si>
  <si>
    <t>Palm (2022), Distributed Representations (2013), TensorFlow (2015), MapReduce (2004), Distilling the Knowledge (2015)</t>
  </si>
  <si>
    <t>2016-5</t>
  </si>
  <si>
    <t>2012-3</t>
  </si>
  <si>
    <t>What Regularized Auto-Encoders Learn from the Data Generating Distribution. arXiv 2012.</t>
  </si>
  <si>
    <t>Guillaume Alain, Yoshua Bengio</t>
  </si>
  <si>
    <t>https://arxiv.org/abs/1211.4246</t>
  </si>
  <si>
    <t>2015-4</t>
  </si>
  <si>
    <t>https://arxiv.org/pdf/1503.05571.pdf</t>
  </si>
  <si>
    <t>Guillaume Alain, Yoshua Bengio, Li Yao, Jason Yosinski, Eric Thibodeau-Laufer, Saizheng Zhang, Pascal Vincent.</t>
  </si>
  <si>
    <t>2014-7</t>
  </si>
  <si>
    <t>Multiple object recognition with visual attention. arXiv 2014.</t>
  </si>
  <si>
    <t>https://arxiv.org/pdf/1412.7755.pdf</t>
  </si>
  <si>
    <t>Jimmy Lei Ba (U Toronto), Volodymyr Mnih, Koray Kavukcuoglu (Google)</t>
  </si>
  <si>
    <t>2015-5</t>
  </si>
  <si>
    <t>Variational Generative Stochastic Networks with Collaborative Shaping. ICML 2015.</t>
  </si>
  <si>
    <t>http://proceedings.mlr.press/v37/bachman15.pdf</t>
  </si>
  <si>
    <t>Philip Bachman, Doina Precup (McGill)</t>
  </si>
  <si>
    <t>https://pierrelucbacon.com/bacon-2015-condnet.pdf</t>
  </si>
  <si>
    <t>Pierre-Luc Bacon, Emmanuel Bengio, Joelle Pineau, Doina Precup (McGill)</t>
  </si>
  <si>
    <t>2015-6</t>
  </si>
  <si>
    <t>Differentiable Sparse Coding. NIPS 2008.</t>
  </si>
  <si>
    <t>2009-2</t>
  </si>
  <si>
    <t>https://papers.nips.cc/paper_files/paper/2008/file/1458e7509aa5f47ecfb92536e7dd1dc7-Paper.pdf</t>
  </si>
  <si>
    <t>Neural Machine Translation by Jointly Learning to Align and Translate. ICLR 2015.</t>
  </si>
  <si>
    <t>Dzmitry Bahdanau, Kyunghyun Cho, Yoshua Bengio</t>
  </si>
  <si>
    <t>Presentation</t>
  </si>
  <si>
    <t>https://iclr.cc/archive/www/lib/exe/fetch.php%3Fmedia=iclr2015:bahdanau-iclr2015.pdf</t>
  </si>
  <si>
    <t>Paper</t>
  </si>
  <si>
    <t>2015-7</t>
  </si>
  <si>
    <t>Speechmatics</t>
  </si>
  <si>
    <t>Language translation</t>
  </si>
  <si>
    <t>Jaroslaw Kutylowski</t>
  </si>
  <si>
    <t>IVP, World Innovation Lab, Benchmark, Bessemer, b2venture, Atomico</t>
  </si>
  <si>
    <t>Benchmark, b2venture</t>
  </si>
  <si>
    <t>Pre-seed</t>
  </si>
  <si>
    <t>Jeff Seibert, Wayne Chang</t>
  </si>
  <si>
    <t>SoftBank, The Twenty Minute VC, Google, Benchmark</t>
  </si>
  <si>
    <t>The Twenty Minute VC</t>
  </si>
  <si>
    <t>Accounting/Financial</t>
  </si>
  <si>
    <t>Google, Benchmark</t>
  </si>
  <si>
    <t>Benchmark, Chang Corporation, 42 angels</t>
  </si>
  <si>
    <t>Peter Fenton</t>
  </si>
  <si>
    <t>Healthcare revenue cycle</t>
  </si>
  <si>
    <t>Andy Atwal, Benjamin Beadle-Ryby, Malinka Walaliyadde, Varun Ganapathi</t>
  </si>
  <si>
    <t>Bond, Costanoa Ventures, a16z</t>
  </si>
  <si>
    <t>Costanoa Ventures</t>
  </si>
  <si>
    <t>a16z, Costanoa Ventures, James Momtazee, Rancilio Cube</t>
  </si>
  <si>
    <t>a16z, Refactor, Costanoa Ventures, James Momtazee</t>
  </si>
  <si>
    <t>Refactor Capital</t>
  </si>
  <si>
    <t>Chase Coleman</t>
  </si>
  <si>
    <t>Marc Andreessen</t>
  </si>
  <si>
    <t>Ben Horowitz</t>
  </si>
  <si>
    <t>Chris Dixon</t>
  </si>
  <si>
    <t>Secondary</t>
  </si>
  <si>
    <t>unknown</t>
  </si>
  <si>
    <t>PIP12 (2020)</t>
  </si>
  <si>
    <t>PIP13</t>
  </si>
  <si>
    <t>PIP15</t>
  </si>
  <si>
    <t>PIP11</t>
  </si>
  <si>
    <t>PIP10</t>
  </si>
  <si>
    <t>PIP14 (2021)</t>
  </si>
  <si>
    <t>PIP1 (2003)</t>
  </si>
  <si>
    <t>2018 Turing Award winner, highest h-index for CS. U Montreal &amp; MILA.</t>
  </si>
  <si>
    <t>Futurist</t>
  </si>
  <si>
    <t>https://www.deeplearningbook.org</t>
  </si>
  <si>
    <t>training algorithm</t>
  </si>
  <si>
    <t>linear model (adaptive linear element)</t>
  </si>
  <si>
    <t>XOR</t>
  </si>
  <si>
    <t>exclusive OR cannot be approximated by linear models</t>
  </si>
  <si>
    <t>Predecessor to CNN</t>
  </si>
  <si>
    <t>Cognitron</t>
  </si>
  <si>
    <t>early neuron network</t>
  </si>
  <si>
    <t>connectionism</t>
  </si>
  <si>
    <t>1980s movement also known as parallel distributed processing emphasized distributed representation</t>
  </si>
  <si>
    <t>distributed representation</t>
  </si>
  <si>
    <t>each input to a system should be represented by many features, and each feature should be involved in the representation of many possible inputs</t>
  </si>
  <si>
    <t>can train DBN</t>
  </si>
  <si>
    <t>deep belief network</t>
  </si>
  <si>
    <t>trained by greedy layer-wise pre-training</t>
  </si>
  <si>
    <t>Theano</t>
  </si>
  <si>
    <t>older framework</t>
  </si>
  <si>
    <t>PyLearn2</t>
  </si>
  <si>
    <t>Pytorch</t>
  </si>
  <si>
    <t>DistBelief</t>
  </si>
  <si>
    <t>framework</t>
  </si>
  <si>
    <t>Caffe</t>
  </si>
  <si>
    <t>ML framework</t>
  </si>
  <si>
    <t>MXNet</t>
  </si>
  <si>
    <t>scalar</t>
  </si>
  <si>
    <t>mathematical object, often a real/integer in a single dimension</t>
  </si>
  <si>
    <t>vector</t>
  </si>
  <si>
    <t>a multi-dimensional array of numbers</t>
  </si>
  <si>
    <t>a one-dimensional array of numbers</t>
  </si>
  <si>
    <t>matrix</t>
  </si>
  <si>
    <t>a 2D array of numbers</t>
  </si>
  <si>
    <t>transpose</t>
  </si>
  <si>
    <t>tensor</t>
  </si>
  <si>
    <t>addition</t>
  </si>
  <si>
    <t>addition is defined for matrices with the same shape (dimension size)</t>
  </si>
  <si>
    <t>multiplication</t>
  </si>
  <si>
    <t>broadcasting</t>
  </si>
  <si>
    <t>deep learning convention of adding a vector repeatedly to a matrix</t>
  </si>
  <si>
    <t>multiplication is defined for a matrix and a scalar, multiplying two matrices is only defined for A_i,j if B_j,k, with product C_i,k. see matrix product.</t>
  </si>
  <si>
    <t>matrix product</t>
  </si>
  <si>
    <t>defined as the sum of A_i,k * B_k,j for all k</t>
  </si>
  <si>
    <t>element-wise product</t>
  </si>
  <si>
    <t>also known as the Hadamard product, simple multiplication of individual elements of matrices</t>
  </si>
  <si>
    <t>dot product</t>
  </si>
  <si>
    <t>matrix product of two equal dimension vectors</t>
  </si>
  <si>
    <t>530B parameter system by Microsoft and Nvidia. Repository includes training pipeline. https://github.com/NVIDIA/Megatron-LM</t>
  </si>
  <si>
    <t>distributive</t>
  </si>
  <si>
    <t>matrix multiplication is distributive</t>
  </si>
  <si>
    <t>associativity</t>
  </si>
  <si>
    <t>matrix multiplication is associative</t>
  </si>
  <si>
    <t>commutivity</t>
  </si>
  <si>
    <t>matrix multiplication is not commutative</t>
  </si>
  <si>
    <t>mirror image of a matrix across its main diagnoal, defined as A(T)_i,j = A_j,i. the transpose of (AB) is B^t*A^t</t>
  </si>
  <si>
    <t>identity matrix</t>
  </si>
  <si>
    <t>the identity matrix is a matrix that does not change any vector when we multiply that vector by that matrix. All main diagnoal entries in an identity matrix are 1, and all other values are zero</t>
  </si>
  <si>
    <t>matrix inverse</t>
  </si>
  <si>
    <t>the matrix inverse of A, A^-1, is defined as A(A^-1) = I_n</t>
  </si>
  <si>
    <t>span</t>
  </si>
  <si>
    <t>linear combination</t>
  </si>
  <si>
    <t>determinant</t>
  </si>
  <si>
    <t>Charles Fisher</t>
  </si>
  <si>
    <t>Radical Ventures, Wittington Ventures</t>
  </si>
  <si>
    <t>Unlearn.AI</t>
  </si>
  <si>
    <t>Dylan Morris</t>
  </si>
  <si>
    <t>Unlearn.ai</t>
  </si>
  <si>
    <t>Insight, Radical, Parkway Venture Capital, DCVC, 8VC, Mubadala</t>
  </si>
  <si>
    <t>Epic Ventures, Eisai, Alumni Ventures</t>
  </si>
  <si>
    <t>Epic Ventures</t>
  </si>
  <si>
    <t>Eisai (public)</t>
  </si>
  <si>
    <t>Alumni Capital (or Alumni Ventures?)</t>
  </si>
  <si>
    <t>8VC, Necessary, Mubadala, DCVC, Alumni</t>
  </si>
  <si>
    <t>DCVC, Necessary</t>
  </si>
  <si>
    <t>Smaller clinical trials via AI</t>
  </si>
  <si>
    <t>1987-1</t>
  </si>
  <si>
    <t>Speech recognition with continuous-parameter hidden Markov models. Computer Speech and Language 1987, 2:219-234.</t>
  </si>
  <si>
    <t>Lalit R. Bahl, Peter F. Brown, Peter V. de Souza and Robert L. Mercer (IBM)</t>
  </si>
  <si>
    <t>https://ailibrary.s3.amazonaws.com/Speech+recognition+with+continuous-parameter+hidden+Markov+models.+Bahl+et+al%2C+Computer+Speech+and+Language+1987.pdf</t>
  </si>
  <si>
    <t>1989-3</t>
  </si>
  <si>
    <t>https://ailibrary.s3.amazonaws.com/Neural+networks+and+principal+component+analysis+-+Learning+from+examples+without+local+minima.+Baldi%2C+Hornik+1989.pdf</t>
  </si>
  <si>
    <t>Neural networks and principal component analysis - Learning from examples without local minima. Neural Networks 1989.</t>
  </si>
  <si>
    <t>Pierre Baldi, Kurt Hornik (UCSD)</t>
  </si>
  <si>
    <t>A learning algorithm which optimizes a line (slope + intercept)</t>
  </si>
  <si>
    <t>Generates waveform for TTS. GAN-based (MelGAN, HifiGAN). Universal-Vocoder</t>
  </si>
  <si>
    <t>trytaylor.ai</t>
  </si>
  <si>
    <t>https://github.com/lucidrains/soundstorm-pytorch</t>
  </si>
  <si>
    <t>Soundstorm-Pytorch</t>
  </si>
  <si>
    <t>https://openreview.net/pdf?id=BZ5a1r-kVsf</t>
  </si>
  <si>
    <t>https://google-research.github.io/seanet/soundstorm/examples/</t>
  </si>
  <si>
    <t>Soundstorm</t>
  </si>
  <si>
    <t>Libri-Light</t>
  </si>
  <si>
    <t>https://github.com/facebookresearch/libri-light</t>
  </si>
  <si>
    <t>https://ai.meta.com/tools/libri-light/</t>
  </si>
  <si>
    <t>Anysphere</t>
  </si>
  <si>
    <t>Cursor.sh</t>
  </si>
  <si>
    <t>https://github.com/microsoft/unilm</t>
  </si>
  <si>
    <t>Unlim</t>
  </si>
  <si>
    <t>Large-scale, self-supervised pre-training</t>
  </si>
  <si>
    <t>Heads-up limit hold’em poker is solved. Science, 347(6218):145–149, 2015.</t>
  </si>
  <si>
    <t xml:space="preserve">Michael Bowling, Neil Burch, Michael Johanson, and Oskari Tammelin. </t>
  </si>
  <si>
    <t>Conditional computation in neural networks using a
decision-theoretic approach. RLDM 2015</t>
  </si>
  <si>
    <t>BERT: Pre-training of Deep Bidirectional Transformers for Language Understanding. arXiv 10/11/18, revised 5/24/2019.</t>
  </si>
  <si>
    <t>Jacob Devlin, Ming-Wei Chang, Kenton Lee, Kristina Toutanova (Google)</t>
  </si>
  <si>
    <t>Noam Brown, Tuomas Sandholm</t>
  </si>
  <si>
    <t>1994-2, 2002-1</t>
  </si>
  <si>
    <t>1949-1</t>
  </si>
  <si>
    <t>Noam Brown, Christian Kroer, Tuomas Sandholm</t>
  </si>
  <si>
    <t xml:space="preserve">
Dynamic thresholding and pruning for regret minimization. In Proceedings of the AAAI Conference on Artificial Intelligence, volume 31, 2017.</t>
  </si>
  <si>
    <t>Junling Hu, Michael Wellman</t>
  </si>
  <si>
    <t>Nash q-learning for general-sum stochastic games. Journal of
 machine learning research, 4(Nov):1039–1069, 2003.</t>
  </si>
  <si>
    <t>NIPS</t>
  </si>
  <si>
    <t>ICML</t>
  </si>
  <si>
    <t>Lloyd S Shapley</t>
  </si>
  <si>
    <t>Stochastic games. Proceedings of the national academy of sciences, 39(10):
1095–1100, 1953.</t>
  </si>
  <si>
    <t>https://ailibrary.s3.amazonaws.com/The+Organization+of+Behavior+-+A+Neuropsychological+Theory+-+D.O.+Hebb.pdf</t>
  </si>
  <si>
    <t>https://ailibrary.s3.amazonaws.com/Stochastic+Games+-+Shapley.pdf</t>
  </si>
  <si>
    <t>2001-1</t>
  </si>
  <si>
    <t>Learning hierarchical features for scene labeling. Farabet, C., Couprie, C., Namjam, L., LeCun, Y. IEEE Trans Pattern Anal Mach Intell 2013.</t>
  </si>
  <si>
    <t>Going deeper with convolutions. Szegedy, C, et al. Arxiv 2014.</t>
  </si>
  <si>
    <t>Thomas Naselaris, Cheryl A. Olman, Dustin E. Stansbury, Kamil Ugurbil, and Jack L. Gallant.</t>
  </si>
  <si>
    <t>A voxel-wise encoding model for early visual areas decodes mental images of remembered scenes. Neuroimage 105, 215–228 (2015).</t>
  </si>
  <si>
    <t>Mastering the game of go without human knowledge. Nature, 550(7676):354, 2017.</t>
  </si>
  <si>
    <t xml:space="preserve">David Silver, Julian Schrittwieser, Karen Simonyan, Ioannis Antonoglou, Aja Huang, Arthur Guez,
Thomas Hubert, Lucas Baker, Matthew Lai, Adrian Bolton, et al. </t>
  </si>
  <si>
    <t>2017-2</t>
  </si>
  <si>
    <t xml:space="preserve">Oriol Vinyals, Igor Babuschkin, Wojciech M Czarnecki, Michael Mathieu, Andrew Dudzik, Juny-oung Chung, David H Choi, Richard Powell, Timo Ewalds, Petko Georgiev, et al. </t>
  </si>
  <si>
    <t>Grandmaster level in starcraft ii using multi-agent reinforcement learning. Nature, 575(7782):350–354, 2019.</t>
  </si>
  <si>
    <t>Jiaang Li, Antonia Karamolegkou, Yova Kementchedjhieva, Mostafa Abdou, Sune Lehmann, and Anders Søgaard</t>
  </si>
  <si>
    <t>Sebastien Bubeck, Varun Chandrasekaran, Ronen Eldan, Johannes Gehrke, Eric Horvitz, Ece Kamar, Peter Lee, Yin Tat Lee, Yuanzhi Li, Scott Lundberg, Harsha Nori, Hamid Palangi, Marco Tulio Ribeiro, and Yi Zhang</t>
  </si>
  <si>
    <t>Shunyu Yao, Dian Yu, Jeffrey Zhao, Izhak Shafran, Thomas L. Griffiths, Yuan Cao, and Karthik Narasimhan</t>
  </si>
  <si>
    <t>Weijie Su, Xizhou Zhu, Yue Cao, Bin Li, Lewei Lu, Furu Wei, and Jifeng Dai</t>
  </si>
  <si>
    <t>Male. Started as demand analyst</t>
  </si>
  <si>
    <t>Physicist</t>
  </si>
  <si>
    <t>Harvard PhD in Physics, MIT B</t>
  </si>
  <si>
    <t>Started as intern.</t>
  </si>
  <si>
    <t>Gotta Learn Fast (4/23/18)</t>
  </si>
  <si>
    <t>@endrift, endrift.com</t>
  </si>
  <si>
    <t>Codex (at least 7/14/21), Language Models are Few-Shot Learners (7/22/2020), OpenAI Baselines (1/25/18), Proximal Policy Optimization Algorithms (7/19/17)</t>
  </si>
  <si>
    <t xml:space="preserve">@alecrad, </t>
  </si>
  <si>
    <t>www.aqnichol.com</t>
  </si>
  <si>
    <t>Gotta Learn Fast (4/23/18), Reptile</t>
  </si>
  <si>
    <t>Head of Compute; Supercomputing Lead</t>
  </si>
  <si>
    <t>UC Berkeley (B)</t>
  </si>
  <si>
    <t>Bryan Banisaba</t>
  </si>
  <si>
    <t>Associate GC</t>
  </si>
  <si>
    <t>Jonathan Lachman</t>
  </si>
  <si>
    <t>Special Projects</t>
  </si>
  <si>
    <t>ex-Chegg</t>
  </si>
  <si>
    <t>BS in Russia</t>
  </si>
  <si>
    <t>ex-Atomwise</t>
  </si>
  <si>
    <t>Umass (BS), GIT (MS)</t>
  </si>
  <si>
    <t>https://twitter.com/mobav0?lang=en ; https://bavarian.dev/</t>
  </si>
  <si>
    <t>ex-Rubrik</t>
  </si>
  <si>
    <t>MIT (PhD), UBC (BS)</t>
  </si>
  <si>
    <t>General Counsel; Compute cluster scaling for GPT-4, Legal</t>
  </si>
  <si>
    <t>ex-AWS, Goodwin</t>
  </si>
  <si>
    <t>2021</t>
  </si>
  <si>
    <t>ex-Esurance</t>
  </si>
  <si>
    <t>https://bmk.sh/ ; https://twitter.com/nabla_theta?lang=en</t>
  </si>
  <si>
    <t>https://github.com/leogao2</t>
  </si>
  <si>
    <t>ex-Facebook, Microsoft internships</t>
  </si>
  <si>
    <t>U Cambridge (PhD), Israel BS</t>
  </si>
  <si>
    <t>Strategic Finance</t>
  </si>
  <si>
    <t>ex-Deloitte</t>
  </si>
  <si>
    <t>https://twitter.com/MikhailPavlov5</t>
  </si>
  <si>
    <t>https://github.com/fgvbrt</t>
  </si>
  <si>
    <t>Zero-Shot Text-to-Image Generation (2/26/21), Codex (at least 7/14/21)</t>
  </si>
  <si>
    <t>Language Models are Few-Shot Learners (7/22/2020), Zero-Shot Text-to-Image Generation (2/26/21)</t>
  </si>
  <si>
    <t>_@adityaramesh.com</t>
  </si>
  <si>
    <t>Zero-Shot Text-to-Image Generation (2/26/21)</t>
  </si>
  <si>
    <t>ex-Dropbox</t>
  </si>
  <si>
    <t>U Waterloo</t>
  </si>
  <si>
    <t>https://twitter.com/mpetrov?lang=en ; http://michaelpetrov.com/</t>
  </si>
  <si>
    <t>Duke (BA)</t>
  </si>
  <si>
    <t>Supervision</t>
  </si>
  <si>
    <t>U Toronto DNN for image recognition</t>
  </si>
  <si>
    <t>Hinton algorithm for neural networks. Did not live up to high expectations in the 1980s.</t>
  </si>
  <si>
    <t>NORB</t>
  </si>
  <si>
    <t>Early database of labeled images</t>
  </si>
  <si>
    <t>Caltech-101/256</t>
  </si>
  <si>
    <t>CIFAR</t>
  </si>
  <si>
    <t>CIFAR-10/100</t>
  </si>
  <si>
    <t>Imagenet classification with deep convolutional neural networks. NIPS 2012.</t>
  </si>
  <si>
    <t>Alex Krizhevsky, Ilya Sutskever, Geoffrey E Hinton. NIPS. Comm ACM 2017.</t>
  </si>
  <si>
    <t>LabelMe</t>
  </si>
  <si>
    <t>image database with hundreds of thousands of labeled segmented images</t>
  </si>
  <si>
    <t>Invented by Le Cun in the 1980s. Based on persistent states that gather information layer-by-layer. They have fewer connections and parameters than standard NNs, and are easier to train.</t>
  </si>
  <si>
    <t>ILSVCRC-2010, -2012</t>
  </si>
  <si>
    <t>overfitting</t>
  </si>
  <si>
    <t>Pascal Visual Object Challenge</t>
  </si>
  <si>
    <t>related to ImageNet</t>
  </si>
  <si>
    <t>also known as tanh = (exp(2a)-1) / (exp(2a)+1), creates [-1, 1] bound; this is a saturating non-linearity which is slower than Relu</t>
  </si>
  <si>
    <t>contrast normalization</t>
  </si>
  <si>
    <t>local average pooling</t>
  </si>
  <si>
    <t>see Rectified Linear Activation Unit/Function</t>
  </si>
  <si>
    <t>model of neuron incorporating max(0, a). non-saturating nonlinearity, faster than tanh, do not require input normalization to prevent them from saturating. If at least some training examples produce a positive input to a ReLU, learning will happen in that neuron.</t>
  </si>
  <si>
    <t>brightness normalization</t>
  </si>
  <si>
    <t>technique mentioned by Krizhevsky, Sutskever and Hinton in 2012 ImageNet paper</t>
  </si>
  <si>
    <t>ImageNet Large-Scale Visual Recognition Challenge, began in 2010. Top-1 error was 47.1% and improved to 37.5% in 2012.</t>
  </si>
  <si>
    <t>Image recognition database with 15 millioned high-res labeled images in 22k categories and contest. Krizhevsky, Sutskever and Hinton's CNN advanced SOTA in 2012 with a 60m parameter, 650k neuron 5-convolutional, 3-fully-connected layer model.</t>
  </si>
  <si>
    <t>momentum</t>
  </si>
  <si>
    <t>weight decay</t>
  </si>
  <si>
    <t>regularizer, reduces the model's straining error</t>
  </si>
  <si>
    <t>2007-1</t>
  </si>
  <si>
    <t>Robert M. Bell, Yehuda Koren (AT&amp;T)</t>
  </si>
  <si>
    <t>https://ailibrary.s3.amazonaws.com/Lessons+from+the+Netflix+Prize+Challenge+-+Bell+and+Koren+2007.pdf</t>
  </si>
  <si>
    <t>Lessons from the Netflix Prize Challenge. ACM SIGKDD Explor. Newsl. 9, 2 (2007), 75–79.</t>
  </si>
  <si>
    <t>https://www.image-net.org/challenges/LSVRC/2010/index.php</t>
  </si>
  <si>
    <t>https://www.image-net.org/challenges/LSVRC/2012/index.php</t>
  </si>
  <si>
    <t>https://link.springer.com/content/pdf/10.1023/a:1010933404324.pdf</t>
  </si>
  <si>
    <t>Leo Breiman, UC Berkeley</t>
  </si>
  <si>
    <t>Random Forests. Mach Learn 2001(45):5-32</t>
  </si>
  <si>
    <t>Alex Krizhevsky, Ilya Sutskever, Geoffrey E Hinton</t>
  </si>
  <si>
    <t>Imagenet classification with deep convolutional neural networks. Communications of the ACM 2017. Originally presented NIPS 2012.</t>
  </si>
  <si>
    <t>Summary</t>
  </si>
  <si>
    <t>Berg, A., Deng, J., Fei-Fei, L. Large scale visual recognition challenge 2010</t>
  </si>
  <si>
    <t>2011-1</t>
  </si>
  <si>
    <t>High-Performance Neural Networks for Visual Object Classification. arXiv 2/1/2011.</t>
  </si>
  <si>
    <t>Dan C. Ciresan, Ueli Meier, Jonathan Masci, Luca M. Gambardella, Jurgen Schmidhuber (IDSIA)</t>
  </si>
  <si>
    <t>https://arxiv.org/pdf/1102.0183.pdf</t>
  </si>
  <si>
    <t>2012-4</t>
  </si>
  <si>
    <t>Multi-column Deep Neural Networks for Image Classification</t>
  </si>
  <si>
    <t>https://arxiv.org/pdf/1202.2745.pdf</t>
  </si>
  <si>
    <t>Dan Ciresan, Ueli Meier, Jurgen Schmidhuber</t>
  </si>
  <si>
    <t>ImageNet: A large-scale hierarchical image database. IEEE Conf Comput Vis Patt Recog 2009</t>
  </si>
  <si>
    <t>Jia Deng, Wei Dong, Richard Socher, Li-Jia Li, Kai Li, Li Fei-Fei (Princeton)</t>
  </si>
  <si>
    <t>https://ailibrary.s3.amazonaws.com/ImageNet+-+A+Large-Scale+Hierarchical+Image+Database+-+Deng+et+al+2009.pdf</t>
  </si>
  <si>
    <t>2009-3</t>
  </si>
  <si>
    <t>Tortoise</t>
  </si>
  <si>
    <t>SpearTTS</t>
  </si>
  <si>
    <t>https://google-research.github.io/seanet/speartts/examples/</t>
  </si>
  <si>
    <t>https://github.com/lucidrains/spear-tts-pytorch</t>
  </si>
  <si>
    <t>SoundStorm</t>
  </si>
  <si>
    <t>Minsky.ai</t>
  </si>
  <si>
    <t>https://ailibrary.s3.amazonaws.com/Learning+Generative+Visual+Models+from+Few+Training+Examples+-+An+Incremental+Bayesian+Approach+Tested+on+101+Object+Categories+-+Fei-Fei+et+al+CVPR+2004.pdf</t>
  </si>
  <si>
    <t>2004-2</t>
  </si>
  <si>
    <t>Li Fei-Fei (Caltech), Rob Fergus, Pietro Perona</t>
  </si>
  <si>
    <t>Learning Generative Visual Models from Few Training Examples: An Incremental Bayesian Approach Tested on 101 Object Categories. CVPRW 2004. Comput. Vision Image Understanding 106, 1 (2007), 59–70.</t>
  </si>
  <si>
    <t>https://ailibrary.s3.amazonaws.com/Learning+generative+visual+models+from+few+training+examples+-+An+incremental+Bayesian+approach+tested+on+101+object+categories.+Fei-Fei+et+al.+2007.pdf</t>
  </si>
  <si>
    <t>1980-1</t>
  </si>
  <si>
    <t>https://ailibrary.s3.amazonaws.com/Neocognitron+-+Fukushima+1980.pdf</t>
  </si>
  <si>
    <t>Read</t>
  </si>
  <si>
    <t>Fukushima, K</t>
  </si>
  <si>
    <t>Neocognitron: A self-organizing neural network model for a mechanism of pattern recognition unaffected by shift in position. Biol. Cybern. 36, 4 (1980), 193–202.</t>
  </si>
  <si>
    <t>Ashish Vaswani, Noam Shazeer, Niki Parmar, Jakob Uszkoreit, Llion Jones, Aidan Gomez, Lukasz Kaiser, Illia Polosukhin. (Google)</t>
  </si>
  <si>
    <t>Attention Is All You Need. arXiv December 2017. Adv NIPS 2017, 6000-6010.</t>
  </si>
  <si>
    <t>Greg Griffin, Alex Holub, Pietro Perona</t>
  </si>
  <si>
    <t>Caltech-256 Object Recognition Dataset. 2007.</t>
  </si>
  <si>
    <t>https://ailibrary.s3.amazonaws.com/Caltech-256+Object+Recognition+Dataset+2007.pdf</t>
  </si>
  <si>
    <t>2007-2</t>
  </si>
  <si>
    <t>Deep Residual Learning for Image Recognition</t>
  </si>
  <si>
    <t>https://arxiv.org/pdf/1512.03385.pdf</t>
  </si>
  <si>
    <t>Kaiming He, Xiangyu Zhang, Shaoqing Ren, Jian Sun</t>
  </si>
  <si>
    <t>2015-8</t>
  </si>
  <si>
    <t>2012-5</t>
  </si>
  <si>
    <t>https://arxiv.org/pdf/1207.0580.pdf</t>
  </si>
  <si>
    <t>Geoffrey E. Hinton, N. Srivastava, A. Krizhevsky, Ilya Sutskever, RR Salakhutdinov</t>
  </si>
  <si>
    <t>Improving neural networks by prevening co-adaptation of deature detectors. arXiv 7/3/2012.</t>
  </si>
  <si>
    <t>https://ailibrary.s3.amazonaws.com/What+is+the+best+multi-stage+architecture+for+object+recognition+-+Jarrett+ICCV+2009.pdf</t>
  </si>
  <si>
    <t>What is the best multi-stage architecture for object recognition?</t>
  </si>
  <si>
    <t>Kevin Jarrett, Koray Kavukcuoglu, Marc Aurelio Ranzato, Yann LeCun (NYU)</t>
  </si>
  <si>
    <t>2009-4</t>
  </si>
  <si>
    <t>Sold DNN Research to Google. Hinton PhD.</t>
  </si>
  <si>
    <t>Received PhD under Geoffrey Hinton. Sold his startup, DNN Research, to Google (2013-2017). Left Google to join Dessa. Unclear what he is doing now, possibly venture, but not AI. Created CIFAR-10 and CIFAR-100.</t>
  </si>
  <si>
    <t>Convolutional Deep Belief Networks on CIFAR-10</t>
  </si>
  <si>
    <t>https://www.cs.toronto.edu/~kriz/conv-cifar10-aug2010.pdf</t>
  </si>
  <si>
    <t>2010-5</t>
  </si>
  <si>
    <t>Using Very Deep Autoencoders for Content-Based Image Retrieval</t>
  </si>
  <si>
    <t>https://www.cs.toronto.edu/~hinton/absps/esann-deep-final.pdf</t>
  </si>
  <si>
    <t>Alex Krizhevsky, Geoffrey E Hinton</t>
  </si>
  <si>
    <t>2011-2</t>
  </si>
  <si>
    <t>Handwritten Digit Recognition with a Back-Propagation Network.</t>
  </si>
  <si>
    <t>https://proceedings.neurips.cc/paper/1989/file/53c3bce66e43be4f209556518c2fcb54-Paper.pdf</t>
  </si>
  <si>
    <t>Yann LeCun, B. Boser, JS Denker, D Henderson, RE Howard, W Hubbard, LD Jackel (Bell Labs)</t>
  </si>
  <si>
    <t>1990-2</t>
  </si>
  <si>
    <t>Learning Methods for Generic Object Recognition with Invariance to Pose and Lighting. CVPR 2004.</t>
  </si>
  <si>
    <t>Yann LeCun, Fu Jie Huang, Leon Bottou</t>
  </si>
  <si>
    <t>https://ailibrary.s3.amazonaws.com/Learning+Methods+for+Generic+Object+Recognition+with+Invariance+to+Pose+and+Lighting+-+LeCun+2004.pdf</t>
  </si>
  <si>
    <t>2004-3</t>
  </si>
  <si>
    <t>Not AI, just a drug company</t>
  </si>
  <si>
    <t>Harrison.ai</t>
  </si>
  <si>
    <t>Atomico, Intel Capital, Global Brain Corporation, Balderton Capital, b2venture, Amadeus Capital, Jonathan Milner</t>
  </si>
  <si>
    <t>Gideon Mendels, Nimrod Lahav</t>
  </si>
  <si>
    <t>StormForge</t>
  </si>
  <si>
    <t>OpenView, Two Sigma, Trilogy Equity Partners, Scale Venture Partners</t>
  </si>
  <si>
    <t>OpenView</t>
  </si>
  <si>
    <t>Trilogy Equity Partners</t>
  </si>
  <si>
    <t>Scale, Trilogy, Two Sigma</t>
  </si>
  <si>
    <t>Two Sigma, Trilogy, Founders' Co-Op</t>
  </si>
  <si>
    <t>Founders' Co-op</t>
  </si>
  <si>
    <t>Trilogy, Union Bay, Two Sigma, Techstars, Founders' Co-op, Fathom Capital</t>
  </si>
  <si>
    <t>Union Bay Partners</t>
  </si>
  <si>
    <t>Amazon Alexa Fund, Techstars</t>
  </si>
  <si>
    <t>Last Update</t>
  </si>
  <si>
    <t>https://github.com/neonbjb/tortoise-tts</t>
  </si>
  <si>
    <t>Tortoise Fast</t>
  </si>
  <si>
    <t>https://github.com/152334H/tortoise-tts-fast</t>
  </si>
  <si>
    <t>KV Cache, New Diffusion Model</t>
  </si>
  <si>
    <t>Repo</t>
  </si>
  <si>
    <t>Rime</t>
  </si>
  <si>
    <t>https://github.com/jaywalnut310/vits</t>
  </si>
  <si>
    <t>SC-VITS</t>
  </si>
  <si>
    <t>https://github.com/hcy71o/SC-VITS</t>
  </si>
  <si>
    <t>VITS-fast-fine-tuning</t>
  </si>
  <si>
    <t>https://github.com/Plachtaa/VITS-fast-fine-tuning</t>
  </si>
  <si>
    <t>So-Vits-SVC</t>
  </si>
  <si>
    <t>https://github.com/svc-develop-team/so-vits-svc</t>
  </si>
  <si>
    <t>Unofficial</t>
  </si>
  <si>
    <t>mimic3</t>
  </si>
  <si>
    <t>https://github.com/MycroftAI/mimic3</t>
  </si>
  <si>
    <t>Expert Robotics LLC</t>
  </si>
  <si>
    <t>lawgtp.com</t>
  </si>
  <si>
    <t>Dalai</t>
  </si>
  <si>
    <t>https://github.com/cocktailpeanut/dalai</t>
  </si>
  <si>
    <t>DeepSpeed</t>
  </si>
  <si>
    <t>https://github.com/microsoft/DeepSpeed</t>
  </si>
  <si>
    <t>FastChat</t>
  </si>
  <si>
    <t>https://github.com/lm-sys/FastChat</t>
  </si>
  <si>
    <t>vLLM</t>
  </si>
  <si>
    <t>https://github.com/vllm-project/vllm</t>
  </si>
  <si>
    <t>LangChain</t>
  </si>
  <si>
    <t>https://github.com/hwchase17/langchain</t>
  </si>
  <si>
    <t>LLaMA.cpp</t>
  </si>
  <si>
    <t>https://github.com/ggerganov/llama.cpp</t>
  </si>
  <si>
    <t>Gerganov</t>
  </si>
  <si>
    <t>http://code.google.com/p/cuda-convnet/.</t>
  </si>
  <si>
    <t>CUDA-Convnet</t>
  </si>
  <si>
    <t>Harvard (MBA)</t>
  </si>
  <si>
    <t>NYU (MBA)</t>
  </si>
  <si>
    <t>Scale lead. Execution lead for GPT-4</t>
  </si>
  <si>
    <t>ex-Rigetti</t>
  </si>
  <si>
    <t>Stanford (PhD, Physics)</t>
  </si>
  <si>
    <t>ex-Nvidia</t>
  </si>
  <si>
    <t>Harvard (PhD, CS)</t>
  </si>
  <si>
    <t>MIT (BS)</t>
  </si>
  <si>
    <t>Former Head of Infrastructure &amp; Founding Engineer</t>
  </si>
  <si>
    <t>ex-Duolingo</t>
  </si>
  <si>
    <t>CMU (BS)</t>
  </si>
  <si>
    <t>ex-Intel</t>
  </si>
  <si>
    <t>U Toronto (PhD CS)</t>
  </si>
  <si>
    <t>Toki Sherbakov</t>
  </si>
  <si>
    <t>ex-Palantir</t>
  </si>
  <si>
    <t>ex-Stuntbot</t>
  </si>
  <si>
    <t>ex-WhatsApp, Google</t>
  </si>
  <si>
    <t>Co-founded Robotics team</t>
  </si>
  <si>
    <t>ex-Tesla</t>
  </si>
  <si>
    <t>ex-YC</t>
  </si>
  <si>
    <t>Rubik's Cube (10/16/19), https://twitter.com/l32zhang?lang=en</t>
  </si>
  <si>
    <t>https://leiz86.github.io/</t>
  </si>
  <si>
    <t>ex-Nanoleaf</t>
  </si>
  <si>
    <t>Co-Founder of Deepmind</t>
  </si>
  <si>
    <t>Alexander Watson, Ali Golshan, John Myers, Laszlo Bock</t>
  </si>
  <si>
    <t>Section 32, Moonshots Capital, Greylock, Anthos Capital</t>
  </si>
  <si>
    <t>Anthos Capital</t>
  </si>
  <si>
    <t>Gretel.ai</t>
  </si>
  <si>
    <t>Moonshots Capital</t>
  </si>
  <si>
    <t>Greylock, Moonshots</t>
  </si>
  <si>
    <t>Village Global, Moonshots Capital</t>
  </si>
  <si>
    <t>Moonshots, Village, Greylock</t>
  </si>
  <si>
    <t>Convolutional Networks and Applications in Vision. IEEE Int Symp Circ Sys (ISCAS 2010)</t>
  </si>
  <si>
    <t>Yann LeCun, Koray Kavukcuoglu, Clement Farabet</t>
  </si>
  <si>
    <t>https://ailibrary.s3.amazonaws.com/Convolutional+Networks+and+Applications+in+Vision+-+LeCun+2010.pdf</t>
  </si>
  <si>
    <t>2010-6</t>
  </si>
  <si>
    <t>https://web.eecs.umich.edu/~honglak/icml09-ConvolutionalDeepBeliefNetworks.pdf</t>
  </si>
  <si>
    <t>Convolutional Deep Belief Networks for Scalable Unsupervised Learning of Hierarchical Representations</t>
  </si>
  <si>
    <t>Honglak Lee, Roger Grosse, Rajesh Ranganath, Andrew Y Ng (Stanford)</t>
  </si>
  <si>
    <t>2009-5</t>
  </si>
  <si>
    <t>1976-1</t>
  </si>
  <si>
    <t>Seppo Linnainmaa</t>
  </si>
  <si>
    <t>Taylor expansion of the accumulated rounding error. Bit 16 (1976), 146-160</t>
  </si>
  <si>
    <t>https://ailibrary.s3.amazonaws.com/Taylor+expansion+of+the+accumulated+rounding+error+-+Linnainmaa+1976.pdf</t>
  </si>
  <si>
    <t>Gordon Wilson, Jack Kendall, Juan Nino</t>
  </si>
  <si>
    <t>Jobbatical</t>
  </si>
  <si>
    <t>In-memory + memristor</t>
  </si>
  <si>
    <t>Prosperity7 Ventures, Pioneer Fund, Loup Ventures, Helium-3 Ventures, Gaingels, Buckley Ventures, Vishal Rao, Guillaume Glaunes, George Godula</t>
  </si>
  <si>
    <t>Prosperity7 Ventures</t>
  </si>
  <si>
    <t>Rain.ai</t>
  </si>
  <si>
    <t>Pioneer Fund</t>
  </si>
  <si>
    <t>Loup Ventures</t>
  </si>
  <si>
    <t>Helium-3 Ventures</t>
  </si>
  <si>
    <t>10X Capital, George Godula</t>
  </si>
  <si>
    <t>Asymmetry Ventures</t>
  </si>
  <si>
    <t>Four Cities Capital</t>
  </si>
  <si>
    <t>Y Combinator, Soma Capital, Pegasus Tech Ventures, Loup Ventures, Liquid 2 Ventures, FundersClub, FoundersX Ventures, Airbus Ventures</t>
  </si>
  <si>
    <t>Rain</t>
  </si>
  <si>
    <t>FundersClub</t>
  </si>
  <si>
    <t>FoundersX Ventures</t>
  </si>
  <si>
    <t>Airbus Ventures</t>
  </si>
  <si>
    <t>instruction fine-tuning</t>
  </si>
  <si>
    <t>Supervised learning technique endows LLM with instruction-following capability. Widely-used example is Alpaca 52k.</t>
  </si>
  <si>
    <t>https://lichang-chen.github.io/AlpaGasus/</t>
  </si>
  <si>
    <t>AlpaGasus</t>
  </si>
  <si>
    <t>WizardLM</t>
  </si>
  <si>
    <t>Koala</t>
  </si>
  <si>
    <t>Vicuna</t>
  </si>
  <si>
    <t>Armada</t>
  </si>
  <si>
    <t>armada.ai</t>
  </si>
  <si>
    <t>Stable Beluga 2</t>
  </si>
  <si>
    <t>https://huggingface.co/stabilityai/StableBeluga2</t>
  </si>
  <si>
    <t>Generative Agents</t>
  </si>
  <si>
    <t>https://github.com/joonspk-research/generative_agents</t>
  </si>
  <si>
    <t>Text-davinci-003 teacher on LLaMa</t>
  </si>
  <si>
    <t>https://github.com/gururise/AlpacaDataCleaned/</t>
  </si>
  <si>
    <t>AlpacaDataCleaned</t>
  </si>
  <si>
    <t>Stars</t>
  </si>
  <si>
    <t>Alpaca</t>
  </si>
  <si>
    <t>https://github.com/tatsu-lab/stanford_alpaca</t>
  </si>
  <si>
    <t>https://huggingface.co/EleutherAI/gpt-j-6b</t>
  </si>
  <si>
    <t>https://github.com/nlpxucan/WizardLM</t>
  </si>
  <si>
    <t>https://github.com/young-geng/EasyLM/tree/main</t>
  </si>
  <si>
    <t>https://huggingface.co/lmsys/vicuna-13b-delta-v1.1</t>
  </si>
  <si>
    <t>Davinci</t>
  </si>
  <si>
    <t>Early OpenAI model</t>
  </si>
  <si>
    <t>Anthropic LLM</t>
  </si>
  <si>
    <t>Bard</t>
  </si>
  <si>
    <t>Chen et al.</t>
  </si>
  <si>
    <t>https://arxiv.org/abs/2307.08701</t>
  </si>
  <si>
    <t>Hong Wang, Xuan Luo, Weizhi Wang, and Xifeng Yan</t>
  </si>
  <si>
    <t>PaLM 2 Technical Report arXiv 5/17/23</t>
  </si>
  <si>
    <t>Anil et al. (Google)</t>
  </si>
  <si>
    <t>https://arxiv.org/abs/2305.10403</t>
  </si>
  <si>
    <t>https://arxiv.org/abs/2305.06424</t>
  </si>
  <si>
    <t>2023-PaLM2</t>
  </si>
  <si>
    <t>2023-Alpagasus</t>
  </si>
  <si>
    <t>https://www.aiweirdness.com/optimum-tic-tac-toe/</t>
  </si>
  <si>
    <t>https://arxiv.org/pdf/2112.00861.pdf</t>
  </si>
  <si>
    <t>Askell et al. (Anthropic)</t>
  </si>
  <si>
    <t>https://arxiv.org/pdf/2212.08073.pdf</t>
  </si>
  <si>
    <t>Bai et al.</t>
  </si>
  <si>
    <t>Constituional AI: Harmlessness from AI feedback. arXiv 12/15/2022</t>
  </si>
  <si>
    <t>Ayush Kaushal and Kyle Mahowald</t>
  </si>
  <si>
    <t>2023-PaLM2, 2021-Anthropic, 2022-Anthropic</t>
  </si>
  <si>
    <t>Bisk et al.</t>
  </si>
  <si>
    <t>PIQA: Reasoning about Physical Commonsense in Natural Language. arXiv 11/26/2019</t>
  </si>
  <si>
    <t>https://arxiv.org/abs/1911.11641</t>
  </si>
  <si>
    <t>https://www.researchgate.net/publication/369233842_It_Takes_One_to_Tango_but_More_Make_Trouble_In-Context_Training_with_Different_Number_of_Demonstrations/fulltext/64113655a1b72772e4fad48c/It-Takes-One-to-Tango-but-More-Make-Trouble-In-Context-Training-with-Different-Number-of-Demonstrations.pdf</t>
  </si>
  <si>
    <t>It Takes One to Tango but More Make Trouble?: In-Context Training with Different Number of Demonstrations. ResearchGate 3/14/2023</t>
  </si>
  <si>
    <t>SaneBox</t>
  </si>
  <si>
    <t>Olympia</t>
  </si>
  <si>
    <t>Sam Liang, Yun Fu</t>
  </si>
  <si>
    <t>Treeswift</t>
  </si>
  <si>
    <t>Spectrum Equity, Slow Ventures, NTT Docomo, Horizons Ventures, H. Barton, Gutbrain, GGV, Fusion Fund, Duke Angel, Draper</t>
  </si>
  <si>
    <t>Spectrum Equity</t>
  </si>
  <si>
    <t>Horizons Ventures</t>
  </si>
  <si>
    <t>Gutbrain Ventures</t>
  </si>
  <si>
    <t>Duke Angel Network</t>
  </si>
  <si>
    <t>Meeting transcription</t>
  </si>
  <si>
    <t>Horizons Ventures, Draper, Bridgewater, Bart Swanson</t>
  </si>
  <si>
    <t>Bridgewater</t>
  </si>
  <si>
    <t>Draper, Slow Ventures, SV Tech Ventures, 500 Global, DHVC, Edith Yeung, David Cheriton</t>
  </si>
  <si>
    <t>SV Tech Ventures</t>
  </si>
  <si>
    <t>DHVC</t>
  </si>
  <si>
    <t>www.arthur.ai</t>
  </si>
  <si>
    <t>Adam Wenchel, John Dickerson, Liz O’Sullivan, Priscilla Alexander</t>
  </si>
  <si>
    <t>ML Monitoring</t>
  </si>
  <si>
    <t>Greycroft, Acrew Capital, Work-Bench, Plexo Capital, Index Ventures, BAM Elevate</t>
  </si>
  <si>
    <t>Acrew</t>
  </si>
  <si>
    <t>Work-Bench</t>
  </si>
  <si>
    <t>Plexo Capital</t>
  </si>
  <si>
    <t>Index Ventures, Plexo Capital, Work-Bench, Homebrew, AME Ventures, Acrew Capital</t>
  </si>
  <si>
    <t>A.M.E. Ventures</t>
  </si>
  <si>
    <t>Work-Bench, Index Ventures, Hunter Walk, Jerry Yang</t>
  </si>
  <si>
    <t>www.leapyear.io</t>
  </si>
  <si>
    <t>Not ML/AI</t>
  </si>
  <si>
    <t>Acquired by SnowFlake</t>
  </si>
  <si>
    <t>www.springdiscovery.com</t>
  </si>
  <si>
    <t>www.paralleldomain.com</t>
  </si>
  <si>
    <t>www.impira.com</t>
  </si>
  <si>
    <t>AI life sciences tools</t>
  </si>
  <si>
    <t>Life Sciences</t>
  </si>
  <si>
    <t>Ben Kamens</t>
  </si>
  <si>
    <t>General Catalyst, First Round Capital, ZhenFund, The Longevity Fund, Susa Ventures, SciFi VC, Quiet Capital, Felicis, Caffeinated Capital, Elad Gil, Chloe Sladden</t>
  </si>
  <si>
    <t>The Longevity Fund</t>
  </si>
  <si>
    <t>Susa Ventures</t>
  </si>
  <si>
    <t>SciFi VC</t>
  </si>
  <si>
    <t>The Longevity Fund, Sam Altman, Joe Betts-Lacroix, Greg Brockman, General Catalyst, First Round Capital, Felicis, Elad Gil, Caffeinated Capital, Avichal Garg</t>
  </si>
  <si>
    <t>Adam Kamor, Andrew Colombi, Ian Coe, Karl Hanson</t>
  </si>
  <si>
    <t>www.tonic.ai</t>
  </si>
  <si>
    <t>Insight Partners, Octave, Heavybit</t>
  </si>
  <si>
    <t>Octave</t>
  </si>
  <si>
    <t>Tonic.ai</t>
  </si>
  <si>
    <t>Heavybit</t>
  </si>
  <si>
    <t>GGV Capital, Xfund, Silicon Valley CISO Investments, Octave, Heavybit, Bloomberg Bta, Augusto Marietti, Assaf Wand, Anthony Goldbloom</t>
  </si>
  <si>
    <t>Xfund</t>
  </si>
  <si>
    <t>Silicon Valley CISO Investments</t>
  </si>
  <si>
    <t>Xfund, Octave, Heavybit, Bloomberg Beta</t>
  </si>
  <si>
    <t>Kevin McNamara</t>
  </si>
  <si>
    <t>Data</t>
  </si>
  <si>
    <t>March Capital, Ubiquity Ventures, Foundry Group, Costanoa Ventures, Calibrate Ventures</t>
  </si>
  <si>
    <t>Foundry Group, Toyota Ventures, Costanoa Ventures, Calibrate Ventures, Ubiquity Ventures</t>
  </si>
  <si>
    <t>Ubiquity Ventures</t>
  </si>
  <si>
    <t>Foundry Group</t>
  </si>
  <si>
    <t>Calibrate Ventures</t>
  </si>
  <si>
    <t>Ubiquity, Costanoa, Toyota, RRE Ventures</t>
  </si>
  <si>
    <t>Auto-related?</t>
  </si>
  <si>
    <t>RRE Ventures</t>
  </si>
  <si>
    <t>Ankur Goyal, Richard Stebbing</t>
  </si>
  <si>
    <t>NoCode</t>
  </si>
  <si>
    <t>Ran out of $?</t>
  </si>
  <si>
    <t>Lightspeed, General Catalyst, Coatue, Next Play Capital</t>
  </si>
  <si>
    <t>Next Play Ventures/Capital</t>
  </si>
  <si>
    <t>Lightspeed, General Catalyst, Human Capital</t>
  </si>
  <si>
    <t>https://arxiv.org/abs/2306.03082</t>
  </si>
  <si>
    <t>Chen et al</t>
  </si>
  <si>
    <t>Nguyen-Phuoc et al</t>
  </si>
  <si>
    <t>https://arxiv.org/abs/2305.19245</t>
  </si>
  <si>
    <t>AlteredAvatar: Stylizing Dynamic 3D Avatars with Fast Style Adaptation. arXiv 5/30/2023.</t>
  </si>
  <si>
    <t>https://arxiv.org/abs/2305.10601</t>
  </si>
  <si>
    <t>https://arxiv.org/abs/2303.12712</t>
  </si>
  <si>
    <t>Sparks of Artificial General Intelligence: Early experiments with GPT-4,” 3/22/2023, arXiv:2303.12712</t>
  </si>
  <si>
    <t>https://arxiv.org/pdf/2306.01930.pdf</t>
  </si>
  <si>
    <t>https://arxiv.org/abs/2305.02424</t>
  </si>
  <si>
    <t>PTP: Boosting Stability and Performance of Prompt Tuning with Perturbation-Based Regularizer. 5/3/2023, arXiv</t>
  </si>
  <si>
    <t>https://arxiv.org/abs/2305.02423</t>
  </si>
  <si>
    <t>INSTRUCTEVAL: Towards Holistic Evaluation of Instruction-Tuned Large Language Models. arXiv 6/7/2023</t>
  </si>
  <si>
    <t>InstructZero: Efficient Instruction Optimization for Black-Box Large Language Models. arXiv 6/5/2023</t>
  </si>
  <si>
    <t>Chia et al</t>
  </si>
  <si>
    <t>https://arxiv.org/abs/2306.04757</t>
  </si>
  <si>
    <t>https://lmsys.org/blog/2023-03-30-vicuna/</t>
  </si>
  <si>
    <t>https://bpb-us-w2.wpmucdn.com/sites.gatech.edu/dist/b/1653/files/2020/10/data-cleaning-sigmod-tutorial.pdf</t>
  </si>
  <si>
    <t>Chu et al.</t>
  </si>
  <si>
    <t>Data Cleaning: Overview and Emerging Challenges. SIGMOD 2016.</t>
  </si>
  <si>
    <t>Scaling Instruction-Finetuned Language Models. arXiv 10/20/2022</t>
  </si>
  <si>
    <t>Chung et al</t>
  </si>
  <si>
    <t>https://arxiv.org/abs/2210.11416</t>
  </si>
  <si>
    <t>What do tokens know about their characters and how do they know it?”, 6/6/2022, arXiv:2206.02608</t>
  </si>
  <si>
    <t>https://arxiv.org/abs/2206.02608</t>
  </si>
  <si>
    <t>Aakanksha Chowdhery, Sharan Narang, Jacob Devlin, Maarten Bosma, Gaurav Mishra, Adam Roberts, Paul Barham, Hyung Won Chung, Charles Sutton, Sebastian Gehrmann, Parker Schuh, Kensen Shi, Sasha Tsvyashchenko, Joshua Maynez, Abhishek Rao, Parker Barnes, Yi T</t>
  </si>
  <si>
    <t>Switch transformers: scaling to trillion parameter models with simple and efficient sparsity. arXiv 1/11/2021, two revisions</t>
  </si>
  <si>
    <t>https://arxiv.org/abs/2101.03961</t>
  </si>
  <si>
    <t>Palm: scaling language modeling with pathways. arXiv 4/5/2022</t>
  </si>
  <si>
    <t>A General Language Assistant as a Laboratory for Alignment. arXiv 12/1/2021</t>
  </si>
  <si>
    <t>Enhancing Chat Language Models by Scaling High-quality Instructional Conversations. arXiv 5/23/2023</t>
  </si>
  <si>
    <t>Ding et al</t>
  </si>
  <si>
    <t>https://arxiv.org/abs/2305.14233</t>
  </si>
  <si>
    <t>Dolly</t>
  </si>
  <si>
    <t>https://www.databricks.com/blog/2023/04/12/dolly-first-open-commercially-viable-instruction-tuned-llm</t>
  </si>
  <si>
    <t>AlpacaFarm: A Simulation Framework for Methods that Learn from Human Feedback. arXiv 5/22/2023</t>
  </si>
  <si>
    <t>Dubois et al.</t>
  </si>
  <si>
    <t>https://arxiv.org/abs/2305.14387</t>
  </si>
  <si>
    <t>LM Evaluation Harness</t>
  </si>
  <si>
    <t>https://github.com/EleutherAI/lm-evaluation-harness/tree/v0.3.0</t>
  </si>
  <si>
    <t>Leo Gao, John Schulman, Jacob Hilton (OpenAI)</t>
  </si>
  <si>
    <t>Scaling Laws for Reward Model Overoptimization. arXiv 10/19/2022</t>
  </si>
  <si>
    <t>https://arxiv.org/abs/2210.10760</t>
  </si>
  <si>
    <t>https://bair.berkeley.edu/blog/2023/04/03/koala/</t>
  </si>
  <si>
    <t>A Path Towards Autonomous Machine Intelligence. Openreview.net V0.9.2, 6/27/2022</t>
  </si>
  <si>
    <t>Data-Centric AI Requires Rethinking Data Notion. arXiv 10/6/2021</t>
  </si>
  <si>
    <t>Hajij et al</t>
  </si>
  <si>
    <t>https://arxiv.org/abs/2110.02491</t>
  </si>
  <si>
    <t>Deep learning with Python, 2nd Edition. Manning 2021.</t>
  </si>
  <si>
    <t>https://ailibrary.s3.amazonaws.com/Franc%CC%A7ois+Chollet+-+Deep+Learning+with+Python-Manning+Publications+(2021).pdf</t>
  </si>
  <si>
    <t>https://arxiv.org/abs/2102.12092</t>
  </si>
  <si>
    <t>Zero-shot text-to-image generation. arXiv 2/24/2021</t>
  </si>
  <si>
    <t>Measuring Massive Multitask Language Understanding. arXiv 9/7/2020</t>
  </si>
  <si>
    <t>Hendrycks et al.</t>
  </si>
  <si>
    <t>https://arxiv.org/abs/2009.03300</t>
  </si>
  <si>
    <t>https://arxiv.org/abs/1908.08530</t>
  </si>
  <si>
    <t>VL-BERT: Pre-training of Generic Visual-Linguistic Representations. arXiv 8/22/2019</t>
  </si>
  <si>
    <t>https://arxiv.org/abs/1910.10683</t>
  </si>
  <si>
    <t>Exploring the limits of transfer learning with a unified text-to-text transformer. arXiv 10/23/2019</t>
  </si>
  <si>
    <t>Dota 2 with large scale deep reinforcement learning. arXiv preprint arXiv:1912.06680, 12/13/2019</t>
  </si>
  <si>
    <t>Look at the First Sentence: Position Bias in Question Answering. arXiv 4/30/20</t>
  </si>
  <si>
    <t>Ko et al.</t>
  </si>
  <si>
    <t>https://arxiv.org/abs/2004.14602</t>
  </si>
  <si>
    <t>OpenAssistant Conversations -- Democratizing LLM Alignment. arXiv 4/14/2023</t>
  </si>
  <si>
    <t>Backdoor Learning on Sequence to Sequence Models. arXiv 5/3/2023</t>
  </si>
  <si>
    <t>Kopf et al</t>
  </si>
  <si>
    <t>https://arxiv.org/abs/2304.07327</t>
  </si>
  <si>
    <t>https://github.com/tatsu-lab/alpaca_eval</t>
  </si>
  <si>
    <t>Alpaca-Eval</t>
  </si>
  <si>
    <t>Liang et al</t>
  </si>
  <si>
    <t>https://arxiv.org/abs/2211.09110</t>
  </si>
  <si>
    <t>Holistic Evaluation of Language Models. arXiv 11/16/2022</t>
  </si>
  <si>
    <t>Liu et al</t>
  </si>
  <si>
    <t>https://arxiv.org/abs/1907.11692</t>
  </si>
  <si>
    <t>Longpre et al</t>
  </si>
  <si>
    <t>https://arxiv.org/abs/2301.13688</t>
  </si>
  <si>
    <t>WizardCoder: Empowering Code LLMs with Evol-Instruct. arXiv 6/14/2023</t>
  </si>
  <si>
    <t>Alpagasus - Training a Better Alpaca with Fewer Data. Arxiv 7/17/2023</t>
  </si>
  <si>
    <t>Luo et al</t>
  </si>
  <si>
    <t>https://arxiv.org/abs/2306.08568</t>
  </si>
  <si>
    <t>Janelle Shane</t>
  </si>
  <si>
    <t>Optimum tic-tac-toe. email newsletter received 5/26/2023.</t>
  </si>
  <si>
    <t>The Five-Dollar Model: Generating Game Maps and Sprites from Sentence Embeddings. arXiv 8/8/2023</t>
  </si>
  <si>
    <t>https://arxiv.org/abs/2308.04052</t>
  </si>
  <si>
    <t>Merino et al</t>
  </si>
  <si>
    <t>RoBERTa: A Robustly Optimized BERT Pretraining Approach. arXiv 7/26/2019</t>
  </si>
  <si>
    <t>Superhuman AI for multiplayer poker. Science, 365(6456):
885–890, 7/11/2019</t>
  </si>
  <si>
    <t>A Data-Centric Approach for Training DNNs with Less Data. arXiv 10/7/2021</t>
  </si>
  <si>
    <t>Motamedi et al.</t>
  </si>
  <si>
    <t>https://arxiv.org/abs/2110.03613</t>
  </si>
  <si>
    <t>GPT-4 Technical Report. arXiv 3/15/2023</t>
  </si>
  <si>
    <t>https://arxiv.org/abs/2303.08774</t>
  </si>
  <si>
    <t>Training language models to follow instructions with human feedback. arXiv 3/4/2022</t>
  </si>
  <si>
    <t>Ouyang et al</t>
  </si>
  <si>
    <t>https://arxiv.org/abs/2203.02155</t>
  </si>
  <si>
    <t>Peng et al</t>
  </si>
  <si>
    <t>https://arxiv.org/abs/2304.03277</t>
  </si>
  <si>
    <t>Instruction Tuning with GPT-4. arXiv 4/6/2023</t>
  </si>
  <si>
    <t>ShareGPT</t>
  </si>
  <si>
    <t>The Flan Collection: Designing Data and Methods for Effective Instruction Tuning. arXiv 1/31/2023</t>
  </si>
  <si>
    <t>LLaMA: Open and Efficient Foundation Language Models. arXiv 2/27/2023</t>
  </si>
  <si>
    <t>https://arxiv.org/abs/2302.13971</t>
  </si>
  <si>
    <t>Touvron et al.</t>
  </si>
  <si>
    <t>LLMs are not fair evaluators. arXiv 5/29/2023</t>
  </si>
  <si>
    <t>Wang et al</t>
  </si>
  <si>
    <t>https://arxiv.org/abs/2305.17926</t>
  </si>
  <si>
    <t>Wang et al. (Google)</t>
  </si>
  <si>
    <t>Wang et al.</t>
  </si>
  <si>
    <t>https://arxiv.org/abs/2212.10560</t>
  </si>
  <si>
    <t>WizardLM: Empowering LLMs to Follow Complex Instructions. arXiv 4/24/2023</t>
  </si>
  <si>
    <t>https://arxiv.org/abs/2304.12244</t>
  </si>
  <si>
    <t>Xu et al</t>
  </si>
  <si>
    <t>Data-centric AI: A Survey. arXiv 3/17/2023</t>
  </si>
  <si>
    <t>Zha et al</t>
  </si>
  <si>
    <t>https://arxiv.org/abs/2303.10158</t>
  </si>
  <si>
    <t>Judging LLM-as-a-judge with MT-Bench and Chatbot Arena. arXiv 6/9/2023</t>
  </si>
  <si>
    <t>Zheng et al</t>
  </si>
  <si>
    <t>https://arxiv.org/abs/2306.05685</t>
  </si>
  <si>
    <t>LIMA: Less is More for Alignment. arXiv 5/18/2023</t>
  </si>
  <si>
    <t>https://arxiv.org/abs/2305.11206</t>
  </si>
  <si>
    <t>Marketing Messaging/Copy</t>
  </si>
  <si>
    <t>www.anyword.com</t>
  </si>
  <si>
    <t>Arnon Joseph, Yaniv Makover</t>
  </si>
  <si>
    <t>Marketing</t>
  </si>
  <si>
    <t>Innovation Endeavors, Matias Ventures, Gandyr Group, Tomer Tagrin, Tomer Cohen, Omer Kaplan, Nir Eyal, Michael Ronan, Howard Lerman, Amir Orad</t>
  </si>
  <si>
    <t>Innovation Endeavors</t>
  </si>
  <si>
    <t>Gandyr Group</t>
  </si>
  <si>
    <t>Innovation Endeavors, Marker, UpWest, New York Times, Gandyr Group</t>
  </si>
  <si>
    <t>Marker</t>
  </si>
  <si>
    <t>New York Times</t>
  </si>
  <si>
    <t>UpWest</t>
  </si>
  <si>
    <t>Vienna, Austria</t>
  </si>
  <si>
    <t>www.mostly.ai</t>
  </si>
  <si>
    <t>Prewave</t>
  </si>
  <si>
    <t>Klaudius Kalcher, Michael Platzer, Roland Boubela</t>
  </si>
  <si>
    <t>Molten Ventures, Earlybird Venture, Citi Ventures, 42CAP</t>
  </si>
  <si>
    <t>Earlybird Venture Capital</t>
  </si>
  <si>
    <t>42CAP</t>
  </si>
  <si>
    <t>Earlybird, PUSH Ventures, 42CAP</t>
  </si>
  <si>
    <t>PUSH Ventures</t>
  </si>
  <si>
    <t>42CAP, PUSH Ventures</t>
  </si>
  <si>
    <t>You know what it is</t>
  </si>
  <si>
    <t>Chunting Zhou, Pengfei Liu, Puxin Xu, Srini Iyer, Jiao Sun, Yuning Mao, Xuezhe Ma, Avia Efrat, Ping Yu, Lili Yu, Susan Zhang, Gargi Ghosh, Mike Lewis, Luke Zettlemoyer, Omer Levy. (Meta AI)</t>
  </si>
  <si>
    <t>Title</t>
  </si>
  <si>
    <t>Omer Levy</t>
  </si>
  <si>
    <t>AlteredAvatar (5/2023)</t>
  </si>
  <si>
    <t>LIMA: Less Is More for Alignment (5/18/2023)</t>
  </si>
  <si>
    <t>Luke Zettlemoyer</t>
  </si>
  <si>
    <t>Mike Lewis</t>
  </si>
  <si>
    <t>Gargi Ghosh</t>
  </si>
  <si>
    <t>Susan Zhang</t>
  </si>
  <si>
    <t>Lily Yu</t>
  </si>
  <si>
    <t>Ping Yu</t>
  </si>
  <si>
    <t>Yuning Mao</t>
  </si>
  <si>
    <t>Srini Iyer</t>
  </si>
  <si>
    <t>Puxin Xu</t>
  </si>
  <si>
    <t>Chunting Zhou</t>
  </si>
  <si>
    <t>https://arxiv.org/abs/2204.05862</t>
  </si>
  <si>
    <t>Bai et al. (Anthropic)</t>
  </si>
  <si>
    <t>Training a Helpful and Harmless Assistant with Reinforcement Learning from Human Feedback. arXiv 4/12/2022</t>
  </si>
  <si>
    <t>2022-Anthropic-Training-A-Helpful, 2022-Anthropic-Constitutional-AI</t>
  </si>
  <si>
    <t>Position Bias Estimation for Unbiased Learning to Rank in Personal Search. WSDM 2018.</t>
  </si>
  <si>
    <t>https://research.google/pubs/pub46485/</t>
  </si>
  <si>
    <t>https://arxiv.org/abs/1912.01703</t>
  </si>
  <si>
    <t>Pytorch: An imperative style, high-performance deep learning library. arXiv 12/3/2019, NeurIPS 2019.</t>
  </si>
  <si>
    <t>Qure</t>
  </si>
  <si>
    <t>Qure.ai</t>
  </si>
  <si>
    <t>Adam Paszke, Sam Gross, Francisco Massa, Adam Lerer, James Bradbury, Gregory Chanan, Trevor Killeen, Zeming Lin, Natalia Gimelshein, Luca Antiga, Alban Desmaison, Andreas Kopf, Edward Yang, Zachary DeVito, Martin Raison, Alykhan Tejani, Sasank Chilamkurthy, Benoit Steiner, Lu Fang, Junjie Bai, Soumith Chintala (Facebook, Google, Nvidia)</t>
  </si>
  <si>
    <t>Xamla</t>
  </si>
  <si>
    <t>PAC</t>
  </si>
  <si>
    <t>ERM</t>
  </si>
  <si>
    <t>Empirical Risk Minimization learning rules</t>
  </si>
  <si>
    <t>SRM</t>
  </si>
  <si>
    <t>Structural Risk Minimization learning rule</t>
  </si>
  <si>
    <t>MDL</t>
  </si>
  <si>
    <t>Minimum Description Length learning rule</t>
  </si>
  <si>
    <t>inductive bias</t>
  </si>
  <si>
    <t>incorporation of prior knowledge biases learning mechanisms</t>
  </si>
  <si>
    <t>HQ Country</t>
  </si>
  <si>
    <t>HQ State (if US)</t>
  </si>
  <si>
    <t>HQ City</t>
  </si>
  <si>
    <t>USA</t>
  </si>
  <si>
    <t>China</t>
  </si>
  <si>
    <t>Washington</t>
  </si>
  <si>
    <t>California</t>
  </si>
  <si>
    <t>Texas</t>
  </si>
  <si>
    <t>Colorado</t>
  </si>
  <si>
    <t>New Jersey</t>
  </si>
  <si>
    <t>Massachusetts</t>
  </si>
  <si>
    <t>New York</t>
  </si>
  <si>
    <t>Sunnyvale</t>
  </si>
  <si>
    <t>Palo Alto</t>
  </si>
  <si>
    <t>Mountain View</t>
  </si>
  <si>
    <t>Fremont</t>
  </si>
  <si>
    <t>Hoboken</t>
  </si>
  <si>
    <t>Anhui</t>
  </si>
  <si>
    <t>Denver</t>
  </si>
  <si>
    <t>Beijing</t>
  </si>
  <si>
    <t>Menlo Park</t>
  </si>
  <si>
    <t>Santa Clara</t>
  </si>
  <si>
    <t>Redmond</t>
  </si>
  <si>
    <t>Redwood City</t>
  </si>
  <si>
    <t>Bristol</t>
  </si>
  <si>
    <t>San Diego</t>
  </si>
  <si>
    <t>Cupertino</t>
  </si>
  <si>
    <t>France</t>
  </si>
  <si>
    <t>United Kingdom</t>
  </si>
  <si>
    <t>Canada</t>
  </si>
  <si>
    <t>Abhi Sharma, Leila Golchehreh</t>
  </si>
  <si>
    <t>Privacy/Compliance</t>
  </si>
  <si>
    <t>www.relyance.ai</t>
  </si>
  <si>
    <t>Unusual Ventures, Menlo Ventures, Susan Hintze, Meredith Halama, Henry Ward, Dev Ittycheria, Ashok Banerjee</t>
  </si>
  <si>
    <t>Compliance</t>
  </si>
  <si>
    <t>www.hebbia.ai</t>
  </si>
  <si>
    <t>Chat with your documents</t>
  </si>
  <si>
    <t>George Sivulka</t>
  </si>
  <si>
    <t>Index Ventures, Radical Ventures, Abstract Ventures, Stanley Druckenmiller, Ram Shriram, Martin Chavez, Kevin Warsh, Jerry Wang</t>
  </si>
  <si>
    <t>Abstract Ventures</t>
  </si>
  <si>
    <t>Floodgate, Peter Thiel, Naval Ravikant, Kevin Hartz</t>
  </si>
  <si>
    <t>Wilmington</t>
  </si>
  <si>
    <t>Santa Monica</t>
  </si>
  <si>
    <t>Wisconsin</t>
  </si>
  <si>
    <t>Eau Claire</t>
  </si>
  <si>
    <t>Birmingham</t>
  </si>
  <si>
    <t>Stockholm</t>
  </si>
  <si>
    <t>Sydney</t>
  </si>
  <si>
    <t>Australia</t>
  </si>
  <si>
    <t>Berkeley</t>
  </si>
  <si>
    <t>Middletown</t>
  </si>
  <si>
    <t>Bothell</t>
  </si>
  <si>
    <t>Josh Tobin, Vicki Cheung</t>
  </si>
  <si>
    <t>Analyzes ML Performance</t>
  </si>
  <si>
    <t>Ex-OpenAI</t>
  </si>
  <si>
    <t>Coatue, Amplify, Greg Brockman, Pieter Abbeel</t>
  </si>
  <si>
    <t>www.superb-ai.com</t>
  </si>
  <si>
    <t>San Mateo</t>
  </si>
  <si>
    <t>Hyun Kim, Hyundong Lee, Jonghyuk Lee, Jung Kwon Lee, Moonsu Cha</t>
  </si>
  <si>
    <t>Korea Development Bank, Premier Partners, KT Investment, KT&amp;G Corporation, Halla Holdings, Duke</t>
  </si>
  <si>
    <t>Korea Development Bank</t>
  </si>
  <si>
    <t>Premier Partners</t>
  </si>
  <si>
    <t>KT Investment</t>
  </si>
  <si>
    <t>KT&amp;G Corporation</t>
  </si>
  <si>
    <t>Halla Holdings</t>
  </si>
  <si>
    <t>Duke University</t>
  </si>
  <si>
    <t>Atinum Investment, Stonebridge Ventures, Premier, Murex Partners, KT Investment, Duke Angel Network</t>
  </si>
  <si>
    <t>active learning</t>
  </si>
  <si>
    <t>paradigm where the learner interacts with the environment at training time</t>
  </si>
  <si>
    <t>passive learning</t>
  </si>
  <si>
    <t>paradigm where the learner does not interact with the environment at training time</t>
  </si>
  <si>
    <t>Atinum Investment</t>
  </si>
  <si>
    <t>Murex Partners</t>
  </si>
  <si>
    <t>Y Combinator, VentureSouq, Sequoia Scout, Pegasus Tech Ventures, Murex, KT Investment, Duke Angel Network</t>
  </si>
  <si>
    <t>Garry Tan</t>
  </si>
  <si>
    <t>VentureSouq</t>
  </si>
  <si>
    <t>Baidu Ventures (public)</t>
  </si>
  <si>
    <t>Honeywell (public)</t>
  </si>
  <si>
    <t>CV Labeling, Curating, Labeling</t>
  </si>
  <si>
    <t>www.writer.com</t>
  </si>
  <si>
    <t>May Habib, Waseem AlShikh</t>
  </si>
  <si>
    <t>Reclaim</t>
  </si>
  <si>
    <t>Palmyra LLM</t>
  </si>
  <si>
    <t>Insight Partners, GTMfund, Gradient Ventures, The Todd &amp; Rahul Angel Fund, Vivek Sodera, Packy McCormick, Oliver Jay, Lenny Rachitsky, Julia Lipton, James Beshara, Jack Altman, Camille Ricketts, Austin Rief, Ankur Nagpal, Allison Pickens, Alex MacCaw</t>
  </si>
  <si>
    <t>Writer</t>
  </si>
  <si>
    <t>Nasdaq (public)</t>
  </si>
  <si>
    <t>HCA (public)</t>
  </si>
  <si>
    <t>Barclays (public)</t>
  </si>
  <si>
    <t>Upfront Ventures, ValueStream Ventures, Broadway Angels, Aspect Ventures</t>
  </si>
  <si>
    <t>Upfront Ventures</t>
  </si>
  <si>
    <t>ValueStream Ventures</t>
  </si>
  <si>
    <t>Broadway Angels</t>
  </si>
  <si>
    <t>Aspect Ventures</t>
  </si>
  <si>
    <t>Citi Ventures (public)</t>
  </si>
  <si>
    <t>Xplorer Capital</t>
  </si>
  <si>
    <t>Guidewire (public)</t>
  </si>
  <si>
    <t>BMW (public)</t>
  </si>
  <si>
    <t>Metaflow</t>
  </si>
  <si>
    <t>Oleg Avdeev, Savin Goyal, Ville Tuulos</t>
  </si>
  <si>
    <t>www.outerbounds.com</t>
  </si>
  <si>
    <t>ex-Netflix</t>
  </si>
  <si>
    <t>Greenoaks, Foundation Capital, Costanoa Ventures, Amplify Partners</t>
  </si>
  <si>
    <t>Foundation, Costanoa, Amplify</t>
  </si>
  <si>
    <t>www.coiled.io</t>
  </si>
  <si>
    <t>Hosted Dask</t>
  </si>
  <si>
    <t>Matthew Rocklin</t>
  </si>
  <si>
    <t>Inpher.io</t>
  </si>
  <si>
    <t>Agile Stacks</t>
  </si>
  <si>
    <t>Bessemer Venture Partners, IA Ventures, FirstMark, Costanoa</t>
  </si>
  <si>
    <t>Matt Turck</t>
  </si>
  <si>
    <t>Point72 Ventures (hedge VC)</t>
  </si>
  <si>
    <t>Nvidia (NVDA)</t>
  </si>
  <si>
    <t>Greg Sands, Tony Liu</t>
  </si>
  <si>
    <t>Brad Gillespie</t>
  </si>
  <si>
    <t>Costanoa, Techammer, IA, Ben Hamner, Anthony Goldbloom</t>
  </si>
  <si>
    <t>Techammer</t>
  </si>
  <si>
    <t>Voicify</t>
  </si>
  <si>
    <t>Tom Ngo</t>
  </si>
  <si>
    <t>Pasadena</t>
  </si>
  <si>
    <t>www.lumin.ai</t>
  </si>
  <si>
    <t>Customer agents</t>
  </si>
  <si>
    <t>Scop Network - Scope AI (Nexxiot)</t>
  </si>
  <si>
    <t>RNA deep learning</t>
  </si>
  <si>
    <t>Pharma</t>
  </si>
  <si>
    <t>www.inceptive.life</t>
  </si>
  <si>
    <t>Jakob Uszkoreit, Rhiju Das</t>
  </si>
  <si>
    <t>www.bardeen.ai</t>
  </si>
  <si>
    <t>Artem Harutyunyan, Pascal Weinberger</t>
  </si>
  <si>
    <t>No-Code browser extension for automation</t>
  </si>
  <si>
    <t>Insight Partners, FirstMark</t>
  </si>
  <si>
    <t>Praveen Akkiraju</t>
  </si>
  <si>
    <t>FirstMark, 468 Capital, Zachary Bogue, Matthew Ocko, Lukasz Gadowski, Illusian Family Office, Ilkka Paananen, Felix Haas, Carsten Thoma, Brent Hoberman</t>
  </si>
  <si>
    <t>Illusian Family Office</t>
  </si>
  <si>
    <t>Database</t>
  </si>
  <si>
    <t>Elvis Pranskevichus, Yuru Selivanov</t>
  </si>
  <si>
    <t>Graph-relational database</t>
  </si>
  <si>
    <t>www.edgedb.com</t>
  </si>
  <si>
    <t>Nava Ventures, Accel, Vercel, OpenAI, Netlify, ICONIQ, IBM, GitHub, Firebase</t>
  </si>
  <si>
    <t>Pear VC, SVA</t>
  </si>
  <si>
    <t>aka Torch, leading ML framework introduced 9/2016 by Adam Paszke, Sam Gross, Soumith Chintala, Gregory Chanan</t>
  </si>
  <si>
    <t>CNTK</t>
  </si>
  <si>
    <t>older ML framework</t>
  </si>
  <si>
    <t>Torch</t>
  </si>
  <si>
    <t>Lua-based predecessor to PyTorch</t>
  </si>
  <si>
    <t>A general reinforcement learning algorithm that masters chess, shogi, and go through self-play. Science 2018.</t>
  </si>
  <si>
    <t>https://ailibrary.s3.amazonaws.com/A+general+RL+algorithm+that+masters+chess%2C+shogi+and+go+through+self-play+-+Silver+2018.pdf</t>
  </si>
  <si>
    <t>https://ailibrary.s3.amazonaws.com/Grandmaster+level+in+StarCraft+II+using+multi-agent+RL+-+Vinyals+2019.pdf</t>
  </si>
  <si>
    <t>https://arxiv.org/abs/1905.11946</t>
  </si>
  <si>
    <t>2019-1</t>
  </si>
  <si>
    <t>Audiostack.ai</t>
  </si>
  <si>
    <t>https://ailibrary.s3.amazonaws.com/Superhuman+AI+for+multiplayer+poker+-+Brown+Science+2019.pdf</t>
  </si>
  <si>
    <t>Chaindesk.ai</t>
  </si>
  <si>
    <t>www.northbeam.io</t>
  </si>
  <si>
    <t>Measures marketing performance using ML</t>
  </si>
  <si>
    <t>Not really an ML company</t>
  </si>
  <si>
    <t>Silversmith Capital, Lormier Ventures</t>
  </si>
  <si>
    <t>macOS search, record</t>
  </si>
  <si>
    <t>Reflectly</t>
  </si>
  <si>
    <t>ERIN</t>
  </si>
  <si>
    <t>Brett Bejcek, Dan Siroker</t>
  </si>
  <si>
    <t>a16z, Vela, First Round</t>
  </si>
  <si>
    <t>www.rewind.ai</t>
  </si>
  <si>
    <t>Rewind AI</t>
  </si>
  <si>
    <t>Israel</t>
  </si>
  <si>
    <t>www.clear.ml</t>
  </si>
  <si>
    <t>Gil Westrich, Moses Guttman, Nir Bar-Lev</t>
  </si>
  <si>
    <t>ClearML (fka Allegro AI)</t>
  </si>
  <si>
    <t>ClearML MLOps</t>
  </si>
  <si>
    <t>MizMaa Ventures, Samsung Catalyst, Dynamic Loop, Bosch Ventures</t>
  </si>
  <si>
    <t>MizMaa Ventures</t>
  </si>
  <si>
    <t>Allegro.AI</t>
  </si>
  <si>
    <t>Dynamic Loop Capital</t>
  </si>
  <si>
    <t>2020-1</t>
  </si>
  <si>
    <t>2020-2</t>
  </si>
  <si>
    <t>2019-2</t>
  </si>
  <si>
    <t>2019-3</t>
  </si>
  <si>
    <t>2019-4</t>
  </si>
  <si>
    <t>2019-5</t>
  </si>
  <si>
    <t>2019-6</t>
  </si>
  <si>
    <t>2019-7</t>
  </si>
  <si>
    <t>2019-8</t>
  </si>
  <si>
    <t>2019-9</t>
  </si>
  <si>
    <t>2021-2</t>
  </si>
  <si>
    <t>2021-Anthropic, 2021-1</t>
  </si>
  <si>
    <t>2021-3</t>
  </si>
  <si>
    <t>2021-4</t>
  </si>
  <si>
    <t>2021-5</t>
  </si>
  <si>
    <t>2021-6</t>
  </si>
  <si>
    <t>https://arxiv.org/abs/2204.02311</t>
  </si>
  <si>
    <t>Self-Instruct: Aligning Language Models with Self-Generated Instructions. arXiv 12/20/2022</t>
  </si>
  <si>
    <t>2022-1</t>
  </si>
  <si>
    <t>2022-2</t>
  </si>
  <si>
    <t>2022-3</t>
  </si>
  <si>
    <t>2022-4</t>
  </si>
  <si>
    <t>2022-5</t>
  </si>
  <si>
    <t>2022-Anthropic-Constitutional-AI, 2022-6</t>
  </si>
  <si>
    <t>2022-Anthropic-Training-A-Helpful, 2022-7</t>
  </si>
  <si>
    <t>2022-8</t>
  </si>
  <si>
    <t>2022-9</t>
  </si>
  <si>
    <t>2022-10</t>
  </si>
  <si>
    <t>Large Language Models Converge on Brain-Like Word Representations, 6/2/2023, arXiv:2306.01930</t>
  </si>
  <si>
    <t>2023-1</t>
  </si>
  <si>
    <t>2023-2</t>
  </si>
  <si>
    <t>Tree of Thoughts: Deliberate Problem Solving with Large Language Models, 5/17/2023, arXiv:2305.10601</t>
  </si>
  <si>
    <t>Bot or Human? Detecting ChatGPT Imposters with A Single Question, 5/10/2023, arXiv:2305.06424</t>
  </si>
  <si>
    <t>Multi-level Temporal-channel Speaker Retrieval for Robust Zero-shot Voice Conversion, arXiv 5/12/2023</t>
  </si>
  <si>
    <t>https://arxiv.org/abs/2305.07204</t>
  </si>
  <si>
    <t>Cisco Investments (public)</t>
  </si>
  <si>
    <t>Moore (hedge fund)</t>
  </si>
  <si>
    <t>D1 Capital (hedge fund)</t>
  </si>
  <si>
    <t>General Motors (public)</t>
  </si>
  <si>
    <t>Morgan Stanley (public)</t>
  </si>
  <si>
    <t>Elad Gil (angel)</t>
  </si>
  <si>
    <t>2018-1</t>
  </si>
  <si>
    <t>2018-2</t>
  </si>
  <si>
    <t>2018-3</t>
  </si>
  <si>
    <t>2018-4</t>
  </si>
  <si>
    <t>2018-5</t>
  </si>
  <si>
    <t>https://ailibrary.s3.amazonaws.com/Mastering+the+game+of+Go+without+human+knowledge+-+Silver+et+al+2017.pdf</t>
  </si>
  <si>
    <t>https://www.cs.cmu.edu/~sandholm/dynamicThresholding.aaai17.pdf</t>
  </si>
  <si>
    <t>https://science.org/doi/epdf/10.1126/science.aao1733</t>
  </si>
  <si>
    <t>2017-3</t>
  </si>
  <si>
    <t>2017-4</t>
  </si>
  <si>
    <t>2017-5</t>
  </si>
  <si>
    <t>2017-6</t>
  </si>
  <si>
    <t>ICCL - International Conference on Computational Linguistics</t>
  </si>
  <si>
    <t>Alan Akbik, Duncan Blythe, Roland Vollgraf (Zalando)</t>
  </si>
  <si>
    <t>https://aclanthology.org/C18-1139.pdf</t>
  </si>
  <si>
    <t>Contextual String Embeddings for Sequence Labeling. ICCL 2018.</t>
  </si>
  <si>
    <t>2018-6</t>
  </si>
  <si>
    <t>https://arxiv.org/abs/1808.04444</t>
  </si>
  <si>
    <t>Al-Rfou, Choe, Constant, Guo, Jones et al.</t>
  </si>
  <si>
    <t>Character-Level Language Modeling with Deeper Self-Attention. arXiv 8/9/2018</t>
  </si>
  <si>
    <t>2018-7</t>
  </si>
  <si>
    <t>2005-1</t>
  </si>
  <si>
    <t>A Framework for Learning Predictive Structures from Multiple Tasks and Unlabeled Data</t>
  </si>
  <si>
    <t>Rie Kubota Ando (IBM), Tong Zhang (Yahoo)</t>
  </si>
  <si>
    <t>https://www.jmlr.org/papers/volume6/ando05a/ando05a.pdf</t>
  </si>
  <si>
    <t>2009-6</t>
  </si>
  <si>
    <t>Luisa Bentivogli, Ido Dagan, Hoa Trang Dang (NIST), Danilo Giampiccolo, Bernardo Magnini</t>
  </si>
  <si>
    <t>https://tac.nist.gov//publications/2009/additional.papers/RTE5_overview.proceedings.pdf</t>
  </si>
  <si>
    <t>The Fifth PASCAL Recognizing Textual Entailment Challenge. TAC 2009.</t>
  </si>
  <si>
    <t>EMNLP - Empirical Methods in NLP</t>
  </si>
  <si>
    <t>2006-4</t>
  </si>
  <si>
    <t>John Blitzer, Ryan McDonald, Fernando Pereira</t>
  </si>
  <si>
    <t>https://aclanthology.org/W06-1615.pdf</t>
  </si>
  <si>
    <t>Domain Adaptation with Structural Correspondence Learning. EMNLP 2006.</t>
  </si>
  <si>
    <t>A large annotated corpus for learning natural language inference. arXiv 8/21/15</t>
  </si>
  <si>
    <t>Bowman et al.</t>
  </si>
  <si>
    <t>https://arxiv.org/abs/1508.05326</t>
  </si>
  <si>
    <t>2015-9</t>
  </si>
  <si>
    <t>1992-2</t>
  </si>
  <si>
    <t>Peter F. Brown, Peter V. deSouza, Robert Mercer, Vincent J Della Pietra, Jenifer C Lai (IBM)</t>
  </si>
  <si>
    <t>https://dl.acm.org/doi/pdf/10.5555/176313.176316</t>
  </si>
  <si>
    <t>Class-Based n-gram Models of Natural Language. Comput Ling 1992.</t>
  </si>
  <si>
    <t>SemEval-2017 Task 1: Semantic Textual Similarity Multilingual and Crosslingual Focused Evaluation. SemEval 2017</t>
  </si>
  <si>
    <t>Cer et al.</t>
  </si>
  <si>
    <t>https://aclanthology.org/S17-2001.pdf</t>
  </si>
  <si>
    <t>2017-7</t>
  </si>
  <si>
    <t>2013-6</t>
  </si>
  <si>
    <t>One Billion Word Benchmark for Measuring Progress in Statistical Language Modeling</t>
  </si>
  <si>
    <t>Chelba et al.</t>
  </si>
  <si>
    <t>https://arxiv.org/abs/1312.3005</t>
  </si>
  <si>
    <t>https://arxiv.org/abs/1710.10723</t>
  </si>
  <si>
    <t>Simple and Effective Multi-Paragraph Reading Comprehension. arXiv 10/29/17</t>
  </si>
  <si>
    <t>Christopher Clark, Matt Gardner</t>
  </si>
  <si>
    <t>2017-8</t>
  </si>
  <si>
    <t>https://arxiv.org/abs/1809.08370</t>
  </si>
  <si>
    <t>Kevin Clark, Minh-Thang Luong, Christopher Manning, Quoc Le</t>
  </si>
  <si>
    <t>Semi-Supervised Sequence Modeling with Cross-View Training. arXiv 9/22/2018</t>
  </si>
  <si>
    <t>2018-8</t>
  </si>
  <si>
    <t>2008-2</t>
  </si>
  <si>
    <t>A Unified Architecture for NLP: Deep Neural Networks with Multitask Learning. ICML 2008.</t>
  </si>
  <si>
    <t>Ronan Collobert, Jason Weston (NEC)</t>
  </si>
  <si>
    <t>http://machinelearning.org/archive/icml2008/papers/391.pdf</t>
  </si>
  <si>
    <t>Supervised Learning of Universal Sentence Representations from Natural Language Inference Data. arXiv 5/5/2017</t>
  </si>
  <si>
    <t>Conneau et al.</t>
  </si>
  <si>
    <t>https://arxiv.org/abs/1705.02364</t>
  </si>
  <si>
    <t>2017-9</t>
  </si>
  <si>
    <t>Semi-supervised Sequence Learning. arXiv 11/4/2015</t>
  </si>
  <si>
    <t>Andrew M. Dai, Quoc V. Le</t>
  </si>
  <si>
    <t>https://arxiv.org/abs/1511.01432</t>
  </si>
  <si>
    <t>2015-10</t>
  </si>
  <si>
    <t>IWP - International Workshop on Paraphrasing</t>
  </si>
  <si>
    <t>2005-2</t>
  </si>
  <si>
    <t>Automatically Constructing a Corpus of Sentential Paraphrases. IWP2005.</t>
  </si>
  <si>
    <t>https://aclanthology.org/I05-5002.pdf</t>
  </si>
  <si>
    <t>William B. Dolan, Chris Brockett (Microsoft)</t>
  </si>
  <si>
    <t>MaskGAN: Better Text Generation via Filling in the ____. arXiv 1/23/2018</t>
  </si>
  <si>
    <t>William Fedus, Ian Goodfellow, Andrew M. Dai</t>
  </si>
  <si>
    <t>https://arxiv.org/abs/1801.07736</t>
  </si>
  <si>
    <t>2018-9</t>
  </si>
  <si>
    <t>Bridging Nonlinearities and Stochastic Regularizers with Gaussian Error Linear Units</t>
  </si>
  <si>
    <t>Dan Hendrycks, Kevin Gimpel</t>
  </si>
  <si>
    <t>https://openreview.net/pdf?id=Bk0MRI5lg</t>
  </si>
  <si>
    <t>An overview of gradient descent optimization algorithms. arXiv 2016.</t>
  </si>
  <si>
    <t>S Ruder</t>
  </si>
  <si>
    <t>https://arxiv.org/abs/1609.04747</t>
  </si>
  <si>
    <t>Layer normalization. arXiv 2016.</t>
  </si>
  <si>
    <t>JL Ba, JR Kiros, Geoffrey E Hinton</t>
  </si>
  <si>
    <t>2016-6</t>
  </si>
  <si>
    <t>2016-7</t>
  </si>
  <si>
    <t>F. Hill et al.</t>
  </si>
  <si>
    <t>https://arxiv.org/abs/1602.03483</t>
  </si>
  <si>
    <t>2016-8</t>
  </si>
  <si>
    <t>Universal Language Model Fine-tuning for Text Classification</t>
  </si>
  <si>
    <t>https://arxiv.org/abs/1801.06146</t>
  </si>
  <si>
    <t>Jeremy Howard, Sebastian Ruder</t>
  </si>
  <si>
    <t>2018-10</t>
  </si>
  <si>
    <t>Reinforced Mnemonic Reader for Machine Reading Comprehension. arXiv 5/8/17</t>
  </si>
  <si>
    <t>https://arxiv.org/abs/1705.02798</t>
  </si>
  <si>
    <t>Hu et al.</t>
  </si>
  <si>
    <t>2017-10</t>
  </si>
  <si>
    <t>https://arxiv.org/abs/1705.00557</t>
  </si>
  <si>
    <t>Discourse-based objectives for fast Fast Unsupervised Sentence Representation Learning. arXiv 2017.</t>
  </si>
  <si>
    <t>Jernite et al.</t>
  </si>
  <si>
    <t>2017-11</t>
  </si>
  <si>
    <t>TriviaQA: A Large Scale Distantly Supervised Challenge Dataset for Reading Comprehension</t>
  </si>
  <si>
    <t>Joshi et al.</t>
  </si>
  <si>
    <t>https://aclanthology.org/P17-1147.pdf</t>
  </si>
  <si>
    <t>2017-12</t>
  </si>
  <si>
    <t>Skip-Thought Vectors. arXiv 6/22/2015</t>
  </si>
  <si>
    <t>Kiros et al.</t>
  </si>
  <si>
    <t>https://arxiv.org/abs/1506.06726</t>
  </si>
  <si>
    <t>2015-11</t>
  </si>
  <si>
    <t>Distributed Representations of Sentences and Documents</t>
  </si>
  <si>
    <t>Quoc V. Le, Tomas Mikolov</t>
  </si>
  <si>
    <t>https://arxiv.org/abs/1405.4053</t>
  </si>
  <si>
    <t>2016-2, 1985-1, 2012-5, 2015-9, 2014-8, 2015-8, 2015-10, 2009-4, 2015-3, 1987-1</t>
  </si>
  <si>
    <t>2007-1, 2007-2, 2001-1, 2011-2, 1985-2, 2012-4, 2009-1, 2004-2, 1980-1, 2015-1, 2012-2, 2009-2, 2010-6, 2011-3, 1990-2, 2004-3, 2010-4, 2009-3, 2009-4, 1976-1</t>
  </si>
  <si>
    <t>2011-3</t>
  </si>
  <si>
    <t>Levesque, Davis, Morgenstern</t>
  </si>
  <si>
    <t>https://cdn.aaai.org/ocs/4492/4492-21843-1-PB.pdf</t>
  </si>
  <si>
    <t>The Winograd Schema Challenge. ICPKRR 2011.</t>
  </si>
  <si>
    <t>ICPKRR - Principles of Knowledge Representation and Reasoning</t>
  </si>
  <si>
    <t>https://arxiv.org/abs/1803.02893</t>
  </si>
  <si>
    <t>Logeswaran, Lee.</t>
  </si>
  <si>
    <t>An efficient framework for learning sentence representations. arXiv 3/7/2018</t>
  </si>
  <si>
    <t>2018-11</t>
  </si>
  <si>
    <t>Learned in Translation: Contextualized Word Vectors</t>
  </si>
  <si>
    <t>https://arxiv.org/abs/1708.00107</t>
  </si>
  <si>
    <t>McCann et al.</t>
  </si>
  <si>
    <t>2017-13</t>
  </si>
  <si>
    <t>CNLL - SIGNLL Conference on Computational Natural Language Learning</t>
  </si>
  <si>
    <t>2016-9</t>
  </si>
  <si>
    <t>https://aclanthology.org/K16-1006.pdf</t>
  </si>
  <si>
    <t>context2vec: Learning Generic Context Embedding with Bidirectional LSTM</t>
  </si>
  <si>
    <t>Melamud et al.</t>
  </si>
  <si>
    <t>2009-7</t>
  </si>
  <si>
    <t>A Scalable Hierarchical Distributed Language Model</t>
  </si>
  <si>
    <t>Andriy Mnih, Geoffrey Hinton (U Toronto)</t>
  </si>
  <si>
    <t>A Decomposable Attention Model for Natural Language Inference. arXiv 6/6/2016</t>
  </si>
  <si>
    <t>Learning Distributed Representations of Sentences from Unlabelled Data. arXiv 2/10/2016</t>
  </si>
  <si>
    <t>https://arxiv.org/abs/1606.01933</t>
  </si>
  <si>
    <t>Parikh et al.</t>
  </si>
  <si>
    <t>2016-10</t>
  </si>
  <si>
    <t>GloVe: Global Vectors for Word Representation. EMNLP 2014.</t>
  </si>
  <si>
    <t>Jeffrey Pennington, Richard Socher, Christopher D. Manning (Stanford)</t>
  </si>
  <si>
    <t>2014-GloVe</t>
  </si>
  <si>
    <t>https://nlp.stanford.edu/pubs/glove.pdf</t>
  </si>
  <si>
    <t>Semi-Supervised sequence tagging with bidirectional language models. arXiv 4/29/2017</t>
  </si>
  <si>
    <t>https://arxiv.org/abs/1705.00108</t>
  </si>
  <si>
    <t>Peters et al.</t>
  </si>
  <si>
    <t>2017-8.5</t>
  </si>
  <si>
    <t>2018-2.5</t>
  </si>
  <si>
    <t>Deep Contextualized Word Representations. arXiv 2/15/2018</t>
  </si>
  <si>
    <t>https://arxiv.org/abs/1802.05365</t>
  </si>
  <si>
    <t>Peters et al. (Allen)</t>
  </si>
  <si>
    <t>https://ailibrary.s3.amazonaws.com/Reinforcement+Learning%2C+An+Introduction+-+Adaptive+Computation+and+Machine+Learning+-+Richard+S.+Sutton%2C+Andrew+G.+Barto+-+The+MIT+Press+(2018).pdf</t>
  </si>
  <si>
    <t>2017-1, 2018-9, 2018-10, 2005-1, 2009-7, 2006-4, 2015-6, 1992-2, 2017-5, 2013-6, 2018-11, 2008-2, 2017-4, 2015-9, 2009-1, 2005-2, 2018-8, 2016-6, 2016-8, 2018-4, 2017-11, 2017-12, 2017-6, 2015-7, 2014-6, 2011-1, 2018-7, 2017-8, 2016-9, 2013-1, 2009-5, 2016-7, 2014-GloVe, 2017-8.5, 2018-2.5</t>
  </si>
  <si>
    <t>Improving language understanding with unsupervised learning. Radford, Narasimhan, Salimans, Sutskever. OpenAI 2018.</t>
  </si>
  <si>
    <t>https://ailibrary.s3.amazonaws.com/Foundations+of+Machine+Learning+-+Mehryar+Mohri%2C+Afshin+Rostamizadeh%2C+Ameet+Talwalkar+-+The+MIT+Press+(2018).pdf</t>
  </si>
  <si>
    <t>structured prediction problems</t>
  </si>
  <si>
    <t>Context-free parsing, dependency parsing, named-entity recognition, part-of-speech tagging</t>
  </si>
  <si>
    <t>classification</t>
  </si>
  <si>
    <t>typical ML goal</t>
  </si>
  <si>
    <t>regression</t>
  </si>
  <si>
    <t>canonical ML task</t>
  </si>
  <si>
    <t>ranking</t>
  </si>
  <si>
    <t>typical ML task</t>
  </si>
  <si>
    <t>clustering</t>
  </si>
  <si>
    <t>canonical ML task of partitioning a set into homogeneous subsets</t>
  </si>
  <si>
    <t>dimensionality reduction</t>
  </si>
  <si>
    <t>zero-one loss</t>
  </si>
  <si>
    <t>also known as the misclassification loss function</t>
  </si>
  <si>
    <t>squared loss</t>
  </si>
  <si>
    <t>hypothesis set</t>
  </si>
  <si>
    <t>set of functions mapping features to labels</t>
  </si>
  <si>
    <t>training set includes both labeled and unlabeled data</t>
  </si>
  <si>
    <t>transductive inference</t>
  </si>
  <si>
    <t>Training data is labeled and unlabeled test points, but the objective is to predict labels only for unlabeled test points and not unseen test set data.</t>
  </si>
  <si>
    <t>online learning</t>
  </si>
  <si>
    <t>Multiple rounds of mixed training/testing phases</t>
  </si>
  <si>
    <t>exploration vs exploitation dilemma</t>
  </si>
  <si>
    <t>Reinforcement learning issue</t>
  </si>
  <si>
    <t xml:space="preserve">poor generalization due to a small sample size and complex function </t>
  </si>
  <si>
    <t>underfitting</t>
  </si>
  <si>
    <t>too simple function to achieve sufficiency predictive power</t>
  </si>
  <si>
    <t>Probably Approximately Correct learning model/framework</t>
  </si>
  <si>
    <t>Donald O Hebb (McGill)</t>
  </si>
  <si>
    <t>The Organization of Behavior (Wiley)</t>
  </si>
  <si>
    <t>Donald Hebb</t>
  </si>
  <si>
    <t>Wrote "The Organization of Behavior" in 1949, introduced the "Hebb synapse"</t>
  </si>
  <si>
    <t>Lorente de No</t>
  </si>
  <si>
    <t>Influenced Hebb</t>
  </si>
  <si>
    <t>Comment</t>
  </si>
  <si>
    <t>Hebb and Darwin. P Adams. J Theor Biol 1998;195:419-438.</t>
  </si>
  <si>
    <t>The influence of environment and experience on neural grafts. Dobrossy &amp; Dunnett. Nat Rev Neurosci 2001;2:871-879.</t>
  </si>
  <si>
    <t>The 'direct' inhibitory pathway in the spinal cord. Eccles et al. Aus J Sci 1954;16:130-134.</t>
  </si>
  <si>
    <t>D.O. Hebb and the developmental organization of behavior. JC Fentress. Dev Psychobiol 1987;20:103-109.</t>
  </si>
  <si>
    <t>The organization of behavior revisited. JC Fentress. Can J Exp Psychol 1999;53:8-19.</t>
  </si>
  <si>
    <t>The neurobiology of slow synaptic transmission. P Greengard. Science 2001;294:1024-1030.</t>
  </si>
  <si>
    <t>Conditioned and unconditioned reflexes and inhibition. DO Hebb. MA Thesis 1932, McGill.</t>
  </si>
  <si>
    <t>The interpretation of experimental data on neural action. DO Hebb, Unpublished 1934.</t>
  </si>
  <si>
    <t>The innate orgranization of visual perception in the rat. DO Hebb, Unpublished 1936.</t>
  </si>
  <si>
    <t>The Hebb legacy. RM Klein. Can J Exp Psychol 1999.</t>
  </si>
  <si>
    <t>Beyond Hebb: Exclusive-OR and biological learning. Klemm et al. Phys Rev Lett 2000;84:3013-3016.</t>
  </si>
  <si>
    <t>The mind and Donald O. Hebb. PM Milner. Sci Am 1993;268:124-129.</t>
  </si>
  <si>
    <t>The Autonomous Brain. PM Milner 1999.</t>
  </si>
  <si>
    <t>How do cell assemblies encode information in the brain? Y Sakurai. Neurosci Biobehav Rev 1999.</t>
  </si>
  <si>
    <t>Half a century of Hebb. HS Seung. Nat Neurosci Suppl 2000.</t>
  </si>
  <si>
    <t>Linking Hebb's coincidence-detection to memory formation. JZ Tsien. Curr Opin Neurobiol 2000;10:266-273.</t>
  </si>
  <si>
    <t>D.O. Hebb: father of cognitive psychobiology: 1904-1985. S Harnad. Behav Brain Sci 1985.</t>
  </si>
  <si>
    <t>The nature of thought: Essays in honor of D.O. Hebb, 1981.</t>
  </si>
  <si>
    <t>Donald Olding Hebb: 1904-1985. P Milner. Proc R Soc Can 1985.</t>
  </si>
  <si>
    <t>Donald Olding Hebb (1904-1985). P Milner. Trends Neurosci 1986.</t>
  </si>
  <si>
    <t>Donald Olding Hebb: 1904-1985. P Milner &amp; B Milner. Biograph Mem R Soc Lond 1996.</t>
  </si>
  <si>
    <t>Obituaries. Donald Olding Hebb:1904-1985. GJ Mogenson. Canad Psychol 1988.</t>
  </si>
  <si>
    <t>Powerful work on physiological psychology. Interestingly, JCR Licklider read the manuscript.</t>
  </si>
  <si>
    <t>1953-1</t>
  </si>
  <si>
    <t>First used term AI in 1956, made the "Dartmouth Summer" proposal in 1955 with Minsky, Rochester and Shannon.</t>
  </si>
  <si>
    <t>Mathematical Theory of Communication published in 1948. Part of the Dartmouth Summer team in 1955.</t>
  </si>
  <si>
    <t>Co-authored book on Perceptrons with Papert in 1969. Part of the Dartmouth Summer 1955 team.</t>
  </si>
  <si>
    <t>Nathaniel Rochester</t>
  </si>
  <si>
    <t>IBM worker, part of the Dartmouth 1955 summer team.</t>
  </si>
  <si>
    <t>www.heyday.ai</t>
  </si>
  <si>
    <t>Avoma</t>
  </si>
  <si>
    <t>Heyday</t>
  </si>
  <si>
    <t>Innovobot</t>
  </si>
  <si>
    <t>Desjardins</t>
  </si>
  <si>
    <t>Innovobot, Desjardins</t>
  </si>
  <si>
    <t>L-SPARK, Anges Quebec</t>
  </si>
  <si>
    <t>CRM chatbot</t>
  </si>
  <si>
    <t>David Bordeleau, Hugues Rousseau, Steve Desjarlais, Étienne Mérineau</t>
  </si>
  <si>
    <t>www.regie.ai</t>
  </si>
  <si>
    <t>Matt Millen, Srinath Sridhar</t>
  </si>
  <si>
    <t>Khosla, Scale Venture Partners, South Park Commons, Foundation Capital, Day One Ventures</t>
  </si>
  <si>
    <t>Sales co-pilot</t>
  </si>
  <si>
    <t>South Park Commons, Foundation Capital, Day One Ventures</t>
  </si>
  <si>
    <t>Quantum guy</t>
  </si>
  <si>
    <t>Left Google Brain for OpenAI</t>
  </si>
  <si>
    <t>Jason Weston</t>
  </si>
  <si>
    <t>barretzoph@google.com, barretzoph@gmail.com</t>
  </si>
  <si>
    <t>https://github.com/barretzoph</t>
  </si>
  <si>
    <t>Chief of Staff</t>
  </si>
  <si>
    <t>ex-Stripe, Facebook, Google, Airbnb</t>
  </si>
  <si>
    <t>https://bryanbanisaba.com/</t>
  </si>
  <si>
    <t>Juston Forte</t>
  </si>
  <si>
    <t>Applied AI, GTM</t>
  </si>
  <si>
    <t>ex-Neo, ex-a16z</t>
  </si>
  <si>
    <t>https://shyamal.me/</t>
  </si>
  <si>
    <t>https://github.com/shyamal-anadkat</t>
  </si>
  <si>
    <t>Duke</t>
  </si>
  <si>
    <t>shyamal.anadkat@duke.edu</t>
  </si>
  <si>
    <t>Masayoshi Son</t>
  </si>
  <si>
    <t>Alex Clavel</t>
  </si>
  <si>
    <t>geoIQ</t>
  </si>
  <si>
    <t>DeepCardio</t>
  </si>
  <si>
    <t>Priya Saiprasad</t>
  </si>
  <si>
    <t>Only 4 total investments in 2023, none AI</t>
  </si>
  <si>
    <t>Douglas Del Bene</t>
  </si>
  <si>
    <t>Justin Nam</t>
  </si>
  <si>
    <t>Jaime Ocampo</t>
  </si>
  <si>
    <t>Alejandra Osorio</t>
  </si>
  <si>
    <t>James Sweeney</t>
  </si>
  <si>
    <t>Justin Shen</t>
  </si>
  <si>
    <t>Robert Kaplan (Labelbox)</t>
  </si>
  <si>
    <t>Peter Levine (Labelbox)</t>
  </si>
  <si>
    <t>Matt Bornstein (Replicate)</t>
  </si>
  <si>
    <t>Martin Casado (Replicate)</t>
  </si>
  <si>
    <t>Stuart Russell, Peter Norvig</t>
  </si>
  <si>
    <t>UC Berkeley professor with AI textbook</t>
  </si>
  <si>
    <t>Google, co-wrote textbook with Russell</t>
  </si>
  <si>
    <t>Artificial Intelligence: a modern approach, 3rd Edition.</t>
  </si>
  <si>
    <t>Artificial Intelligence: A Modern Approach, 3rd Edition</t>
  </si>
  <si>
    <t>Thomas Bayes</t>
  </si>
  <si>
    <t>Born</t>
  </si>
  <si>
    <t>Died</t>
  </si>
  <si>
    <t>Nils Nilsson</t>
  </si>
  <si>
    <t>Shakey</t>
  </si>
  <si>
    <t>Charles Rosen</t>
  </si>
  <si>
    <t>Worked on Shakey</t>
  </si>
  <si>
    <t>Geoffrey Hinton</t>
  </si>
  <si>
    <t>Co-Founder OpenAI, Hinton disciple, ex-Google</t>
  </si>
  <si>
    <t>Age</t>
  </si>
  <si>
    <t>Google, OpenAI, Google, Apple, Google</t>
  </si>
  <si>
    <t>jba@cs.toronto.edu</t>
  </si>
  <si>
    <t>Turing Test</t>
  </si>
  <si>
    <t>Proposed in 1950</t>
  </si>
  <si>
    <t>natural language processing (NLP)</t>
  </si>
  <si>
    <t>The field of studying how computers can be made to communicate in human language</t>
  </si>
  <si>
    <t>knowledge representation</t>
  </si>
  <si>
    <t>Storing knowledge and understanding for computers</t>
  </si>
  <si>
    <t>total Turing test</t>
  </si>
  <si>
    <t>a modified Turing Test requiring computer vision</t>
  </si>
  <si>
    <t>cognitive science</t>
  </si>
  <si>
    <t>similar to neuroscience?</t>
  </si>
  <si>
    <t>GPS</t>
  </si>
  <si>
    <t>General Problem Solver, created in 1957.</t>
  </si>
  <si>
    <t>Herbert A. Simon</t>
  </si>
  <si>
    <t>Alan Newell</t>
  </si>
  <si>
    <t>Worked on GPS with Herbert Simon and JC Shaw</t>
  </si>
  <si>
    <t>JC Shaw</t>
  </si>
  <si>
    <t>Worked on GPS with Herbert Simon and Allen Newell</t>
  </si>
  <si>
    <t>Thomas Hobbes</t>
  </si>
  <si>
    <t>Leonardo da Vinci</t>
  </si>
  <si>
    <t>Designed a calculator which would have worked</t>
  </si>
  <si>
    <t>Blaise Pascal</t>
  </si>
  <si>
    <t>Built Pascaline, a working calculator</t>
  </si>
  <si>
    <t>Gottfried Wilhelm Leibniz</t>
  </si>
  <si>
    <t>Was interested and built logical machines</t>
  </si>
  <si>
    <t>Wrote on reasoning, Leviathan (1651)</t>
  </si>
  <si>
    <t>Rene Descartes</t>
  </si>
  <si>
    <t>Rationalist, dualist</t>
  </si>
  <si>
    <t>dualism</t>
  </si>
  <si>
    <t>materialist</t>
  </si>
  <si>
    <t>The brain operates according to the laws of physics, including the mind</t>
  </si>
  <si>
    <t>empiricism</t>
  </si>
  <si>
    <t>Francis Bacon and John Locke's movement held the senses are responsible for understanding</t>
  </si>
  <si>
    <t>Tiger, Altimeter, Sutter Hill, Salesforce, HMC Capital, Franklin Templeton, Counterpoint Global - 6B valuation</t>
  </si>
  <si>
    <t>Huge markdown private markets from 6B</t>
  </si>
  <si>
    <t>Huge markdown private markets from 4.4B</t>
  </si>
  <si>
    <t>Huge mark down from 4.1B</t>
  </si>
  <si>
    <t>could be in trouble, huge markdown in private markets from 1.5B last</t>
  </si>
  <si>
    <t>Stanford spinout, huge markdown from 1.5B</t>
  </si>
  <si>
    <t>huge markdown from 1.6B</t>
  </si>
  <si>
    <t>3.6B valuation dropped</t>
  </si>
  <si>
    <t>Worked on GPS with JC Shaw and Allen Newell. Simon predicted AI would be the world chess champion in 10 years (he was 30 years off),</t>
  </si>
  <si>
    <t>DENDRAL</t>
  </si>
  <si>
    <t>Mass spectrometry program for predicting compounds in 1969.</t>
  </si>
  <si>
    <t>Ed Feigenbaum</t>
  </si>
  <si>
    <t>Historical</t>
  </si>
  <si>
    <t>Peter Brown</t>
  </si>
  <si>
    <t>Student of Herbert Simon</t>
  </si>
  <si>
    <t>Classical AI approach hard-codes world knowledge, eg Cyc, DENDRAL</t>
  </si>
  <si>
    <t>Heuristic Programming Project</t>
  </si>
  <si>
    <t>effort at Stanford by Feigenbaum to extend expert systems</t>
  </si>
  <si>
    <t>expert system</t>
  </si>
  <si>
    <t>see knowledge base. A rule-based system for determining answers, an older AI methodology</t>
  </si>
  <si>
    <t>MYCIN</t>
  </si>
  <si>
    <t>450 rule expert system for medicine</t>
  </si>
  <si>
    <t>Eugene Charniak</t>
  </si>
  <si>
    <t>-</t>
  </si>
  <si>
    <t>Graduate student of Winograd and Minsky at MIT</t>
  </si>
  <si>
    <t>Vinod Nair</t>
  </si>
  <si>
    <t>Dhruv Mahajan</t>
  </si>
  <si>
    <t>Ravi Ramamoorthi</t>
  </si>
  <si>
    <t>Manmohan</t>
  </si>
  <si>
    <t>Chandraker</t>
  </si>
  <si>
    <t>Yi-Hsuan Tsai</t>
  </si>
  <si>
    <t>Aaron Courville</t>
  </si>
  <si>
    <t>Kyunghyun Cho</t>
  </si>
  <si>
    <t>Pascal Vincent</t>
  </si>
  <si>
    <t>Caglar Gulcehre</t>
  </si>
  <si>
    <t>Dzmitry Bahdanau</t>
  </si>
  <si>
    <t>David Warde-Farley</t>
  </si>
  <si>
    <t>Mehdi Mirza</t>
  </si>
  <si>
    <t>Sherjil Ozair</t>
  </si>
  <si>
    <t>Leon Bottou</t>
  </si>
  <si>
    <t>Xavier Glorot</t>
  </si>
  <si>
    <t>Anirudh Goyal</t>
  </si>
  <si>
    <t>Razvan Pascanu</t>
  </si>
  <si>
    <t>James Bergstra</t>
  </si>
  <si>
    <t>Bing Xu</t>
  </si>
  <si>
    <t>Jean Pouget-Abadie</t>
  </si>
  <si>
    <t>Chris Pal</t>
  </si>
  <si>
    <t>Holger Schwenk</t>
  </si>
  <si>
    <t>Terrence Sejnowski</t>
  </si>
  <si>
    <t>George E Dahl</t>
  </si>
  <si>
    <t>Abdelrahman Mohamed</t>
  </si>
  <si>
    <t>Radford Neal</t>
  </si>
  <si>
    <t>Sidney Fels</t>
  </si>
  <si>
    <t>Chris Williams</t>
  </si>
  <si>
    <t>Robert Tibshirani</t>
  </si>
  <si>
    <t>Demetri Terzopoulos</t>
  </si>
  <si>
    <t>Steven L Small</t>
  </si>
  <si>
    <t>Alessandro Sordoni</t>
  </si>
  <si>
    <t>Prolog</t>
  </si>
  <si>
    <t>PLANNER</t>
  </si>
  <si>
    <t>Knowledge representation scheme</t>
  </si>
  <si>
    <t>frames</t>
  </si>
  <si>
    <t>Minsky idea</t>
  </si>
  <si>
    <t>R1</t>
  </si>
  <si>
    <t>Early expert system deployed by DEC in the 1980s</t>
  </si>
  <si>
    <t>Fifth Generation</t>
  </si>
  <si>
    <t>Japanese project announced in 1981</t>
  </si>
  <si>
    <t>MCC</t>
  </si>
  <si>
    <t>Microelectronics and Computer Technology Corporation, a US research consortium</t>
  </si>
  <si>
    <t>The Symbolic Species</t>
  </si>
  <si>
    <t>Terrence Deacon</t>
  </si>
  <si>
    <t>1997-1</t>
  </si>
  <si>
    <t>hidden Markov models</t>
  </si>
  <si>
    <t>1988-1</t>
  </si>
  <si>
    <t>Probabilistic Reasoning in Intelligent Systems</t>
  </si>
  <si>
    <t>SOAR</t>
  </si>
  <si>
    <t>agent architecture by Newell, Laird and Rosenbloom</t>
  </si>
  <si>
    <t>Patrick Winston</t>
  </si>
  <si>
    <t>Ray Solomonoff</t>
  </si>
  <si>
    <t>1956 attendee</t>
  </si>
  <si>
    <t>STANLEY</t>
  </si>
  <si>
    <t>Winner of DARPA Grand Challenge</t>
  </si>
  <si>
    <t>BOSS</t>
  </si>
  <si>
    <t>CMU car which won DARPA Urban Challenge</t>
  </si>
  <si>
    <t>DART</t>
  </si>
  <si>
    <t>DARPA logistics program</t>
  </si>
  <si>
    <t>The Sciences of the Artificial</t>
  </si>
  <si>
    <t>Herb Simon</t>
  </si>
  <si>
    <t>Loebner Prize</t>
  </si>
  <si>
    <t>Turing Test competition</t>
  </si>
  <si>
    <t>Artificial Intelligence: The Very Idea</t>
  </si>
  <si>
    <t>John Haugeland</t>
  </si>
  <si>
    <t>1985-x</t>
  </si>
  <si>
    <t>The Encyclopedia of AI</t>
  </si>
  <si>
    <t>Shapiro</t>
  </si>
  <si>
    <t>1992-x</t>
  </si>
  <si>
    <t>IJCAI - International Joint Conference on AI</t>
  </si>
  <si>
    <t>ECAI - European Conference on AI</t>
  </si>
  <si>
    <t xml:space="preserve">AAAI - </t>
  </si>
  <si>
    <t>Artif Intel</t>
  </si>
  <si>
    <t>IEEE Intel Sys</t>
  </si>
  <si>
    <t>Comput Intel</t>
  </si>
  <si>
    <t>SIGART</t>
  </si>
  <si>
    <t>J Artif Intel Res</t>
  </si>
  <si>
    <t>AISB</t>
  </si>
  <si>
    <t>AI Magazine</t>
  </si>
  <si>
    <t>https://ailibrary.s3.amazonaws.com/A+Proposal+for+the+Dartmouth+Summer+Research+Project+on+AI+-+McCarthy+1955.pdf</t>
  </si>
  <si>
    <t>Computing Machinery And Intelligence. Mind 1950.</t>
  </si>
  <si>
    <t>https://ailibrary.s3.amazonaws.com/Computing+Machinery+and+Intelligence+-+Turing+1950.pdf</t>
  </si>
  <si>
    <t>1950-1</t>
  </si>
  <si>
    <t>1951-1</t>
  </si>
  <si>
    <t>Intelligent Machinery: A Heretical Idea</t>
  </si>
  <si>
    <t>https://ailibrary.s3.amazonaws.com/Intelligent+Machinery+-+a+Heretical+Theory+-+Turing+1951.pdf</t>
  </si>
  <si>
    <t>1872-1</t>
  </si>
  <si>
    <t>Erewhon</t>
  </si>
  <si>
    <t>Samuel Butler</t>
  </si>
  <si>
    <t>1936-1</t>
  </si>
  <si>
    <t>An Unsolvable Problem of Elementary Number Theory. Am J Math 1936;58:345-363</t>
  </si>
  <si>
    <t>Alonzo Church</t>
  </si>
  <si>
    <t>1931-1</t>
  </si>
  <si>
    <t>Uber formal unentscheildbare Satze der Principia Mathematica und verwandter Systeme, I. Monatshefle fur Math und Phys 1931;173-189</t>
  </si>
  <si>
    <t>Kurt Godel</t>
  </si>
  <si>
    <t>1949-2</t>
  </si>
  <si>
    <t>Calculating Instruments and Machines</t>
  </si>
  <si>
    <t>DR Hartree</t>
  </si>
  <si>
    <t>1935-1</t>
  </si>
  <si>
    <t>General Recursive Functions of Natural Numbers. Am J Math 1935;57:153-173,219-244</t>
  </si>
  <si>
    <t>SC Kleene</t>
  </si>
  <si>
    <t>1949-3</t>
  </si>
  <si>
    <t>The Mind of Mechnical Man. BMJ 1949</t>
  </si>
  <si>
    <t>G Jefferson</t>
  </si>
  <si>
    <t>1842-1</t>
  </si>
  <si>
    <t>Countess of Lovelace</t>
  </si>
  <si>
    <t>Translator's notes to an article on Babbage's Analytical Engiro. Scientific Memoirs 1842</t>
  </si>
  <si>
    <t>1940-1</t>
  </si>
  <si>
    <t>History of Western Philosophy</t>
  </si>
  <si>
    <t>Bertrand Russell</t>
  </si>
  <si>
    <t>1937-1</t>
  </si>
  <si>
    <t>On Computable Numbers, with an Application to the Entscheidungsproblem. Proc London Math Soc 1937;42:230-265</t>
  </si>
  <si>
    <t>1872-1, 1936-1, 1931-1, 1949-2, 1935-1, 1949-3, 1842-1, 1940-1, 1937-1</t>
  </si>
  <si>
    <t>META</t>
  </si>
  <si>
    <t>www.whylabs.ai</t>
  </si>
  <si>
    <t>Alessya Visnjic, Andy Dang, Maria Karaivanova, Sam Gracie</t>
  </si>
  <si>
    <t>Logging and observability</t>
  </si>
  <si>
    <t>CUDA, Omniverse, GET3D</t>
  </si>
  <si>
    <t>Ali Ghodsi, Andy Konwinski, Arsalan Tavakoli-Shiraji, Ion Stoica, Matei Zaharia, Patrick Wendell, Reynold Xin</t>
  </si>
  <si>
    <t>Counterpoint Global, Whale Rock, UC Investments, T. Rowe Price, Tiger, a16z, NEA, Franklin Templeton, Morgan Stanley, The House Fund, Race Capital, Octahedron Capital, Insight Partners, Greenoaks, Blackrock, CPPIB, ClearBridge, Coatue, Discovery Capital, Dragoneer, Fidelity</t>
  </si>
  <si>
    <t>Franklin Templeton, Whale Rock, T. Rowe Price, Tiger, Salesforce, NEA, Microsoft</t>
  </si>
  <si>
    <t>a16z, T Rowe, Tiger, NEA, Microsoft, Coatue, Blackrock</t>
  </si>
  <si>
    <t>a16z, Microsoft, NEA, Founders Future, Coatue, Unbound</t>
  </si>
  <si>
    <t>Boomer AI</t>
  </si>
  <si>
    <t>Super important</t>
  </si>
  <si>
    <t>Allen Institute spinout</t>
  </si>
  <si>
    <t>Defy.vc, AI Fund, Madrona, Bezos Expeditions</t>
  </si>
  <si>
    <t>Madrona, Defy.vc, Bezos Expeditions, Ascend, Allen Institute</t>
  </si>
  <si>
    <t>Sylvera</t>
  </si>
  <si>
    <t>Feedzai</t>
  </si>
  <si>
    <t>Nanonets</t>
  </si>
  <si>
    <t>Experiment tracking</t>
  </si>
  <si>
    <t>Piotr Niedzwiedz</t>
  </si>
  <si>
    <t>Almaz Capital, Rheingau Founders</t>
  </si>
  <si>
    <t>B2venture, TDJ Pitango, Rheingau, Mateusz Malinowski, Marek Cygan, Grzegorz Swirszcz</t>
  </si>
  <si>
    <t>TDJ Pitango</t>
  </si>
  <si>
    <t>Mazowieckie</t>
  </si>
  <si>
    <t>Warsaw</t>
  </si>
  <si>
    <t>www.neptune.ai</t>
  </si>
  <si>
    <t>Ad creative content</t>
  </si>
  <si>
    <t>Hikari Senju</t>
  </si>
  <si>
    <t>Lennox Capital Partners, Ethos VC, DG Daiwa Ventures, Orbit Venture Partners, John Donovan</t>
  </si>
  <si>
    <t>Village Global, Kohlmann &amp; Co, Hyphen Capital, FAST by GETTYLAB, Deepcore, Tien Tzuo, Shai Goldman, Richard Socher, Naguib Sawiris, John Donovan, Jeremy Bondy, Jennifer Kaehms, Grant Gittlin, Gene Farrell, Evan Stites-Clayton, Darius Contractor, Craig Kostelic, Charlie Feng, Bruno Faviero, Brianne Kimmel, Avi Flombaum</t>
  </si>
  <si>
    <t>www.omnekey.com</t>
  </si>
  <si>
    <t>Tim Porter</t>
  </si>
  <si>
    <t>Madrona (VC)</t>
  </si>
  <si>
    <t>Neptune.ai</t>
  </si>
  <si>
    <t>Databricks (private)</t>
  </si>
  <si>
    <t>Omnekey</t>
  </si>
  <si>
    <t>Defy.vc</t>
  </si>
  <si>
    <t>Bezos Expeditions</t>
  </si>
  <si>
    <t>Almaz Capital</t>
  </si>
  <si>
    <t>Rheingau Founders</t>
  </si>
  <si>
    <t>Kohlmann &amp; Co</t>
  </si>
  <si>
    <t>Hyphen Capital</t>
  </si>
  <si>
    <t>FAST by GETTYLAB</t>
  </si>
  <si>
    <t>Orbit Venture Partners</t>
  </si>
  <si>
    <t>Lennox Capital Partners</t>
  </si>
  <si>
    <t>Ethos VC</t>
  </si>
  <si>
    <t>DG Daiwa Ventures</t>
  </si>
  <si>
    <t>Lisp</t>
  </si>
  <si>
    <t>John McCarthy's AI programming language</t>
  </si>
  <si>
    <t>Logic Theorist</t>
  </si>
  <si>
    <t>Newell, Simon early AI program</t>
  </si>
  <si>
    <t>logical positivism</t>
  </si>
  <si>
    <t>Rudolf Carnap idea holding all knowledge can be characterized by logical theories connected to observation sentences that correspond to sensory inputs</t>
  </si>
  <si>
    <t>perceptron convergence theorem</t>
  </si>
  <si>
    <t>learning algorithm can adjust the connection strengths of a perceptron to match any input data</t>
  </si>
  <si>
    <t>physical symbol system</t>
  </si>
  <si>
    <t>any system exhibiting intelligence is manipulating symbol-based data structures</t>
  </si>
  <si>
    <t>SHRDLU</t>
  </si>
  <si>
    <t>1972 program by Terry Winograd</t>
  </si>
  <si>
    <t>SAINT</t>
  </si>
  <si>
    <t>1963 program by James Slagle for integration</t>
  </si>
  <si>
    <t>1948-1</t>
  </si>
  <si>
    <t>Cybernetics</t>
  </si>
  <si>
    <t>Norbert Weiner</t>
  </si>
  <si>
    <t>Mathematica</t>
  </si>
  <si>
    <t>Determined how to update probabilities with new information</t>
  </si>
  <si>
    <t>Herbert Gelernter</t>
  </si>
  <si>
    <t>Geometry Thoerem Prover program in 1959</t>
  </si>
  <si>
    <t>Cordell Green</t>
  </si>
  <si>
    <t>Question-answering and planning systems</t>
  </si>
  <si>
    <t>Arthur Samuel</t>
  </si>
  <si>
    <t>Checkers program in 1952 at IBM. One of the first AI programs.</t>
  </si>
  <si>
    <t>Warren McCulloch</t>
  </si>
  <si>
    <t>Perceptron</t>
  </si>
  <si>
    <t>Walter Pitts</t>
  </si>
  <si>
    <t>George Boole</t>
  </si>
  <si>
    <t>Gottlob Frege</t>
  </si>
  <si>
    <t>extended Boole to create first-order logic</t>
  </si>
  <si>
    <t>Alfred Tarski</t>
  </si>
  <si>
    <t>Nicolas Rashevsky</t>
  </si>
  <si>
    <t>Mathematical models of the nervous system</t>
  </si>
  <si>
    <t>Richard Bellman</t>
  </si>
  <si>
    <t>Steven Cook</t>
  </si>
  <si>
    <t>NP-completeness pioneer</t>
  </si>
  <si>
    <t>Richard Karp</t>
  </si>
  <si>
    <t>sliding-block puzzles</t>
  </si>
  <si>
    <t>nxn matrices with one blank tile, initial state is random, goal state is ordered</t>
  </si>
  <si>
    <t>Fei-Fei Li</t>
  </si>
  <si>
    <t>Female</t>
  </si>
  <si>
    <t>Gender</t>
  </si>
  <si>
    <t>Race</t>
  </si>
  <si>
    <t>White</t>
  </si>
  <si>
    <t>Asian</t>
  </si>
  <si>
    <t>https://www.cs.toronto.edu/~hinton/</t>
  </si>
  <si>
    <t>Website</t>
  </si>
  <si>
    <t>geoffrey.hinton@gmail.com</t>
  </si>
  <si>
    <t>Affiliation</t>
  </si>
  <si>
    <t>U Toronto</t>
  </si>
  <si>
    <t>Deep learning. LeCun, Bengio, Hinton. Nature 2015.</t>
  </si>
  <si>
    <t>MILA</t>
  </si>
  <si>
    <t>Kirkland</t>
  </si>
  <si>
    <t>www.docugami.com</t>
  </si>
  <si>
    <t>Andrew Begun, Jean Paoli, Martin Sawicki, Mike Palmer, Taqi Jaffri</t>
  </si>
  <si>
    <t>Orai</t>
  </si>
  <si>
    <t>SignalFire, NextWorld Capital, Grammarly, Fenwick &amp; West, Acequia Capital (AceCap), Sunil Chhaya, Shishir Mehrotra, Sarah Imbach, Marc Jalabert, Kevin Riegelsberger, Hank Vigil, Thomas Reardon, Greg Badros, Ellen Levy, Bob Muglia, Barry Abbott, Alan Smith</t>
  </si>
  <si>
    <t>Fenwick &amp; West</t>
  </si>
  <si>
    <t>Document engineering, analysis</t>
  </si>
  <si>
    <t>Journal</t>
  </si>
  <si>
    <t>Mind</t>
  </si>
  <si>
    <t>Computing Machinery And Intelligence</t>
  </si>
  <si>
    <t>Learning representations by back-propagating errors</t>
  </si>
  <si>
    <t>David E. Rumelhart, Geoffrey E. Hinton, Ronald J. Williams</t>
  </si>
  <si>
    <t>Book</t>
  </si>
  <si>
    <t>Adaptation in Natural and Artificial systems: an introductory analysis with applications to biology, control and artificial intelligence</t>
  </si>
  <si>
    <t>a16z (#1 VC)</t>
  </si>
  <si>
    <t>Tiger (#2 VC)</t>
  </si>
  <si>
    <t>Lightspeed Venture Partners (#3)</t>
  </si>
  <si>
    <t>Coatue (#4 VC)</t>
  </si>
  <si>
    <t>General Catalyst (#5 VC)</t>
  </si>
  <si>
    <t>Insight Partners (#6 VC)</t>
  </si>
  <si>
    <t>NEA (#7 VC)</t>
  </si>
  <si>
    <t>Sequoia, Sequoia Scout (#8 VC)</t>
  </si>
  <si>
    <t>Greylock (#9 VC)</t>
  </si>
  <si>
    <t>Jacob Andreou</t>
  </si>
  <si>
    <t>Shaun Maguire</t>
  </si>
  <si>
    <t>smaguire@sequoiacap.com</t>
  </si>
  <si>
    <t>truename.ai</t>
  </si>
  <si>
    <t>Investment research</t>
  </si>
  <si>
    <t>www.truename.ai</t>
  </si>
  <si>
    <t>www.kinetix.tech</t>
  </si>
  <si>
    <t>Henri Mirande, Yassine Tahi</t>
  </si>
  <si>
    <t>Mashgin</t>
  </si>
  <si>
    <t>Ripjar</t>
  </si>
  <si>
    <t>SDK for emotions/animations</t>
  </si>
  <si>
    <t>Top Harvest, Zepeto, The Sandbox, Sparkle Ventures, Entrepreneur First, Naver Z, Animoca Brands, Xavier Niel, Rand Hindi, Bill O'Farrell, Alexandre Yazdi, MetaVision International, Deimos</t>
  </si>
  <si>
    <t>Animoca Brands</t>
  </si>
  <si>
    <t>Zepeto</t>
  </si>
  <si>
    <t>The Sandbox</t>
  </si>
  <si>
    <t>Sparkle Ventures</t>
  </si>
  <si>
    <t>Naver (Naver Z)</t>
  </si>
  <si>
    <t>www.seldon.io</t>
  </si>
  <si>
    <t>Alex Housley</t>
  </si>
  <si>
    <t>BigML</t>
  </si>
  <si>
    <t>PredictNow.ai</t>
  </si>
  <si>
    <t>Enhencer</t>
  </si>
  <si>
    <t>Bright Pixel, Cambridge Innovation Capital, Amadeus Capital, AlbionVC</t>
  </si>
  <si>
    <t>Bright Pixel</t>
  </si>
  <si>
    <t>Cambridge Innovation Capital</t>
  </si>
  <si>
    <t>AlbionVC</t>
  </si>
  <si>
    <t>AlbionVC, Cambridge Innovation Capital, Techstars, Amadeus Capital, AlbionVC, Global Brain Corporation, Chris Adelsbach</t>
  </si>
  <si>
    <t>Currently unavailable for investment.</t>
  </si>
  <si>
    <t>Amadeus, Techstars, Global Brain, Chris Adelsbach</t>
  </si>
  <si>
    <t>Rewired, Will Martin, Will Brooks, Techstars, Playfair Capital</t>
  </si>
  <si>
    <t>Preseed</t>
  </si>
  <si>
    <t>m8 Capital</t>
  </si>
  <si>
    <t>Platform, deployment</t>
  </si>
  <si>
    <t>Manasi Vartak</t>
  </si>
  <si>
    <t>Intel Capital, General Catalyst</t>
  </si>
  <si>
    <t>www.verta.ai</t>
  </si>
  <si>
    <t>CGI</t>
  </si>
  <si>
    <t>www.wonderdynamics.com</t>
  </si>
  <si>
    <t>Nikola Todorovic, Tye Sheridan</t>
  </si>
  <si>
    <t>Horizons Ventures, Samsung NEXT, MaC Venture Capital, Founders Fund, Epic Games</t>
  </si>
  <si>
    <t>Actor from ready player one, Spielberg advisor</t>
  </si>
  <si>
    <t>MaC Venture Capital</t>
  </si>
  <si>
    <t>Epic Games</t>
  </si>
  <si>
    <t>Realize Tech Fund</t>
  </si>
  <si>
    <t>Capital Factory</t>
  </si>
  <si>
    <t>Founders Fund, Realize Tech Fund, MaC Venture Capital, Capital Factory, Robert Schwab, Cyan Banister</t>
  </si>
  <si>
    <t>WellSaid Labs</t>
  </si>
  <si>
    <t>Cost/month</t>
  </si>
  <si>
    <t>www.wellsaidlabs.com</t>
  </si>
  <si>
    <t>Matt Hocking, Michael Petrochuk</t>
  </si>
  <si>
    <t>Affectiva</t>
  </si>
  <si>
    <t>FUSE, Voyager Capital, Qualcomm Ventures, Good Friends</t>
  </si>
  <si>
    <t>Good Friends</t>
  </si>
  <si>
    <t>DeepDub</t>
  </si>
  <si>
    <t>Voice.ai</t>
  </si>
  <si>
    <t>MURF.ai</t>
  </si>
  <si>
    <t>www.swapp.net</t>
  </si>
  <si>
    <t>Adi Shavit, Eitan Tsarfati, Noam Gat</t>
  </si>
  <si>
    <t>Construction, architecture</t>
  </si>
  <si>
    <t>fka BuildOS</t>
  </si>
  <si>
    <t>Eurazeo, XTX Ventures, Entrée Capital, Activum</t>
  </si>
  <si>
    <t>Entrée Capital</t>
  </si>
  <si>
    <t>Activum</t>
  </si>
  <si>
    <t>Point72 Ventures, Entrée Capital</t>
  </si>
  <si>
    <t>Waveline Ventures, The Junction</t>
  </si>
  <si>
    <t>Kaskada (DataStax)</t>
  </si>
  <si>
    <t>Kaskade.cloud</t>
  </si>
  <si>
    <t>DataStax</t>
  </si>
  <si>
    <t>Male</t>
  </si>
  <si>
    <t>Sovereign wealth fund</t>
  </si>
  <si>
    <t>Private equity</t>
  </si>
  <si>
    <t>Sovereign Wealth Fund</t>
  </si>
  <si>
    <t>Tiger Cub hedge/VC</t>
  </si>
  <si>
    <t>Car company</t>
  </si>
  <si>
    <t>Chinese behemoth</t>
  </si>
  <si>
    <t>Chinese social+video game behemoth</t>
  </si>
  <si>
    <t>Addition (#10 VC)</t>
  </si>
  <si>
    <t>Tiger cub hedge/VC</t>
  </si>
  <si>
    <t>Index Ventures (#11 VC)</t>
  </si>
  <si>
    <t>Spark Capital (#12 VC)</t>
  </si>
  <si>
    <t>Chip company</t>
  </si>
  <si>
    <t>IVP (#13 VC)</t>
  </si>
  <si>
    <t>Sapphire Ventures (#14 VC)</t>
  </si>
  <si>
    <t>Founders Fund (#15 VC)</t>
  </si>
  <si>
    <t>CRM software</t>
  </si>
  <si>
    <t>Large asset allocator</t>
  </si>
  <si>
    <t>Andreessen Horowitz Fund III-A, L.P.</t>
  </si>
  <si>
    <t>Andreessen Horowitz Fund II, L.P.</t>
  </si>
  <si>
    <t>Andreessen Horowitz Fund II-A, L.P.</t>
  </si>
  <si>
    <t>Andreessen Horowitz Fund II-B, L.P.</t>
  </si>
  <si>
    <t>AH Parallel Fund, L.P.</t>
  </si>
  <si>
    <t>Andreessen Horowitz Fund III, L.P.</t>
  </si>
  <si>
    <t>Andreessen Horowitz Fund III-B, L.P.</t>
  </si>
  <si>
    <t>Andreessen Horowitz Fund III-Q, L.P.</t>
  </si>
  <si>
    <t>AH Parallel Fund III-A, L.P.</t>
  </si>
  <si>
    <t>AH Parallel Fund III, L.P.</t>
  </si>
  <si>
    <t>AH Equity Partners III, L.L.C.</t>
  </si>
  <si>
    <t>Andreessen Horowitz Fund I, L.P.</t>
  </si>
  <si>
    <t>Andreessen Horowitz Fund I-A, L.P.</t>
  </si>
  <si>
    <t>Andreessen Horowitz Fund I-B, L.P.</t>
  </si>
  <si>
    <t>AH Equity Partners II, L.L.C.</t>
  </si>
  <si>
    <t>AH Equity Partners I, L.L.C.</t>
  </si>
  <si>
    <t>AH Equity Partners LSV III, L.L.C.</t>
  </si>
  <si>
    <t>Andreessen Horowitz Fund IV-A, L.P.</t>
  </si>
  <si>
    <t>Andreessen Horowitz Fund IV-B, L.P.</t>
  </si>
  <si>
    <t>Andreessen Horowitz Fund IV-Q, L.P.</t>
  </si>
  <si>
    <t>AH Bio Fund II, L.P.</t>
  </si>
  <si>
    <t>AH Bio Fund II-B, L.P.</t>
  </si>
  <si>
    <t>a16z Seed-III, LLC</t>
  </si>
  <si>
    <t>AH Capital Management, L.L.C.</t>
  </si>
  <si>
    <t>Scott Kupor (first employee, COO)</t>
  </si>
  <si>
    <t>Fund I - $300m, 2009, 44% IRR, via Skype, Okta (200x)</t>
  </si>
  <si>
    <t>Fund II - $600m, 2010, Pinterest (9% stake 12/31/19, ~2B), AirBnB (7.7% stake 12/31/20 ~8B), Facebook, Twitter, Groupon, Slack (Tiny Speck)</t>
  </si>
  <si>
    <t>Fund III - $1.5B 2012, Github, Coinbase, Oculus</t>
  </si>
  <si>
    <t>Fund IV - 1.5B - Reddit, BuzzFeed, Instacart, Magic Leap</t>
  </si>
  <si>
    <t>Fund V - 1.5B - Roblox</t>
  </si>
  <si>
    <t>No AI related investments in 2023</t>
  </si>
  <si>
    <t>Greenscreens AI</t>
  </si>
  <si>
    <t>Treble.ai</t>
  </si>
  <si>
    <t>Butlr</t>
  </si>
  <si>
    <t>Vivun</t>
  </si>
  <si>
    <t>Beam</t>
  </si>
  <si>
    <t>Diligent Robotics</t>
  </si>
  <si>
    <t>Viz</t>
  </si>
  <si>
    <t>Cialfo</t>
  </si>
  <si>
    <t>Devron</t>
  </si>
  <si>
    <t>Avataar</t>
  </si>
  <si>
    <t>Scott Schleifer</t>
  </si>
  <si>
    <t>Barry Eggers, Christopher Schaepe, Peter Nieh, Ravi Mhatre</t>
  </si>
  <si>
    <t>Moritz Baier-Lentz (gaming)</t>
  </si>
  <si>
    <t>Michael Mignano (Tome)</t>
  </si>
  <si>
    <t>Galym Imanbayev (Fathom)</t>
  </si>
  <si>
    <t>Smartex.ai</t>
  </si>
  <si>
    <t>Paul Murphy (Smartex.ai)</t>
  </si>
  <si>
    <t>Dev Khare (Portkey)</t>
  </si>
  <si>
    <t>Portkey</t>
  </si>
  <si>
    <t>NyquistAI</t>
  </si>
  <si>
    <t>Nextbillion.ai</t>
  </si>
  <si>
    <t>Ravi Mhatre (Typeface, Glean)</t>
  </si>
  <si>
    <t>Arif Janmohamed (Xembly)</t>
  </si>
  <si>
    <t>Gaurav Gupta (Stability AI)</t>
  </si>
  <si>
    <t>Big mutual fund - crossover only</t>
  </si>
  <si>
    <t>Will do early stage</t>
  </si>
  <si>
    <t>Connor Love</t>
  </si>
  <si>
    <t>Will Kohler</t>
  </si>
  <si>
    <t>Janus Health</t>
  </si>
  <si>
    <t>www.janus-ai.com</t>
  </si>
  <si>
    <t>Brendan Downing, Brian Kaufman</t>
  </si>
  <si>
    <t>Illinois</t>
  </si>
  <si>
    <t>Chicago</t>
  </si>
  <si>
    <t>Enhanced Healthcare Partners</t>
  </si>
  <si>
    <t>Ensemble Health Partners, Caduceus Capital Partners</t>
  </si>
  <si>
    <t>Revenue lifecycle</t>
  </si>
  <si>
    <t>Caryn Marooney</t>
  </si>
  <si>
    <t>Malachi Price</t>
  </si>
  <si>
    <t>Jessica Brown</t>
  </si>
  <si>
    <t>Vibhor Khanna</t>
  </si>
  <si>
    <t>https://www.deepmind.com/blog/wavenet-a-generative-model-for-raw-audio</t>
  </si>
  <si>
    <t>2016-WaveNet</t>
  </si>
  <si>
    <t>WaveNet: A Generative Model for Raw Audio</t>
  </si>
  <si>
    <t>Oord et al.</t>
  </si>
  <si>
    <t>https://arxiv.org/pdf/1609.03499.pdf</t>
  </si>
  <si>
    <t>Neural-based vocoder by Deepmind in 2016.</t>
  </si>
  <si>
    <t>PixelCNN</t>
  </si>
  <si>
    <t>Wavenet (2016)</t>
  </si>
  <si>
    <t>Karen Simonyan</t>
  </si>
  <si>
    <t>simonyan@google.com</t>
  </si>
  <si>
    <t>Nal Kalchbrenner</t>
  </si>
  <si>
    <t>nalk@google.com</t>
  </si>
  <si>
    <t>Sander Dieleman</t>
  </si>
  <si>
    <t>sedielem@google.com</t>
  </si>
  <si>
    <t>TensorFlow (2015), Distilling the Knowledge (2015), WaveNet (2016)</t>
  </si>
  <si>
    <t>Team Lead for DL, ex Google Brain</t>
  </si>
  <si>
    <t>UC Berkeley</t>
  </si>
  <si>
    <t>Deep autoregressive NN from 2016, beat SOTA parametric and concatenative systems.</t>
  </si>
  <si>
    <t>Andrew Senior</t>
  </si>
  <si>
    <t>andrewsenior@google.com</t>
  </si>
  <si>
    <t>Left to start Character AI</t>
  </si>
  <si>
    <t>Heiga Zen</t>
  </si>
  <si>
    <t>heigazen@google.com</t>
  </si>
  <si>
    <t>Playing Atari (2013), WaveNet (2016)</t>
  </si>
  <si>
    <t>alex.graves@deepmind.com ; gravesa@google.com</t>
  </si>
  <si>
    <t>David Lee</t>
  </si>
  <si>
    <t>Faith and Fate: Limits of Transformers on Compositionality</t>
  </si>
  <si>
    <t>Dziri et al (Allen AI)</t>
  </si>
  <si>
    <t>https://arxiv.org/pdf/2305.18654.pdf</t>
  </si>
  <si>
    <t>www.copysmith.ai</t>
  </si>
  <si>
    <t>Anna Wang, Jasmine Wang</t>
  </si>
  <si>
    <t>eCommerce content</t>
  </si>
  <si>
    <t>PSG Equity, Harmony Venture Labs</t>
  </si>
  <si>
    <t>Harmony Venture Labs</t>
  </si>
  <si>
    <t>PSG Equity</t>
  </si>
  <si>
    <t>www.rosebud.ai</t>
  </si>
  <si>
    <t>Lisha Li</t>
  </si>
  <si>
    <t>Game Tools</t>
  </si>
  <si>
    <t>Game assets</t>
  </si>
  <si>
    <t>fka PixelVibe</t>
  </si>
  <si>
    <t>Jeff Dean, Adam D'Angelo</t>
  </si>
  <si>
    <t>Foothill Ventures</t>
  </si>
  <si>
    <t>YC, Lux, Khosla, Amplify, Kevin Lin, Ilya Sutskever, David Carrico, Andrej Karpathy</t>
  </si>
  <si>
    <t>Rosebud AI</t>
  </si>
  <si>
    <t>DeepMotion</t>
  </si>
  <si>
    <t>www.deepmotion.com</t>
  </si>
  <si>
    <t>Kevin He</t>
  </si>
  <si>
    <t>Voice moderator</t>
  </si>
  <si>
    <t>Scrum Ventures, TSVC, Samsung</t>
  </si>
  <si>
    <t>Motion tracking</t>
  </si>
  <si>
    <t>Scrum Ventures</t>
  </si>
  <si>
    <t>Inventory management CV</t>
  </si>
  <si>
    <t>www.fellowai.com</t>
  </si>
  <si>
    <t>Dan Barry, James Fahn, Marco Mascorro, Thavidu Ranatunga</t>
  </si>
  <si>
    <t>Jay Chen</t>
  </si>
  <si>
    <t>Philippe Laffont</t>
  </si>
  <si>
    <t>Roelof Botha</t>
  </si>
  <si>
    <t>Asheem Chandna</t>
  </si>
  <si>
    <t>jacob@greylock.com</t>
  </si>
  <si>
    <t>achandna@greylock.com</t>
  </si>
  <si>
    <t>Jerry Chen</t>
  </si>
  <si>
    <t>jerry.chen@greylock.com</t>
  </si>
  <si>
    <t>Mike Duboe</t>
  </si>
  <si>
    <t>mduboe@greylock.com</t>
  </si>
  <si>
    <t>Reid Hoffman</t>
  </si>
  <si>
    <t>rhoffman@greylock.com</t>
  </si>
  <si>
    <t>Saam Motamedi</t>
  </si>
  <si>
    <t>smotamedi@greylock.com</t>
  </si>
  <si>
    <t>Corinne Riley</t>
  </si>
  <si>
    <t>corinne@greylock.com</t>
  </si>
  <si>
    <t>Jason Risch</t>
  </si>
  <si>
    <t>jrisch@greylock.com</t>
  </si>
  <si>
    <t>Seth Rosenberg</t>
  </si>
  <si>
    <t>srosenberg@greylock.com</t>
  </si>
  <si>
    <t>Brooklyn</t>
  </si>
  <si>
    <t>www.hiddendoor.co</t>
  </si>
  <si>
    <t>Hilary Mason, Matt Brandwein</t>
  </si>
  <si>
    <t>Game</t>
  </si>
  <si>
    <t>AI text RPG</t>
  </si>
  <si>
    <t>Makers Fund, Northzone, Betaworks</t>
  </si>
  <si>
    <t>Makers Fund</t>
  </si>
  <si>
    <t>Northzone</t>
  </si>
  <si>
    <t>Looks shitty</t>
  </si>
  <si>
    <t>Northzone, Makers Fund, Homebrew, Brooklyn Bridge Ventures, Betaworks, Joschua Schachter, Daniel Sturman</t>
  </si>
  <si>
    <t>Hedge Fund</t>
  </si>
  <si>
    <t>Twilio (Nasdaq: TWLO)</t>
  </si>
  <si>
    <t>Brooklyn Bridge Ventures</t>
  </si>
  <si>
    <t>Optimized BERT. 88.5 on GLUE.</t>
  </si>
  <si>
    <t>XLNet-Large</t>
  </si>
  <si>
    <t>former GLUE leader</t>
  </si>
  <si>
    <t>We pass</t>
  </si>
  <si>
    <t>Need intro</t>
  </si>
  <si>
    <t>We Pass</t>
  </si>
  <si>
    <t>large mutual fund</t>
  </si>
  <si>
    <t>Goldman Sachs (GS)</t>
  </si>
  <si>
    <t>car company</t>
  </si>
  <si>
    <t>out of business?</t>
  </si>
  <si>
    <t>hedge fund</t>
  </si>
  <si>
    <t>Layer.ai</t>
  </si>
  <si>
    <t>Fast Diffusion Model. arXiv 6/12/2023</t>
  </si>
  <si>
    <t>Zike Wu et al</t>
  </si>
  <si>
    <t>https://arxiv.org/abs/2306.06991</t>
  </si>
  <si>
    <t>forward difussion</t>
  </si>
  <si>
    <t>In diffusion models, maps data to noise by gradually perturbing the input data, using Gaussian diffusion kernel.</t>
  </si>
  <si>
    <t>parametrized reverse process</t>
  </si>
  <si>
    <t>In diffusion models, undoes forward diffusion and performs iterative denoising. Converts random noise into realistic data.</t>
  </si>
  <si>
    <t>Forward diffusion process where X_t is sample condition on X_t-1 using a Gaussian distribution with mean ((1 - B_t)^0.5)*x_t-1 and variance B_t</t>
  </si>
  <si>
    <t>B_t is usually predefined and fixed, T is total number of diffusion steps.</t>
  </si>
  <si>
    <t>Reverse generative process (denoising) has denoising distribution of P_theta*(x_t-1 | x_t), a Gaussian whose mean is</t>
  </si>
  <si>
    <t>defined using a trainable neural network mu_theta(x_t, t), with variance preset</t>
  </si>
  <si>
    <t>stochastic differential equation (SDE)</t>
  </si>
  <si>
    <t>example of fixed forward SDE, transforms sample into noise</t>
  </si>
  <si>
    <t>2021-x</t>
  </si>
  <si>
    <t>https://arxiv.org/abs/2106.05931</t>
  </si>
  <si>
    <t>Vahdat et al (Nvidia)</t>
  </si>
  <si>
    <t>Score-based Generative Modeling in Latent Space. arXiv 6/10/2021, revised 12/2/2021</t>
  </si>
  <si>
    <t>2020-Diffusion</t>
  </si>
  <si>
    <t>Denoising Diffusion Probabilistic Models. arXiv 6/19/2020</t>
  </si>
  <si>
    <t>Jonathan Ho, Ajay Jain, Pieter Abbeel</t>
  </si>
  <si>
    <t>https://arxiv.org/abs/2006.11239</t>
  </si>
  <si>
    <t>Genmo</t>
  </si>
  <si>
    <t>Ideogram</t>
  </si>
  <si>
    <t>FID</t>
  </si>
  <si>
    <t>Langevin dynamics</t>
  </si>
  <si>
    <t>2021-y</t>
  </si>
  <si>
    <t>Score-based Generative Modeling with Critically-Damped Langevin Diffusion</t>
  </si>
  <si>
    <t>Dockhorn et al</t>
  </si>
  <si>
    <t>https://arxiv.org/abs/2112.07068</t>
  </si>
  <si>
    <t>GSNs: generative stochastic networks. arXiv 2015. Information and Inference: A Journal of the IMA 2016.</t>
  </si>
  <si>
    <t>Learning to Generate Samples from Noise through Infusion Training. arXiv 3/20/17.</t>
  </si>
  <si>
    <t>Bordes et al.</t>
  </si>
  <si>
    <t>https://arxiv.org/abs/1703.06975</t>
  </si>
  <si>
    <t>2017-14</t>
  </si>
  <si>
    <t>2015-9, 2017-14</t>
  </si>
  <si>
    <t>Andrew Brock et al.</t>
  </si>
  <si>
    <t>Large Scale GAN Training for High Fidelity Natural Image Synthesis</t>
  </si>
  <si>
    <t>2018-x</t>
  </si>
  <si>
    <t>https://arxiv.org/abs/1809.11096</t>
  </si>
  <si>
    <t>Technology</t>
  </si>
  <si>
    <t>Inception</t>
  </si>
  <si>
    <t>Eren Golge, Reuben Morais</t>
  </si>
  <si>
    <t>Financing</t>
  </si>
  <si>
    <t>3.3m</t>
  </si>
  <si>
    <t>Piotr Dabkowski, Mati Staniszewski</t>
  </si>
  <si>
    <t>Credits</t>
  </si>
  <si>
    <t>Price/hour</t>
  </si>
  <si>
    <t>180k seconds; 50 hours low quality, 25 hours high quality</t>
  </si>
  <si>
    <t>19m</t>
  </si>
  <si>
    <t>1.0m</t>
  </si>
  <si>
    <t>www.coqui.ai</t>
  </si>
  <si>
    <t>Lily Clifford</t>
  </si>
  <si>
    <t>3.1m</t>
  </si>
  <si>
    <t>Unclear</t>
  </si>
  <si>
    <t>www.rime.ai</t>
  </si>
  <si>
    <t>225 hours</t>
  </si>
  <si>
    <t>1m chars (20 hours)</t>
  </si>
  <si>
    <t>750*5000, 3.75m</t>
  </si>
  <si>
    <t>10m</t>
  </si>
  <si>
    <t>Matt Hocking, Michael Petrochuk, Martin Ramirez</t>
  </si>
  <si>
    <t>Tacotron and pushed it even further</t>
  </si>
  <si>
    <t>Q322 30k hours of voice content, Martin Ramirez. Allen AI spinout. Runs on a CPU!? "Using 20 hours of data per person"</t>
  </si>
  <si>
    <t>Amazon Polly</t>
  </si>
  <si>
    <t>Google TTS</t>
  </si>
  <si>
    <t>IBM</t>
  </si>
  <si>
    <t>text-to-video</t>
  </si>
  <si>
    <t>Has celebrities? No API</t>
  </si>
  <si>
    <t>Cliff Weitzman, Tyler Weitzman</t>
  </si>
  <si>
    <t>4 hours</t>
  </si>
  <si>
    <t>Ankur Edkie, Divyanshu Pandey, Sneha Roy</t>
  </si>
  <si>
    <t>11.5m</t>
  </si>
  <si>
    <t>very low quality</t>
  </si>
  <si>
    <t>625m chars, 12.5k hours</t>
  </si>
  <si>
    <t>No cloning, a little robotic, but great.</t>
  </si>
  <si>
    <t>SW 28day</t>
  </si>
  <si>
    <t>Voice changer, not TTS</t>
  </si>
  <si>
    <t>no API?</t>
  </si>
  <si>
    <t>www.unrealspeech.com</t>
  </si>
  <si>
    <t>Eric</t>
  </si>
  <si>
    <t>www.speechify.com</t>
  </si>
  <si>
    <t>1 second</t>
  </si>
  <si>
    <t>www.voicemod.net</t>
  </si>
  <si>
    <t>1m API calls for $1400</t>
  </si>
  <si>
    <t>text-to-video only</t>
  </si>
  <si>
    <t>1.5m</t>
  </si>
  <si>
    <t>Alex Serdiuk</t>
  </si>
  <si>
    <t>wtf price, no API</t>
  </si>
  <si>
    <t>Non-TTS, no API or 1st-gen</t>
  </si>
  <si>
    <t>real-time voice changer</t>
  </si>
  <si>
    <t>10k characters</t>
  </si>
  <si>
    <t>120/hr for an audiobook, no API</t>
  </si>
  <si>
    <t>download only</t>
  </si>
  <si>
    <t>transcription (STT) only</t>
  </si>
  <si>
    <t>ASR suite</t>
  </si>
  <si>
    <t>STT</t>
  </si>
  <si>
    <t>no api, talkbot for customer service</t>
  </si>
  <si>
    <t>20m</t>
  </si>
  <si>
    <t>Voiser</t>
  </si>
  <si>
    <t>20 hours</t>
  </si>
  <si>
    <t>very slow.</t>
  </si>
  <si>
    <t>600k chars/mo</t>
  </si>
  <si>
    <t>67 one-time</t>
  </si>
  <si>
    <t>www.replicastudios.com</t>
  </si>
  <si>
    <t>Azure</t>
  </si>
  <si>
    <t>Voceovermaker</t>
  </si>
  <si>
    <t>www.voiceovermaker.io</t>
  </si>
  <si>
    <t>300k chars, 6 hours</t>
  </si>
  <si>
    <t>Nemo</t>
  </si>
  <si>
    <t>Used in ElevenLabs, Play.ht</t>
  </si>
  <si>
    <t>https://docs.nvidia.com/deeplearning/nemo/user-guide/docs/en/stable/tts/intro.html</t>
  </si>
  <si>
    <t>Bark</t>
  </si>
  <si>
    <t>www.synthesys.io</t>
  </si>
  <si>
    <t>30 hours</t>
  </si>
  <si>
    <t>ttsconverter.io</t>
  </si>
  <si>
    <t>ttsfree.com</t>
  </si>
  <si>
    <t>iSpeech</t>
  </si>
  <si>
    <t>www.ispeech.org</t>
  </si>
  <si>
    <t>https://www.vocalware.com/index/pricing</t>
  </si>
  <si>
    <t>Vocalware</t>
  </si>
  <si>
    <t>Astica.ai</t>
  </si>
  <si>
    <t>1 word</t>
  </si>
  <si>
    <t>output layer</t>
  </si>
  <si>
    <t>final layer which requires modulation to achieve correct form of inference</t>
  </si>
  <si>
    <t>Output layer activation function.</t>
  </si>
  <si>
    <t>minima</t>
  </si>
  <si>
    <t>Finding whether a minima is local or global in a NN is challenging</t>
  </si>
  <si>
    <t>critical hyperparameter when training networks</t>
  </si>
  <si>
    <t>line search</t>
  </si>
  <si>
    <t>settings/parameters which do not change during training and are not related to training data, and therefore, external to the learning algorithm; for example, learning rate.</t>
  </si>
  <si>
    <t>trust region</t>
  </si>
  <si>
    <t>numerical optimization idea</t>
  </si>
  <si>
    <t>steepest descent</t>
  </si>
  <si>
    <t>Newton direction</t>
  </si>
  <si>
    <t>Hessian</t>
  </si>
  <si>
    <t>Taylor expansion</t>
  </si>
  <si>
    <t>Class of line-search optimization algorithms for neural network learning.</t>
  </si>
  <si>
    <t>40 hours /2m chars</t>
  </si>
  <si>
    <t>Gemelo.ai</t>
  </si>
  <si>
    <t>24 hours</t>
  </si>
  <si>
    <r>
      <t xml:space="preserve">Neural-based </t>
    </r>
    <r>
      <rPr>
        <b/>
        <sz val="10"/>
        <color theme="1"/>
        <rFont val="Arial"/>
        <family val="2"/>
      </rPr>
      <t>vocoder</t>
    </r>
  </si>
  <si>
    <r>
      <t xml:space="preserve">Also known as </t>
    </r>
    <r>
      <rPr>
        <b/>
        <sz val="10"/>
        <color theme="1"/>
        <rFont val="Arial"/>
        <family val="2"/>
      </rPr>
      <t>manifold learning</t>
    </r>
    <r>
      <rPr>
        <sz val="10"/>
        <color theme="1"/>
        <rFont val="Arial"/>
        <family val="2"/>
      </rPr>
      <t>, a canonical ML task which transforms an initial representation into a lower-dimensional one with preserved properties</t>
    </r>
  </si>
  <si>
    <t>latent variable</t>
  </si>
  <si>
    <t>cannot be observed directly, must be inferred from statistical models</t>
  </si>
  <si>
    <r>
      <t xml:space="preserve">Deep learning is a subgroup of </t>
    </r>
    <r>
      <rPr>
        <b/>
        <sz val="10"/>
        <color theme="1"/>
        <rFont val="Arial"/>
        <family val="2"/>
      </rPr>
      <t>machine learning</t>
    </r>
    <r>
      <rPr>
        <sz val="10"/>
        <color theme="1"/>
        <rFont val="Arial"/>
        <family val="2"/>
      </rPr>
      <t xml:space="preserve"> that allows representations to be composed of other, simpler representations. The quintessential example is the</t>
    </r>
    <r>
      <rPr>
        <b/>
        <sz val="10"/>
        <color theme="1"/>
        <rFont val="Arial"/>
        <family val="2"/>
      </rPr>
      <t xml:space="preserve"> feedforward deep network</t>
    </r>
    <r>
      <rPr>
        <sz val="10"/>
        <color theme="1"/>
        <rFont val="Arial"/>
        <family val="2"/>
      </rPr>
      <t xml:space="preserve">, or </t>
    </r>
    <r>
      <rPr>
        <b/>
        <sz val="10"/>
        <color theme="1"/>
        <rFont val="Arial"/>
        <family val="2"/>
      </rPr>
      <t>multilayer perceptron</t>
    </r>
    <r>
      <rPr>
        <sz val="10"/>
        <color theme="1"/>
        <rFont val="Arial"/>
        <family val="2"/>
      </rPr>
      <t>.</t>
    </r>
  </si>
  <si>
    <t>diffusion process</t>
  </si>
  <si>
    <t>Data are progressively noised</t>
  </si>
  <si>
    <r>
      <t xml:space="preserve">Regularization method that limits </t>
    </r>
    <r>
      <rPr>
        <b/>
        <sz val="10"/>
        <color theme="1"/>
        <rFont val="Arial"/>
        <family val="2"/>
      </rPr>
      <t>overfitting</t>
    </r>
    <r>
      <rPr>
        <sz val="10"/>
        <color theme="1"/>
        <rFont val="Arial"/>
        <family val="2"/>
      </rPr>
      <t>.</t>
    </r>
  </si>
  <si>
    <t>Cartesian idea that the mind is outside the laws of nature.</t>
  </si>
  <si>
    <t>reverse diffusion process</t>
  </si>
  <si>
    <r>
      <t xml:space="preserve">Also known as </t>
    </r>
    <r>
      <rPr>
        <b/>
        <sz val="10"/>
        <color theme="1"/>
        <rFont val="Arial"/>
        <family val="2"/>
      </rPr>
      <t>diffusion probabilistic models</t>
    </r>
    <r>
      <rPr>
        <sz val="10"/>
        <color theme="1"/>
        <rFont val="Arial"/>
        <family val="2"/>
      </rPr>
      <t xml:space="preserve">, a class of </t>
    </r>
    <r>
      <rPr>
        <b/>
        <sz val="10"/>
        <color theme="1"/>
        <rFont val="Arial"/>
        <family val="2"/>
      </rPr>
      <t>latent variable</t>
    </r>
    <r>
      <rPr>
        <sz val="10"/>
        <color theme="1"/>
        <rFont val="Arial"/>
        <family val="2"/>
      </rPr>
      <t xml:space="preserve"> models which outperform GANs. Also known as </t>
    </r>
    <r>
      <rPr>
        <b/>
        <sz val="10"/>
        <color theme="1"/>
        <rFont val="Arial"/>
        <family val="2"/>
      </rPr>
      <t>denoising diffusion models</t>
    </r>
    <r>
      <rPr>
        <sz val="10"/>
        <color theme="1"/>
        <rFont val="Arial"/>
        <family val="2"/>
      </rPr>
      <t xml:space="preserve"> or </t>
    </r>
    <r>
      <rPr>
        <b/>
        <sz val="10"/>
        <color theme="1"/>
        <rFont val="Arial"/>
        <family val="2"/>
      </rPr>
      <t>score-based generative models</t>
    </r>
    <r>
      <rPr>
        <sz val="10"/>
        <color theme="1"/>
        <rFont val="Arial"/>
        <family val="2"/>
      </rPr>
      <t xml:space="preserve">. Diffusion models are </t>
    </r>
    <r>
      <rPr>
        <b/>
        <sz val="10"/>
        <color theme="1"/>
        <rFont val="Arial"/>
        <family val="2"/>
      </rPr>
      <t>parameterized Markov chains</t>
    </r>
    <r>
      <rPr>
        <sz val="10"/>
        <color theme="1"/>
        <rFont val="Arial"/>
        <family val="2"/>
      </rPr>
      <t xml:space="preserve"> using two processes: </t>
    </r>
    <r>
      <rPr>
        <b/>
        <sz val="10"/>
        <color theme="1"/>
        <rFont val="Arial"/>
        <family val="2"/>
      </rPr>
      <t>forward diffusion</t>
    </r>
    <r>
      <rPr>
        <sz val="10"/>
        <color theme="1"/>
        <rFont val="Arial"/>
        <family val="2"/>
      </rPr>
      <t xml:space="preserve"> and </t>
    </r>
    <r>
      <rPr>
        <b/>
        <sz val="10"/>
        <color theme="1"/>
        <rFont val="Arial"/>
        <family val="2"/>
      </rPr>
      <t>parametrized reverse</t>
    </r>
    <r>
      <rPr>
        <sz val="10"/>
        <color theme="1"/>
        <rFont val="Arial"/>
        <family val="2"/>
      </rPr>
      <t>. The forward diffusion process passes randomly sample noise with Gaussian noise and then reverses through the "</t>
    </r>
    <r>
      <rPr>
        <b/>
        <sz val="10"/>
        <color theme="1"/>
        <rFont val="Arial"/>
        <family val="2"/>
      </rPr>
      <t>learned</t>
    </r>
    <r>
      <rPr>
        <sz val="10"/>
        <color theme="1"/>
        <rFont val="Arial"/>
        <family val="2"/>
      </rPr>
      <t xml:space="preserve"> </t>
    </r>
    <r>
      <rPr>
        <b/>
        <sz val="10"/>
        <color theme="1"/>
        <rFont val="Arial"/>
        <family val="2"/>
      </rPr>
      <t>denoising</t>
    </r>
    <r>
      <rPr>
        <sz val="10"/>
        <color theme="1"/>
        <rFont val="Arial"/>
        <family val="2"/>
      </rPr>
      <t xml:space="preserve"> </t>
    </r>
    <r>
      <rPr>
        <b/>
        <sz val="10"/>
        <color theme="1"/>
        <rFont val="Arial"/>
        <family val="2"/>
      </rPr>
      <t>process</t>
    </r>
    <r>
      <rPr>
        <sz val="10"/>
        <color theme="1"/>
        <rFont val="Arial"/>
        <family val="2"/>
      </rPr>
      <t xml:space="preserve">". Diffusion models map latent space using a </t>
    </r>
    <r>
      <rPr>
        <b/>
        <sz val="10"/>
        <color theme="1"/>
        <rFont val="Arial"/>
        <family val="2"/>
      </rPr>
      <t>fixed Markov chain</t>
    </r>
    <r>
      <rPr>
        <sz val="10"/>
        <color theme="1"/>
        <rFont val="Arial"/>
        <family val="2"/>
      </rPr>
      <t>,</t>
    </r>
    <r>
      <rPr>
        <b/>
        <sz val="10"/>
        <color theme="1"/>
        <rFont val="Arial"/>
        <family val="2"/>
      </rPr>
      <t xml:space="preserve"> </t>
    </r>
    <r>
      <rPr>
        <sz val="10"/>
        <color theme="1"/>
        <rFont val="Arial"/>
        <family val="2"/>
      </rPr>
      <t>which adds noise. Training a diffusion model requires finding reverse Markov transitions that maximize the likelihood of the training data.</t>
    </r>
  </si>
  <si>
    <t>Kullback-Leibler divergence</t>
  </si>
  <si>
    <t>Statistical distance for probability distributions</t>
  </si>
  <si>
    <t>U-Net</t>
  </si>
  <si>
    <t>LMNT</t>
  </si>
  <si>
    <t>www.lmnt.com</t>
  </si>
  <si>
    <t>30k chars, 0.6hrs (35min?)</t>
  </si>
  <si>
    <t>10/mo/clone</t>
  </si>
  <si>
    <t>www.deepdub.ai</t>
  </si>
  <si>
    <t>www.gemelo.ai</t>
  </si>
  <si>
    <t>www.voiser.net</t>
  </si>
  <si>
    <t>SIGNED EO PLEDGE</t>
  </si>
  <si>
    <t>Great firm.</t>
  </si>
  <si>
    <t>Great firm, Connor and Mike super nice.</t>
  </si>
  <si>
    <t>Set up call.</t>
  </si>
  <si>
    <t>AVOID AT ALL COSTS.</t>
  </si>
  <si>
    <t>Created the toxic EO BS.</t>
  </si>
  <si>
    <t>Not even that activate in the space…</t>
  </si>
  <si>
    <t>did two deals this year, both in healthcare</t>
  </si>
  <si>
    <t>AVOID: Signed toxic EO pledge.</t>
  </si>
  <si>
    <t>Great firm. Seem distancing from Inflection.</t>
  </si>
  <si>
    <t>Hasn't done much outside of HuggingFace + Runway</t>
  </si>
  <si>
    <t>7wire Ventures</t>
  </si>
  <si>
    <t>Latest Fund</t>
  </si>
  <si>
    <t>Focus</t>
  </si>
  <si>
    <t>AI Investments</t>
  </si>
  <si>
    <t>None</t>
  </si>
  <si>
    <t>Antler</t>
  </si>
  <si>
    <t>Artisanal Ventures</t>
  </si>
  <si>
    <t>Base10</t>
  </si>
  <si>
    <t>Bain Capital Ventures</t>
  </si>
  <si>
    <t>Brave</t>
  </si>
  <si>
    <t>City Light</t>
  </si>
  <si>
    <t>Democracy</t>
  </si>
  <si>
    <t>DataPower Ventures</t>
  </si>
  <si>
    <t>ex/ante</t>
  </si>
  <si>
    <t>Felicis Ventures</t>
  </si>
  <si>
    <t>General Atlantic</t>
  </si>
  <si>
    <t>Generation Investment</t>
  </si>
  <si>
    <t>IVP</t>
  </si>
  <si>
    <t>Kinnevik</t>
  </si>
  <si>
    <t>Matchstick Ventures</t>
  </si>
  <si>
    <t>Paladin Capital</t>
  </si>
  <si>
    <t>Phoenix Court Group</t>
  </si>
  <si>
    <t>Ribbit Capital</t>
  </si>
  <si>
    <t>Riceberg Ventures</t>
  </si>
  <si>
    <t>Roadster Capital</t>
  </si>
  <si>
    <t>Westly Group</t>
  </si>
  <si>
    <t>Tola Capital</t>
  </si>
  <si>
    <t>Beware he who would deny you access to information, for in his heart, he dreams himself your master.</t>
  </si>
  <si>
    <t>Cowboy Ventures</t>
  </si>
  <si>
    <t>Avaana Capital</t>
  </si>
  <si>
    <t>Samsara</t>
  </si>
  <si>
    <t>Altana AI, Optimal Dynamics</t>
  </si>
  <si>
    <t>Seldon, Diffblue, Speechmatics, PerchPeek</t>
  </si>
  <si>
    <t>Healthcare, SaaS</t>
  </si>
  <si>
    <t>Activate Capital Partners</t>
  </si>
  <si>
    <t>Industrials</t>
  </si>
  <si>
    <t>Hundreds of deals: Fero, Tidalflow, Katalis AI, MuchBetter, Persona, Agenta, Quacks.ai, Factory AI</t>
  </si>
  <si>
    <t>Who Knows</t>
  </si>
  <si>
    <t>Rodeo, Metaphor, Twosense.ai</t>
  </si>
  <si>
    <t>Intello Labs, AarogyaAI</t>
  </si>
  <si>
    <t>Climate, Healthcare</t>
  </si>
  <si>
    <t xml:space="preserve">Akkio, Unstructured Technologies, Granica, Contextual AI, Holocron Technologies, EvenUp, Nightfall AI, Tecton, </t>
  </si>
  <si>
    <t>Muir AI, Prins Artificial Intelligence, SuperAnnotate</t>
  </si>
  <si>
    <t>Sixfold AI, Coactive AI, DeepL, Spot AI, Jasper</t>
  </si>
  <si>
    <t>Doomers</t>
  </si>
  <si>
    <t>https://twitter.com/AlyssaJoyJaffee</t>
  </si>
  <si>
    <t>https://twitter.com/7wireventures</t>
  </si>
  <si>
    <t>https://twitter.com/annaring</t>
  </si>
  <si>
    <t>https://twitter.com/albionvc</t>
  </si>
  <si>
    <t>https://twitter.com/lauren__apost</t>
  </si>
  <si>
    <t>https://twitter.com/drmolsg</t>
  </si>
  <si>
    <t>https://twitter.com/paullehair</t>
  </si>
  <si>
    <t>https://twitter.com/goldie_oz</t>
  </si>
  <si>
    <t>https://twitter.com/RichFeloni</t>
  </si>
  <si>
    <t>https://twitter.com/rak_garg/</t>
  </si>
  <si>
    <t>"leadership" according to Sam</t>
  </si>
  <si>
    <t>Hannah</t>
  </si>
  <si>
    <t>leadership according to Sam</t>
  </si>
  <si>
    <t>leadership according to sam</t>
  </si>
  <si>
    <t>leadership?</t>
  </si>
  <si>
    <t>leadership? Codex (at least 7/14/21), Rubik's Cube (10/16/19)</t>
  </si>
  <si>
    <t>leadership</t>
  </si>
  <si>
    <t>leadership Rubik's Cube (10/16/19)</t>
  </si>
  <si>
    <t>leadership, Codex (at least 7/14/21)</t>
  </si>
  <si>
    <t>Pat</t>
  </si>
  <si>
    <t>Aleksander</t>
  </si>
  <si>
    <t>PagedAttention</t>
  </si>
  <si>
    <t>Efficient management of attention key and value memory</t>
  </si>
  <si>
    <t>continuous batching</t>
  </si>
  <si>
    <t>tensor parallelism</t>
  </si>
  <si>
    <t>Together</t>
  </si>
  <si>
    <t>Perplexity</t>
  </si>
  <si>
    <t>DeepInfra</t>
  </si>
  <si>
    <t>Fireworks</t>
  </si>
  <si>
    <t>Neets</t>
  </si>
  <si>
    <t>model parallelism, inference-customized kernels, MoQ quantization</t>
  </si>
  <si>
    <t>OpenRouter</t>
  </si>
  <si>
    <t>openrouter.ai</t>
  </si>
  <si>
    <t>Gemini Price</t>
  </si>
  <si>
    <t>0.25/0.50</t>
  </si>
  <si>
    <t>Mixtral</t>
  </si>
  <si>
    <t>Free</t>
  </si>
  <si>
    <t>Nous Capybara 7B</t>
  </si>
  <si>
    <t>8.00/24.00</t>
  </si>
  <si>
    <t>Nuvalab.ai</t>
  </si>
  <si>
    <t>Storytelling platform</t>
  </si>
  <si>
    <t>StyleTTS2</t>
  </si>
  <si>
    <t>https://github.com/yl4579/StyleTTS2</t>
  </si>
  <si>
    <t>https://github.com/aliutkus/speechmetrics</t>
  </si>
  <si>
    <t>Speechmetrics</t>
  </si>
  <si>
    <t>Series I</t>
  </si>
  <si>
    <t>Alan Tu</t>
  </si>
  <si>
    <t>Sanabil (Saudi Sovereign)</t>
  </si>
  <si>
    <t>Octahedron</t>
  </si>
  <si>
    <t>Ghisallo</t>
  </si>
  <si>
    <t>Eastlink Capital</t>
  </si>
  <si>
    <t>AT&amp;T Ventures</t>
  </si>
  <si>
    <t>Amazon (AWS)</t>
  </si>
  <si>
    <t>Whale Rock</t>
  </si>
  <si>
    <t>UC Investments</t>
  </si>
  <si>
    <t>Race Capital</t>
  </si>
  <si>
    <t>Green Bay Ventures</t>
  </si>
  <si>
    <t>Flucas Ventures</t>
  </si>
  <si>
    <t>Discovery Capital</t>
  </si>
  <si>
    <t>Alta Park Capital</t>
  </si>
  <si>
    <t>BAM Elevate (hedge VC)</t>
  </si>
  <si>
    <t>T Rowe, Tiger, Sanabil, QIA, Ontario, Octahedron, Nvidia, MSFT, GIC, Ghiasallo, Gaingels, Franklin Templeton, Fidelity, Eastlink, Counterpoint, ClearBridge, Capital One, Google, Baillie, AT&amp;T, a16z, AWS</t>
  </si>
  <si>
    <t>Walmart</t>
  </si>
  <si>
    <t>Microsoft, GM, Honda</t>
  </si>
  <si>
    <t>Honda</t>
  </si>
  <si>
    <t>Neom Investment Fund</t>
  </si>
  <si>
    <t>Qualcomm (QCOM)</t>
  </si>
  <si>
    <t>Snowflake (SNOW)</t>
  </si>
  <si>
    <t>Intel Capital (INTC)</t>
  </si>
  <si>
    <t>AMD</t>
  </si>
  <si>
    <t>Salesforce, Sound, QCOM, NVDA, INTC, IBM, GOOG, AMD, AMZN</t>
  </si>
  <si>
    <t>Model repos, HuggingChat, Woke stuff, Transformers, Accelerate, TGI</t>
  </si>
  <si>
    <t>Coreweave</t>
  </si>
  <si>
    <t>Fidelity, NEA, Drive, Bond</t>
  </si>
  <si>
    <t>CEO is sketchy, rapidly going out of business</t>
  </si>
  <si>
    <t>Convert</t>
  </si>
  <si>
    <t>Ashton Kutcher</t>
  </si>
  <si>
    <t>Intel, Sound Capital</t>
  </si>
  <si>
    <t>US Innovative Technology Fund, Snowpoint, Riot Ventures, Disruptive, Ark</t>
  </si>
  <si>
    <t>Rogue VC, Google, Salesforce, Nvidia</t>
  </si>
  <si>
    <t>Arizona</t>
  </si>
  <si>
    <t>Scottsdale</t>
  </si>
  <si>
    <t>Guangdong</t>
  </si>
  <si>
    <t>Campbell</t>
  </si>
  <si>
    <t>Emeryville</t>
  </si>
  <si>
    <t>Columbus</t>
  </si>
  <si>
    <t>Uses GPT, probably biggest wrapper company, $50m+ in revenue</t>
  </si>
  <si>
    <t>Whisper</t>
  </si>
  <si>
    <t>Ocotillo</t>
  </si>
  <si>
    <t>Deep</t>
  </si>
  <si>
    <t>Series E-2</t>
  </si>
  <si>
    <t>Valor Equity, Primary Ventures, PICO, Max Ventures, Marcy Venture Partners, Mangrove, LTS Investments, Cedars Sinai, BoxGroup</t>
  </si>
  <si>
    <t>Cedars Sinai</t>
  </si>
  <si>
    <t>Shanghai International Group, Shanghai GuoHe Capital, China Fintech Fund, Yuntai, Wuyuefeng, Tencent, Ruian Datai, Redpoint, Pudong, Meitu, Hundreds Capital, Hehe, Guoxin, Guofang, GF Qianhe</t>
  </si>
  <si>
    <t>Nat Friedman, Daniel Gross, Sapphire Ventures, Octave, Insight Partners, Felicis, Coatue, Bond, Bloomberg Beta</t>
  </si>
  <si>
    <t>Nat Friedman Firm</t>
  </si>
  <si>
    <t>Lightspeed, GV, M12, Menlo Ventures, Salesforce</t>
  </si>
  <si>
    <t>Trying to raise at $5B. Noam invented transformers.</t>
  </si>
  <si>
    <t>Raised more capital, 30m+ in revenue</t>
  </si>
  <si>
    <t xml:space="preserve">INTC, CMCSA, </t>
  </si>
  <si>
    <t>Parrot (tryparrotai.com)</t>
  </si>
  <si>
    <t>Parrot.ai</t>
  </si>
  <si>
    <t>Spleeter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</si>
</sst>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0.0"/>
    <numFmt numFmtId="166" formatCode="0.0"/>
    <numFmt numFmtId="167" formatCode="#,##0.000"/>
    <numFmt numFmtId="168" formatCode="0.000"/>
  </numFmts>
  <fonts count="44" x14ac:knownFonts="1">
    <font>
      <sz val="12"/>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1"/>
      <color theme="1"/>
      <name val="Calibri"/>
      <family val="2"/>
      <scheme val="minor"/>
    </font>
    <font>
      <sz val="10"/>
      <color theme="1"/>
      <name val="Arial"/>
      <family val="2"/>
    </font>
    <font>
      <sz val="10"/>
      <color rgb="FF000000"/>
      <name val="Arial"/>
      <family val="2"/>
    </font>
    <font>
      <b/>
      <sz val="10"/>
      <color theme="1"/>
      <name val="Arial"/>
      <family val="2"/>
    </font>
    <font>
      <b/>
      <sz val="10"/>
      <color rgb="FF000000"/>
      <name val="Arial"/>
      <family val="2"/>
    </font>
    <font>
      <u/>
      <sz val="11"/>
      <color theme="10"/>
      <name val="Calibri"/>
      <family val="2"/>
      <scheme val="minor"/>
    </font>
    <font>
      <u/>
      <sz val="10"/>
      <color theme="10"/>
      <name val="Arial"/>
      <family val="2"/>
    </font>
    <font>
      <b/>
      <u/>
      <sz val="10"/>
      <color theme="1"/>
      <name val="Arial"/>
      <family val="2"/>
    </font>
    <font>
      <i/>
      <sz val="10"/>
      <color theme="1"/>
      <name val="Arial"/>
      <family val="2"/>
    </font>
    <font>
      <u/>
      <sz val="10"/>
      <color theme="10"/>
      <name val="Calibri"/>
      <family val="2"/>
      <scheme val="minor"/>
    </font>
    <font>
      <b/>
      <sz val="10"/>
      <color rgb="FFFF0000"/>
      <name val="Arial"/>
      <family val="2"/>
    </font>
    <font>
      <b/>
      <i/>
      <sz val="10"/>
      <color theme="1"/>
      <name val="Arial"/>
      <family val="2"/>
    </font>
    <font>
      <sz val="10"/>
      <color rgb="FFFF0000"/>
      <name val="Arial"/>
      <family val="2"/>
    </font>
    <font>
      <b/>
      <u/>
      <sz val="10"/>
      <color theme="10"/>
      <name val="Arial"/>
      <family val="2"/>
    </font>
    <font>
      <sz val="12"/>
      <color theme="1"/>
      <name val="Arial"/>
      <family val="2"/>
    </font>
    <font>
      <sz val="10"/>
      <name val="Arial"/>
      <family val="2"/>
    </font>
    <font>
      <b/>
      <sz val="10"/>
      <name val="Arial"/>
      <family val="2"/>
    </font>
    <font>
      <sz val="10"/>
      <color rgb="FF000000"/>
      <name val="Tahoma"/>
      <family val="2"/>
    </font>
    <font>
      <b/>
      <sz val="10"/>
      <color rgb="FF000000"/>
      <name val="Tahoma"/>
      <family val="2"/>
    </font>
    <font>
      <sz val="14"/>
      <color theme="1"/>
      <name val="Arial"/>
      <family val="2"/>
    </font>
    <font>
      <u/>
      <sz val="14"/>
      <color theme="10"/>
      <name val="Arial"/>
      <family val="2"/>
    </font>
    <font>
      <u/>
      <sz val="10"/>
      <color theme="1"/>
      <name val="Arial"/>
      <family val="2"/>
    </font>
    <font>
      <sz val="10"/>
      <color theme="10"/>
      <name val="Arial"/>
      <family val="2"/>
    </font>
    <font>
      <i/>
      <u/>
      <sz val="10"/>
      <color theme="10"/>
      <name val="Arial"/>
      <family val="2"/>
    </font>
    <font>
      <i/>
      <u/>
      <sz val="11"/>
      <color theme="10"/>
      <name val="Calibri"/>
      <family val="2"/>
      <scheme val="minor"/>
    </font>
    <font>
      <i/>
      <sz val="10"/>
      <name val="Arial"/>
      <family val="2"/>
    </font>
    <font>
      <sz val="9"/>
      <color indexed="81"/>
      <name val="Tahoma"/>
      <family val="2"/>
    </font>
  </fonts>
  <fills count="12">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2" tint="-0.249977111117893"/>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7" tint="0.39997558519241921"/>
        <bgColor indexed="64"/>
      </patternFill>
    </fill>
  </fills>
  <borders count="4">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5">
    <xf numFmtId="0" fontId="0" fillId="0" borderId="0"/>
    <xf numFmtId="0" fontId="17" fillId="0" borderId="0"/>
    <xf numFmtId="0" fontId="22" fillId="0" borderId="0" applyNumberFormat="0" applyFill="0" applyBorder="0" applyAlignment="0" applyProtection="0"/>
    <xf numFmtId="0" fontId="18" fillId="0" borderId="0"/>
    <xf numFmtId="0" fontId="23" fillId="0" borderId="0" applyNumberFormat="0" applyFill="0" applyBorder="0" applyAlignment="0" applyProtection="0"/>
  </cellStyleXfs>
  <cellXfs count="300">
    <xf numFmtId="0" fontId="0" fillId="0" borderId="0" xfId="0"/>
    <xf numFmtId="0" fontId="18" fillId="0" borderId="0" xfId="1" applyFont="1"/>
    <xf numFmtId="0" fontId="18" fillId="0" borderId="0" xfId="1" applyFont="1" applyAlignment="1">
      <alignment horizontal="right"/>
    </xf>
    <xf numFmtId="3" fontId="18" fillId="0" borderId="0" xfId="1" applyNumberFormat="1" applyFont="1" applyAlignment="1">
      <alignment horizontal="right"/>
    </xf>
    <xf numFmtId="14" fontId="18" fillId="0" borderId="0" xfId="1" applyNumberFormat="1" applyFont="1" applyAlignment="1">
      <alignment horizontal="right"/>
    </xf>
    <xf numFmtId="3" fontId="18" fillId="0" borderId="0" xfId="1" applyNumberFormat="1" applyFont="1"/>
    <xf numFmtId="3" fontId="18" fillId="0" borderId="0" xfId="1" quotePrefix="1" applyNumberFormat="1" applyFont="1" applyAlignment="1">
      <alignment horizontal="right"/>
    </xf>
    <xf numFmtId="0" fontId="18" fillId="0" borderId="0" xfId="1" quotePrefix="1" applyFont="1"/>
    <xf numFmtId="4" fontId="18" fillId="0" borderId="0" xfId="1" applyNumberFormat="1" applyFont="1"/>
    <xf numFmtId="14" fontId="19" fillId="0" borderId="0" xfId="1" applyNumberFormat="1" applyFont="1" applyAlignment="1">
      <alignment horizontal="right"/>
    </xf>
    <xf numFmtId="3" fontId="19" fillId="0" borderId="0" xfId="1" applyNumberFormat="1" applyFont="1" applyAlignment="1">
      <alignment horizontal="right"/>
    </xf>
    <xf numFmtId="0" fontId="19" fillId="0" borderId="0" xfId="1" applyFont="1" applyAlignment="1">
      <alignment horizontal="right"/>
    </xf>
    <xf numFmtId="0" fontId="20" fillId="0" borderId="0" xfId="1" applyFont="1"/>
    <xf numFmtId="0" fontId="20" fillId="0" borderId="0" xfId="1" applyFont="1" applyAlignment="1">
      <alignment horizontal="right"/>
    </xf>
    <xf numFmtId="14" fontId="20" fillId="0" borderId="0" xfId="1" applyNumberFormat="1" applyFont="1" applyAlignment="1">
      <alignment horizontal="right"/>
    </xf>
    <xf numFmtId="3" fontId="20" fillId="0" borderId="0" xfId="1" applyNumberFormat="1" applyFont="1" applyAlignment="1">
      <alignment horizontal="right"/>
    </xf>
    <xf numFmtId="14" fontId="21" fillId="0" borderId="0" xfId="1" applyNumberFormat="1" applyFont="1" applyAlignment="1">
      <alignment horizontal="right"/>
    </xf>
    <xf numFmtId="3" fontId="21" fillId="0" borderId="0" xfId="1" applyNumberFormat="1" applyFont="1" applyAlignment="1">
      <alignment horizontal="right"/>
    </xf>
    <xf numFmtId="0" fontId="21" fillId="0" borderId="0" xfId="1" applyFont="1" applyAlignment="1">
      <alignment horizontal="right"/>
    </xf>
    <xf numFmtId="9" fontId="18" fillId="0" borderId="0" xfId="1" applyNumberFormat="1" applyFont="1"/>
    <xf numFmtId="164" fontId="18" fillId="0" borderId="0" xfId="1" applyNumberFormat="1" applyFont="1"/>
    <xf numFmtId="10" fontId="18" fillId="0" borderId="0" xfId="1" applyNumberFormat="1" applyFont="1"/>
    <xf numFmtId="164" fontId="20" fillId="0" borderId="0" xfId="1" applyNumberFormat="1" applyFont="1"/>
    <xf numFmtId="10" fontId="20" fillId="0" borderId="0" xfId="1" applyNumberFormat="1" applyFont="1"/>
    <xf numFmtId="0" fontId="20" fillId="0" borderId="0" xfId="1" applyFont="1" applyAlignment="1">
      <alignment horizontal="left"/>
    </xf>
    <xf numFmtId="0" fontId="23" fillId="0" borderId="0" xfId="2" applyFont="1"/>
    <xf numFmtId="0" fontId="24" fillId="0" borderId="0" xfId="1" applyFont="1"/>
    <xf numFmtId="14" fontId="25" fillId="0" borderId="0" xfId="1" applyNumberFormat="1" applyFont="1" applyAlignment="1">
      <alignment horizontal="right"/>
    </xf>
    <xf numFmtId="0" fontId="26" fillId="0" borderId="0" xfId="2" applyFont="1"/>
    <xf numFmtId="0" fontId="20" fillId="0" borderId="0" xfId="1" applyFont="1" applyAlignment="1">
      <alignment horizontal="center"/>
    </xf>
    <xf numFmtId="17" fontId="20" fillId="0" borderId="0" xfId="1" applyNumberFormat="1" applyFont="1"/>
    <xf numFmtId="0" fontId="20" fillId="0" borderId="0" xfId="1" quotePrefix="1" applyFont="1" applyAlignment="1">
      <alignment horizontal="right"/>
    </xf>
    <xf numFmtId="0" fontId="27" fillId="0" borderId="0" xfId="1" applyFont="1"/>
    <xf numFmtId="14" fontId="28" fillId="0" borderId="0" xfId="1" applyNumberFormat="1" applyFont="1" applyAlignment="1">
      <alignment horizontal="right"/>
    </xf>
    <xf numFmtId="0" fontId="29" fillId="0" borderId="0" xfId="1" applyFont="1"/>
    <xf numFmtId="17" fontId="20" fillId="0" borderId="0" xfId="1" quotePrefix="1" applyNumberFormat="1" applyFont="1" applyAlignment="1">
      <alignment horizontal="right"/>
    </xf>
    <xf numFmtId="0" fontId="20" fillId="0" borderId="0" xfId="1" quotePrefix="1" applyFont="1"/>
    <xf numFmtId="0" fontId="30" fillId="0" borderId="0" xfId="2" applyFont="1"/>
    <xf numFmtId="17" fontId="29" fillId="0" borderId="0" xfId="1" applyNumberFormat="1" applyFont="1"/>
    <xf numFmtId="3" fontId="25" fillId="0" borderId="0" xfId="1" applyNumberFormat="1" applyFont="1" applyAlignment="1">
      <alignment horizontal="right"/>
    </xf>
    <xf numFmtId="0" fontId="18" fillId="0" borderId="0" xfId="3"/>
    <xf numFmtId="0" fontId="23" fillId="0" borderId="0" xfId="4"/>
    <xf numFmtId="0" fontId="24" fillId="0" borderId="0" xfId="3" applyFont="1"/>
    <xf numFmtId="0" fontId="20" fillId="0" borderId="0" xfId="3" applyFont="1"/>
    <xf numFmtId="0" fontId="22" fillId="0" borderId="0" xfId="2"/>
    <xf numFmtId="0" fontId="18" fillId="0" borderId="0" xfId="0" applyFont="1"/>
    <xf numFmtId="3" fontId="20" fillId="0" borderId="0" xfId="1" applyNumberFormat="1" applyFont="1"/>
    <xf numFmtId="0" fontId="16" fillId="0" borderId="0" xfId="3" applyFont="1"/>
    <xf numFmtId="0" fontId="16" fillId="0" borderId="0" xfId="0" applyFont="1"/>
    <xf numFmtId="0" fontId="20" fillId="0" borderId="0" xfId="0" applyFont="1"/>
    <xf numFmtId="0" fontId="31" fillId="0" borderId="0" xfId="0" applyFont="1"/>
    <xf numFmtId="0" fontId="15" fillId="0" borderId="0" xfId="1" applyFont="1"/>
    <xf numFmtId="0" fontId="15" fillId="0" borderId="0" xfId="1" applyFont="1" applyAlignment="1">
      <alignment horizontal="right"/>
    </xf>
    <xf numFmtId="14" fontId="15" fillId="0" borderId="0" xfId="1" applyNumberFormat="1" applyFont="1" applyAlignment="1">
      <alignment horizontal="right"/>
    </xf>
    <xf numFmtId="0" fontId="14" fillId="0" borderId="0" xfId="1" applyFont="1"/>
    <xf numFmtId="0" fontId="14" fillId="0" borderId="0" xfId="1" applyFont="1" applyAlignment="1">
      <alignment horizontal="right"/>
    </xf>
    <xf numFmtId="14" fontId="14" fillId="0" borderId="0" xfId="1" applyNumberFormat="1" applyFont="1" applyAlignment="1">
      <alignment horizontal="right"/>
    </xf>
    <xf numFmtId="3" fontId="14" fillId="0" borderId="0" xfId="1" applyNumberFormat="1" applyFont="1" applyAlignment="1">
      <alignment horizontal="right"/>
    </xf>
    <xf numFmtId="0" fontId="32" fillId="0" borderId="0" xfId="1" applyFont="1"/>
    <xf numFmtId="0" fontId="32" fillId="0" borderId="0" xfId="2" applyFont="1"/>
    <xf numFmtId="0" fontId="33" fillId="0" borderId="0" xfId="1" applyFont="1"/>
    <xf numFmtId="3" fontId="32" fillId="0" borderId="0" xfId="1" applyNumberFormat="1" applyFont="1" applyAlignment="1">
      <alignment horizontal="right"/>
    </xf>
    <xf numFmtId="20" fontId="32" fillId="0" borderId="0" xfId="2" applyNumberFormat="1" applyFont="1"/>
    <xf numFmtId="165" fontId="32" fillId="0" borderId="0" xfId="1" applyNumberFormat="1" applyFont="1"/>
    <xf numFmtId="165" fontId="32" fillId="0" borderId="0" xfId="2" applyNumberFormat="1" applyFont="1"/>
    <xf numFmtId="165" fontId="33" fillId="0" borderId="0" xfId="1" applyNumberFormat="1" applyFont="1"/>
    <xf numFmtId="165" fontId="33" fillId="0" borderId="0" xfId="2" applyNumberFormat="1" applyFont="1"/>
    <xf numFmtId="165" fontId="32" fillId="0" borderId="0" xfId="1" applyNumberFormat="1" applyFont="1" applyAlignment="1">
      <alignment horizontal="right"/>
    </xf>
    <xf numFmtId="46" fontId="32" fillId="0" borderId="0" xfId="1" quotePrefix="1" applyNumberFormat="1" applyFont="1" applyAlignment="1">
      <alignment horizontal="right"/>
    </xf>
    <xf numFmtId="20" fontId="32" fillId="0" borderId="0" xfId="1" applyNumberFormat="1" applyFont="1"/>
    <xf numFmtId="46" fontId="32" fillId="0" borderId="0" xfId="2" quotePrefix="1" applyNumberFormat="1" applyFont="1" applyAlignment="1">
      <alignment horizontal="right"/>
    </xf>
    <xf numFmtId="20" fontId="33" fillId="0" borderId="0" xfId="1" applyNumberFormat="1" applyFont="1"/>
    <xf numFmtId="20" fontId="33" fillId="0" borderId="0" xfId="2" applyNumberFormat="1" applyFont="1"/>
    <xf numFmtId="0" fontId="13" fillId="0" borderId="0" xfId="1" applyFont="1"/>
    <xf numFmtId="0" fontId="13" fillId="0" borderId="0" xfId="1" applyFont="1" applyAlignment="1">
      <alignment horizontal="center"/>
    </xf>
    <xf numFmtId="3" fontId="13" fillId="0" borderId="0" xfId="1" applyNumberFormat="1" applyFont="1" applyAlignment="1">
      <alignment horizontal="right"/>
    </xf>
    <xf numFmtId="0" fontId="13" fillId="0" borderId="0" xfId="1" applyFont="1" applyAlignment="1">
      <alignment horizontal="right"/>
    </xf>
    <xf numFmtId="0" fontId="13" fillId="0" borderId="0" xfId="1" applyFont="1" applyAlignment="1">
      <alignment horizontal="left"/>
    </xf>
    <xf numFmtId="14" fontId="13" fillId="0" borderId="0" xfId="1" applyNumberFormat="1" applyFont="1" applyAlignment="1">
      <alignment horizontal="right"/>
    </xf>
    <xf numFmtId="14" fontId="13" fillId="0" borderId="0" xfId="1" applyNumberFormat="1" applyFont="1"/>
    <xf numFmtId="3" fontId="13" fillId="2" borderId="0" xfId="1" applyNumberFormat="1" applyFont="1" applyFill="1" applyAlignment="1">
      <alignment horizontal="right"/>
    </xf>
    <xf numFmtId="3" fontId="13" fillId="0" borderId="0" xfId="1" applyNumberFormat="1" applyFont="1" applyAlignment="1">
      <alignment horizontal="left"/>
    </xf>
    <xf numFmtId="4" fontId="13" fillId="0" borderId="0" xfId="1" applyNumberFormat="1" applyFont="1" applyAlignment="1">
      <alignment horizontal="left"/>
    </xf>
    <xf numFmtId="14" fontId="13" fillId="0" borderId="0" xfId="1" applyNumberFormat="1" applyFont="1" applyAlignment="1">
      <alignment horizontal="left"/>
    </xf>
    <xf numFmtId="17" fontId="13" fillId="0" borderId="0" xfId="1" applyNumberFormat="1" applyFont="1"/>
    <xf numFmtId="17" fontId="13" fillId="0" borderId="0" xfId="1" quotePrefix="1" applyNumberFormat="1" applyFont="1" applyAlignment="1">
      <alignment horizontal="right"/>
    </xf>
    <xf numFmtId="14" fontId="13" fillId="0" borderId="0" xfId="1" quotePrefix="1" applyNumberFormat="1" applyFont="1" applyAlignment="1">
      <alignment horizontal="right"/>
    </xf>
    <xf numFmtId="0" fontId="13" fillId="0" borderId="0" xfId="1" quotePrefix="1" applyFont="1" applyAlignment="1">
      <alignment horizontal="right"/>
    </xf>
    <xf numFmtId="3" fontId="13" fillId="0" borderId="0" xfId="1" applyNumberFormat="1" applyFont="1"/>
    <xf numFmtId="0" fontId="13" fillId="0" borderId="0" xfId="1" quotePrefix="1" applyFont="1"/>
    <xf numFmtId="0" fontId="13" fillId="0" borderId="1" xfId="1" applyFont="1" applyBorder="1"/>
    <xf numFmtId="0" fontId="12" fillId="0" borderId="0" xfId="3" applyFont="1"/>
    <xf numFmtId="0" fontId="12" fillId="0" borderId="0" xfId="1" applyFont="1"/>
    <xf numFmtId="0" fontId="12" fillId="0" borderId="0" xfId="1" applyFont="1" applyAlignment="1">
      <alignment horizontal="right"/>
    </xf>
    <xf numFmtId="0" fontId="12" fillId="0" borderId="0" xfId="1" applyFont="1" applyAlignment="1">
      <alignment horizontal="left"/>
    </xf>
    <xf numFmtId="3" fontId="12" fillId="0" borderId="0" xfId="1" applyNumberFormat="1" applyFont="1" applyAlignment="1">
      <alignment horizontal="right"/>
    </xf>
    <xf numFmtId="0" fontId="12" fillId="0" borderId="0" xfId="0" applyFont="1"/>
    <xf numFmtId="0" fontId="12" fillId="0" borderId="0" xfId="1" applyFont="1" applyAlignment="1">
      <alignment horizontal="center"/>
    </xf>
    <xf numFmtId="0" fontId="36" fillId="0" borderId="0" xfId="0" applyFont="1"/>
    <xf numFmtId="14" fontId="12" fillId="0" borderId="0" xfId="1" applyNumberFormat="1" applyFont="1" applyAlignment="1">
      <alignment horizontal="left"/>
    </xf>
    <xf numFmtId="0" fontId="20" fillId="0" borderId="0" xfId="0" applyFont="1" applyAlignment="1">
      <alignment horizontal="right"/>
    </xf>
    <xf numFmtId="0" fontId="37" fillId="0" borderId="0" xfId="2" applyFont="1" applyAlignment="1"/>
    <xf numFmtId="0" fontId="23" fillId="0" borderId="0" xfId="2" applyFont="1" applyAlignment="1">
      <alignment horizontal="left"/>
    </xf>
    <xf numFmtId="3" fontId="12" fillId="0" borderId="0" xfId="1" applyNumberFormat="1" applyFont="1" applyAlignment="1">
      <alignment horizontal="left"/>
    </xf>
    <xf numFmtId="14" fontId="12" fillId="0" borderId="0" xfId="1" applyNumberFormat="1" applyFont="1" applyAlignment="1">
      <alignment horizontal="right"/>
    </xf>
    <xf numFmtId="9" fontId="12" fillId="0" borderId="0" xfId="1" applyNumberFormat="1" applyFont="1"/>
    <xf numFmtId="3" fontId="23" fillId="0" borderId="0" xfId="2" applyNumberFormat="1" applyFont="1" applyAlignment="1">
      <alignment horizontal="left"/>
    </xf>
    <xf numFmtId="0" fontId="11" fillId="0" borderId="0" xfId="1" applyFont="1"/>
    <xf numFmtId="0" fontId="10" fillId="0" borderId="0" xfId="0" applyFont="1"/>
    <xf numFmtId="0" fontId="10" fillId="0" borderId="0" xfId="3" applyFont="1"/>
    <xf numFmtId="0" fontId="10" fillId="0" borderId="0" xfId="3" applyFont="1" applyAlignment="1">
      <alignment horizontal="left"/>
    </xf>
    <xf numFmtId="0" fontId="24" fillId="0" borderId="0" xfId="3" applyFont="1" applyAlignment="1">
      <alignment horizontal="left"/>
    </xf>
    <xf numFmtId="0" fontId="10" fillId="8" borderId="2" xfId="3" applyFont="1" applyFill="1" applyBorder="1" applyAlignment="1">
      <alignment horizontal="left"/>
    </xf>
    <xf numFmtId="0" fontId="10" fillId="9" borderId="2" xfId="3" applyFont="1" applyFill="1" applyBorder="1" applyAlignment="1">
      <alignment horizontal="left"/>
    </xf>
    <xf numFmtId="0" fontId="10" fillId="5" borderId="2" xfId="3" applyFont="1" applyFill="1" applyBorder="1" applyAlignment="1">
      <alignment horizontal="left"/>
    </xf>
    <xf numFmtId="0" fontId="10" fillId="4" borderId="2" xfId="3" applyFont="1" applyFill="1" applyBorder="1" applyAlignment="1">
      <alignment horizontal="left"/>
    </xf>
    <xf numFmtId="0" fontId="10" fillId="9" borderId="2" xfId="3" applyFont="1" applyFill="1" applyBorder="1"/>
    <xf numFmtId="0" fontId="10" fillId="5" borderId="2" xfId="3" applyFont="1" applyFill="1" applyBorder="1"/>
    <xf numFmtId="0" fontId="10" fillId="10" borderId="2" xfId="3" applyFont="1" applyFill="1" applyBorder="1"/>
    <xf numFmtId="0" fontId="10" fillId="7" borderId="2" xfId="3" applyFont="1" applyFill="1" applyBorder="1" applyAlignment="1">
      <alignment horizontal="left"/>
    </xf>
    <xf numFmtId="0" fontId="10" fillId="4" borderId="2" xfId="3" applyFont="1" applyFill="1" applyBorder="1"/>
    <xf numFmtId="0" fontId="10" fillId="0" borderId="0" xfId="2" applyFont="1"/>
    <xf numFmtId="0" fontId="10" fillId="11" borderId="2" xfId="3" applyFont="1" applyFill="1" applyBorder="1"/>
    <xf numFmtId="0" fontId="10" fillId="8" borderId="2" xfId="3" applyFont="1" applyFill="1" applyBorder="1"/>
    <xf numFmtId="0" fontId="10" fillId="7" borderId="2" xfId="3" applyFont="1" applyFill="1" applyBorder="1"/>
    <xf numFmtId="0" fontId="10" fillId="11" borderId="2" xfId="3" applyFont="1" applyFill="1" applyBorder="1" applyAlignment="1">
      <alignment horizontal="left"/>
    </xf>
    <xf numFmtId="0" fontId="10" fillId="6" borderId="2" xfId="3" applyFont="1" applyFill="1" applyBorder="1"/>
    <xf numFmtId="0" fontId="10" fillId="0" borderId="0" xfId="0" applyFont="1" applyAlignment="1">
      <alignment horizontal="right"/>
    </xf>
    <xf numFmtId="17" fontId="10" fillId="0" borderId="0" xfId="0" applyNumberFormat="1" applyFont="1" applyAlignment="1">
      <alignment horizontal="right"/>
    </xf>
    <xf numFmtId="14" fontId="10" fillId="0" borderId="0" xfId="0" applyNumberFormat="1" applyFont="1" applyAlignment="1">
      <alignment horizontal="right"/>
    </xf>
    <xf numFmtId="17" fontId="20" fillId="0" borderId="0" xfId="0" applyNumberFormat="1" applyFont="1" applyAlignment="1">
      <alignment horizontal="right"/>
    </xf>
    <xf numFmtId="17" fontId="10" fillId="0" borderId="0" xfId="0" quotePrefix="1" applyNumberFormat="1" applyFont="1" applyAlignment="1">
      <alignment horizontal="right"/>
    </xf>
    <xf numFmtId="0" fontId="10" fillId="0" borderId="0" xfId="3" applyFont="1" applyAlignment="1">
      <alignment horizontal="center"/>
    </xf>
    <xf numFmtId="3" fontId="10" fillId="0" borderId="0" xfId="3" applyNumberFormat="1" applyFont="1" applyAlignment="1">
      <alignment horizontal="right"/>
    </xf>
    <xf numFmtId="0" fontId="10" fillId="0" borderId="0" xfId="3" applyFont="1" applyAlignment="1">
      <alignment horizontal="right"/>
    </xf>
    <xf numFmtId="0" fontId="10" fillId="0" borderId="0" xfId="1" applyFont="1"/>
    <xf numFmtId="0" fontId="38" fillId="0" borderId="0" xfId="3" applyFont="1"/>
    <xf numFmtId="0" fontId="10" fillId="3" borderId="2" xfId="3" applyFont="1" applyFill="1" applyBorder="1"/>
    <xf numFmtId="14" fontId="10" fillId="0" borderId="0" xfId="3" applyNumberFormat="1" applyFont="1" applyAlignment="1">
      <alignment horizontal="left"/>
    </xf>
    <xf numFmtId="0" fontId="39" fillId="0" borderId="0" xfId="2" applyFont="1"/>
    <xf numFmtId="0" fontId="10" fillId="0" borderId="0" xfId="1" applyFont="1" applyAlignment="1">
      <alignment horizontal="left"/>
    </xf>
    <xf numFmtId="0" fontId="10" fillId="0" borderId="0" xfId="1" applyFont="1" applyAlignment="1">
      <alignment horizontal="right"/>
    </xf>
    <xf numFmtId="14" fontId="36" fillId="0" borderId="0" xfId="0" applyNumberFormat="1" applyFont="1"/>
    <xf numFmtId="0" fontId="24" fillId="0" borderId="0" xfId="0" applyFont="1"/>
    <xf numFmtId="0" fontId="25" fillId="0" borderId="0" xfId="0" applyFont="1"/>
    <xf numFmtId="17" fontId="25" fillId="0" borderId="0" xfId="0" applyNumberFormat="1" applyFont="1" applyAlignment="1">
      <alignment horizontal="right"/>
    </xf>
    <xf numFmtId="17" fontId="28" fillId="0" borderId="0" xfId="0" applyNumberFormat="1" applyFont="1" applyAlignment="1">
      <alignment horizontal="right"/>
    </xf>
    <xf numFmtId="0" fontId="40" fillId="0" borderId="0" xfId="2" applyFont="1"/>
    <xf numFmtId="0" fontId="28" fillId="0" borderId="0" xfId="0" applyFont="1"/>
    <xf numFmtId="14" fontId="28" fillId="0" borderId="0" xfId="0" applyNumberFormat="1" applyFont="1" applyAlignment="1">
      <alignment horizontal="right"/>
    </xf>
    <xf numFmtId="0" fontId="25" fillId="0" borderId="0" xfId="0" applyFont="1" applyAlignment="1">
      <alignment horizontal="right"/>
    </xf>
    <xf numFmtId="0" fontId="41" fillId="0" borderId="0" xfId="2" applyFont="1"/>
    <xf numFmtId="0" fontId="26" fillId="0" borderId="0" xfId="2" applyFont="1" applyAlignment="1">
      <alignment horizontal="left"/>
    </xf>
    <xf numFmtId="14" fontId="10" fillId="0" borderId="0" xfId="1" applyNumberFormat="1" applyFont="1" applyAlignment="1">
      <alignment horizontal="left"/>
    </xf>
    <xf numFmtId="3" fontId="10" fillId="0" borderId="0" xfId="0" applyNumberFormat="1" applyFont="1"/>
    <xf numFmtId="3" fontId="10" fillId="0" borderId="0" xfId="3" applyNumberFormat="1" applyFont="1" applyAlignment="1">
      <alignment horizontal="left"/>
    </xf>
    <xf numFmtId="0" fontId="23" fillId="0" borderId="0" xfId="4" applyAlignment="1">
      <alignment horizontal="left"/>
    </xf>
    <xf numFmtId="0" fontId="23" fillId="0" borderId="0" xfId="4" applyAlignment="1"/>
    <xf numFmtId="3" fontId="10" fillId="0" borderId="0" xfId="0" applyNumberFormat="1" applyFont="1" applyAlignment="1">
      <alignment horizontal="right"/>
    </xf>
    <xf numFmtId="0" fontId="22" fillId="0" borderId="0" xfId="2" applyAlignment="1">
      <alignment horizontal="left"/>
    </xf>
    <xf numFmtId="0" fontId="9" fillId="0" borderId="0" xfId="1" applyFont="1"/>
    <xf numFmtId="0" fontId="9" fillId="0" borderId="0" xfId="1" applyFont="1" applyAlignment="1">
      <alignment horizontal="right"/>
    </xf>
    <xf numFmtId="3" fontId="9" fillId="0" borderId="0" xfId="1" applyNumberFormat="1" applyFont="1" applyAlignment="1">
      <alignment horizontal="right"/>
    </xf>
    <xf numFmtId="14" fontId="9" fillId="0" borderId="0" xfId="1" applyNumberFormat="1" applyFont="1" applyAlignment="1">
      <alignment horizontal="right"/>
    </xf>
    <xf numFmtId="0" fontId="9" fillId="0" borderId="0" xfId="1" applyFont="1" applyAlignment="1">
      <alignment horizontal="left"/>
    </xf>
    <xf numFmtId="0" fontId="9" fillId="0" borderId="0" xfId="1" applyFont="1" applyAlignment="1">
      <alignment horizontal="center"/>
    </xf>
    <xf numFmtId="17" fontId="9" fillId="0" borderId="0" xfId="1" applyNumberFormat="1" applyFont="1"/>
    <xf numFmtId="0" fontId="9" fillId="0" borderId="0" xfId="3" applyFont="1"/>
    <xf numFmtId="0" fontId="9" fillId="0" borderId="0" xfId="3" applyFont="1" applyAlignment="1">
      <alignment horizontal="left"/>
    </xf>
    <xf numFmtId="0" fontId="9" fillId="0" borderId="0" xfId="0" applyFont="1"/>
    <xf numFmtId="3" fontId="22" fillId="0" borderId="0" xfId="2" applyNumberFormat="1" applyAlignment="1">
      <alignment horizontal="left"/>
    </xf>
    <xf numFmtId="14" fontId="9" fillId="0" borderId="0" xfId="3" applyNumberFormat="1" applyFont="1" applyAlignment="1">
      <alignment horizontal="left"/>
    </xf>
    <xf numFmtId="0" fontId="9" fillId="8" borderId="2" xfId="3" applyFont="1" applyFill="1" applyBorder="1" applyAlignment="1">
      <alignment horizontal="right"/>
    </xf>
    <xf numFmtId="0" fontId="8" fillId="0" borderId="0" xfId="1" applyFont="1"/>
    <xf numFmtId="0" fontId="8" fillId="0" borderId="0" xfId="1" applyFont="1" applyAlignment="1">
      <alignment horizontal="center"/>
    </xf>
    <xf numFmtId="3" fontId="8" fillId="0" borderId="0" xfId="1" applyNumberFormat="1" applyFont="1" applyAlignment="1">
      <alignment horizontal="right"/>
    </xf>
    <xf numFmtId="0" fontId="8" fillId="0" borderId="0" xfId="1" applyFont="1" applyAlignment="1">
      <alignment horizontal="right"/>
    </xf>
    <xf numFmtId="0" fontId="8" fillId="0" borderId="0" xfId="1" applyFont="1" applyAlignment="1">
      <alignment horizontal="left"/>
    </xf>
    <xf numFmtId="14" fontId="8" fillId="0" borderId="0" xfId="1" applyNumberFormat="1" applyFont="1" applyAlignment="1">
      <alignment horizontal="right"/>
    </xf>
    <xf numFmtId="17" fontId="8" fillId="0" borderId="0" xfId="1" applyNumberFormat="1" applyFont="1"/>
    <xf numFmtId="14" fontId="8" fillId="0" borderId="0" xfId="1" applyNumberFormat="1" applyFont="1"/>
    <xf numFmtId="0" fontId="7" fillId="0" borderId="0" xfId="1" applyFont="1"/>
    <xf numFmtId="0" fontId="7" fillId="0" borderId="0" xfId="1" applyFont="1" applyAlignment="1">
      <alignment horizontal="right"/>
    </xf>
    <xf numFmtId="0" fontId="6" fillId="0" borderId="0" xfId="3" applyFont="1"/>
    <xf numFmtId="0" fontId="6" fillId="0" borderId="0" xfId="1" applyFont="1"/>
    <xf numFmtId="0" fontId="6" fillId="0" borderId="0" xfId="1" applyFont="1" applyAlignment="1">
      <alignment horizontal="right"/>
    </xf>
    <xf numFmtId="3" fontId="6" fillId="0" borderId="0" xfId="1" applyNumberFormat="1" applyFont="1" applyAlignment="1">
      <alignment horizontal="right"/>
    </xf>
    <xf numFmtId="0" fontId="6" fillId="0" borderId="0" xfId="1" applyFont="1" applyAlignment="1">
      <alignment horizontal="left"/>
    </xf>
    <xf numFmtId="0" fontId="25" fillId="0" borderId="0" xfId="1" applyFont="1"/>
    <xf numFmtId="0" fontId="25" fillId="0" borderId="0" xfId="1" applyFont="1" applyAlignment="1">
      <alignment horizontal="center"/>
    </xf>
    <xf numFmtId="0" fontId="25" fillId="0" borderId="0" xfId="1" applyFont="1" applyAlignment="1">
      <alignment horizontal="left"/>
    </xf>
    <xf numFmtId="165" fontId="42" fillId="0" borderId="0" xfId="2" applyNumberFormat="1" applyFont="1"/>
    <xf numFmtId="20" fontId="42" fillId="0" borderId="0" xfId="2" applyNumberFormat="1" applyFont="1"/>
    <xf numFmtId="0" fontId="6" fillId="0" borderId="0" xfId="1" applyFont="1" applyAlignment="1">
      <alignment horizontal="center"/>
    </xf>
    <xf numFmtId="14" fontId="6" fillId="0" borderId="0" xfId="1" applyNumberFormat="1" applyFont="1" applyAlignment="1">
      <alignment horizontal="right"/>
    </xf>
    <xf numFmtId="0" fontId="23" fillId="0" borderId="0" xfId="2" applyNumberFormat="1" applyFont="1"/>
    <xf numFmtId="0" fontId="6" fillId="0" borderId="0" xfId="1" quotePrefix="1" applyFont="1" applyAlignment="1">
      <alignment horizontal="right"/>
    </xf>
    <xf numFmtId="17" fontId="6" fillId="0" borderId="0" xfId="1" quotePrefix="1" applyNumberFormat="1" applyFont="1" applyAlignment="1">
      <alignment horizontal="right"/>
    </xf>
    <xf numFmtId="3" fontId="6" fillId="0" borderId="0" xfId="1" applyNumberFormat="1" applyFont="1" applyAlignment="1">
      <alignment horizontal="left"/>
    </xf>
    <xf numFmtId="17" fontId="6" fillId="0" borderId="0" xfId="1" applyNumberFormat="1" applyFont="1"/>
    <xf numFmtId="14" fontId="6" fillId="0" borderId="0" xfId="1" applyNumberFormat="1" applyFont="1"/>
    <xf numFmtId="14" fontId="6" fillId="0" borderId="0" xfId="1" applyNumberFormat="1" applyFont="1" applyAlignment="1">
      <alignment horizontal="left"/>
    </xf>
    <xf numFmtId="0" fontId="6" fillId="0" borderId="0" xfId="3" applyFont="1" applyAlignment="1">
      <alignment horizontal="left"/>
    </xf>
    <xf numFmtId="14" fontId="6" fillId="0" borderId="3" xfId="1" applyNumberFormat="1" applyFont="1" applyBorder="1" applyAlignment="1">
      <alignment horizontal="right"/>
    </xf>
    <xf numFmtId="0" fontId="6" fillId="2" borderId="0" xfId="1" applyFont="1" applyFill="1"/>
    <xf numFmtId="0" fontId="6" fillId="5" borderId="2" xfId="3" applyFont="1" applyFill="1" applyBorder="1"/>
    <xf numFmtId="0" fontId="6" fillId="8" borderId="2" xfId="3" applyFont="1" applyFill="1" applyBorder="1"/>
    <xf numFmtId="0" fontId="20" fillId="0" borderId="0" xfId="3" applyFont="1" applyAlignment="1">
      <alignment horizontal="left"/>
    </xf>
    <xf numFmtId="0" fontId="6" fillId="0" borderId="0" xfId="0" applyFont="1"/>
    <xf numFmtId="0" fontId="6" fillId="0" borderId="0" xfId="0" applyFont="1" applyAlignment="1">
      <alignment horizontal="right"/>
    </xf>
    <xf numFmtId="17" fontId="6" fillId="0" borderId="0" xfId="0" applyNumberFormat="1" applyFont="1" applyAlignment="1">
      <alignment horizontal="right"/>
    </xf>
    <xf numFmtId="0" fontId="18" fillId="0" borderId="0" xfId="0" applyFont="1" applyAlignment="1">
      <alignment horizontal="center"/>
    </xf>
    <xf numFmtId="0" fontId="6" fillId="0" borderId="0" xfId="0" applyFont="1" applyAlignment="1">
      <alignment horizontal="center"/>
    </xf>
    <xf numFmtId="0" fontId="5" fillId="0" borderId="0" xfId="1" applyFont="1"/>
    <xf numFmtId="0" fontId="5" fillId="0" borderId="0" xfId="3" applyFont="1"/>
    <xf numFmtId="0" fontId="5" fillId="0" borderId="0" xfId="0" applyFont="1"/>
    <xf numFmtId="0" fontId="5" fillId="0" borderId="0" xfId="3" applyFont="1" applyAlignment="1">
      <alignment horizontal="left"/>
    </xf>
    <xf numFmtId="0" fontId="5" fillId="0" borderId="0" xfId="0" applyFont="1" applyAlignment="1">
      <alignment horizontal="center"/>
    </xf>
    <xf numFmtId="0" fontId="38" fillId="0" borderId="0" xfId="0" applyFont="1"/>
    <xf numFmtId="0" fontId="38" fillId="0" borderId="0" xfId="0" applyFont="1" applyAlignment="1">
      <alignment horizontal="right"/>
    </xf>
    <xf numFmtId="3" fontId="5" fillId="0" borderId="0" xfId="1" applyNumberFormat="1" applyFont="1" applyAlignment="1">
      <alignment horizontal="right"/>
    </xf>
    <xf numFmtId="0" fontId="4" fillId="0" borderId="0" xfId="3" applyFont="1"/>
    <xf numFmtId="0" fontId="4" fillId="0" borderId="0" xfId="3" applyFont="1" applyAlignment="1">
      <alignment horizontal="left"/>
    </xf>
    <xf numFmtId="14" fontId="4" fillId="0" borderId="0" xfId="3" applyNumberFormat="1" applyFont="1" applyAlignment="1">
      <alignment horizontal="left"/>
    </xf>
    <xf numFmtId="0" fontId="4" fillId="0" borderId="0" xfId="1" applyFont="1" applyAlignment="1">
      <alignment horizontal="center"/>
    </xf>
    <xf numFmtId="0" fontId="4" fillId="0" borderId="0" xfId="1" applyFont="1"/>
    <xf numFmtId="0" fontId="4" fillId="0" borderId="0" xfId="1" applyFont="1" applyAlignment="1">
      <alignment horizontal="left"/>
    </xf>
    <xf numFmtId="0" fontId="23" fillId="0" borderId="0" xfId="2" applyFont="1" applyBorder="1"/>
    <xf numFmtId="165" fontId="32" fillId="0" borderId="0" xfId="2" applyNumberFormat="1" applyFont="1" applyBorder="1"/>
    <xf numFmtId="20" fontId="32" fillId="0" borderId="0" xfId="2" applyNumberFormat="1" applyFont="1" applyBorder="1"/>
    <xf numFmtId="0" fontId="4" fillId="0" borderId="0" xfId="0" applyFont="1"/>
    <xf numFmtId="3" fontId="4" fillId="0" borderId="0" xfId="1" applyNumberFormat="1" applyFont="1" applyAlignment="1">
      <alignment horizontal="right"/>
    </xf>
    <xf numFmtId="14" fontId="4" fillId="0" borderId="0" xfId="1" applyNumberFormat="1" applyFont="1" applyAlignment="1">
      <alignment horizontal="right"/>
    </xf>
    <xf numFmtId="0" fontId="32" fillId="0" borderId="0" xfId="2" applyFont="1" applyBorder="1"/>
    <xf numFmtId="14" fontId="13" fillId="2" borderId="0" xfId="1" applyNumberFormat="1" applyFont="1" applyFill="1" applyAlignment="1">
      <alignment horizontal="right"/>
    </xf>
    <xf numFmtId="166" fontId="32" fillId="0" borderId="0" xfId="1" applyNumberFormat="1" applyFont="1"/>
    <xf numFmtId="1" fontId="6" fillId="0" borderId="0" xfId="1" applyNumberFormat="1" applyFont="1" applyAlignment="1">
      <alignment horizontal="right"/>
    </xf>
    <xf numFmtId="1" fontId="8" fillId="0" borderId="0" xfId="1" applyNumberFormat="1" applyFont="1" applyAlignment="1">
      <alignment horizontal="right"/>
    </xf>
    <xf numFmtId="14" fontId="4" fillId="0" borderId="0" xfId="1" applyNumberFormat="1" applyFont="1"/>
    <xf numFmtId="0" fontId="4" fillId="0" borderId="0" xfId="1" applyFont="1" applyAlignment="1">
      <alignment horizontal="right"/>
    </xf>
    <xf numFmtId="0" fontId="23" fillId="2" borderId="0" xfId="2" applyFont="1" applyFill="1" applyAlignment="1">
      <alignment horizontal="left"/>
    </xf>
    <xf numFmtId="0" fontId="10" fillId="0" borderId="0" xfId="3" applyFont="1" applyAlignment="1">
      <alignment wrapText="1"/>
    </xf>
    <xf numFmtId="0" fontId="3" fillId="0" borderId="0" xfId="0" applyFont="1"/>
    <xf numFmtId="0" fontId="3" fillId="0" borderId="0" xfId="0" applyFont="1" applyAlignment="1">
      <alignment horizontal="right"/>
    </xf>
    <xf numFmtId="0" fontId="3" fillId="0" borderId="0" xfId="3" applyFont="1"/>
    <xf numFmtId="17" fontId="3" fillId="0" borderId="0" xfId="0" applyNumberFormat="1" applyFont="1" applyAlignment="1">
      <alignment horizontal="right"/>
    </xf>
    <xf numFmtId="0" fontId="3" fillId="0" borderId="0" xfId="0" applyFont="1" applyAlignment="1">
      <alignment horizontal="left"/>
    </xf>
    <xf numFmtId="0" fontId="3" fillId="0" borderId="0" xfId="3" applyFont="1" applyAlignment="1">
      <alignment horizontal="right"/>
    </xf>
    <xf numFmtId="0" fontId="2" fillId="0" borderId="0" xfId="0" applyFont="1"/>
    <xf numFmtId="0" fontId="2" fillId="0" borderId="0" xfId="1" applyFont="1" applyAlignment="1">
      <alignment horizontal="center"/>
    </xf>
    <xf numFmtId="0" fontId="2" fillId="0" borderId="0" xfId="1" applyFont="1"/>
    <xf numFmtId="14" fontId="2" fillId="0" borderId="0" xfId="1" applyNumberFormat="1" applyFont="1"/>
    <xf numFmtId="0" fontId="2" fillId="0" borderId="0" xfId="1" applyFont="1" applyAlignment="1">
      <alignment horizontal="left"/>
    </xf>
    <xf numFmtId="0" fontId="2" fillId="0" borderId="0" xfId="1" applyFont="1" applyAlignment="1">
      <alignment horizontal="right"/>
    </xf>
    <xf numFmtId="0" fontId="36" fillId="0" borderId="0" xfId="0" applyFont="1" applyAlignment="1">
      <alignment horizontal="right"/>
    </xf>
    <xf numFmtId="0" fontId="2" fillId="0" borderId="0" xfId="0" applyFont="1" applyAlignment="1">
      <alignment horizontal="right"/>
    </xf>
    <xf numFmtId="0" fontId="2" fillId="0" borderId="0" xfId="0" applyFont="1" applyAlignment="1">
      <alignment horizontal="left"/>
    </xf>
    <xf numFmtId="0" fontId="2" fillId="0" borderId="0" xfId="3" applyFont="1"/>
    <xf numFmtId="0" fontId="2" fillId="0" borderId="0" xfId="3" applyFont="1" applyAlignment="1">
      <alignment horizontal="left"/>
    </xf>
    <xf numFmtId="14" fontId="2" fillId="0" borderId="0" xfId="1" applyNumberFormat="1" applyFont="1" applyAlignment="1">
      <alignment horizontal="right"/>
    </xf>
    <xf numFmtId="3" fontId="2" fillId="0" borderId="0" xfId="1" applyNumberFormat="1" applyFont="1"/>
    <xf numFmtId="14" fontId="20" fillId="0" borderId="0" xfId="1" applyNumberFormat="1" applyFont="1"/>
    <xf numFmtId="0" fontId="2" fillId="0" borderId="0" xfId="0" applyFont="1" applyAlignment="1">
      <alignment horizontal="center"/>
    </xf>
    <xf numFmtId="0" fontId="23" fillId="0" borderId="0" xfId="2" applyNumberFormat="1" applyFont="1" applyAlignment="1"/>
    <xf numFmtId="1" fontId="13" fillId="0" borderId="0" xfId="1" applyNumberFormat="1" applyFont="1"/>
    <xf numFmtId="0" fontId="2" fillId="2" borderId="0" xfId="1" applyFont="1" applyFill="1"/>
    <xf numFmtId="0" fontId="2" fillId="3" borderId="0" xfId="1" applyFont="1" applyFill="1"/>
    <xf numFmtId="0" fontId="2" fillId="8" borderId="2" xfId="3" applyFont="1" applyFill="1" applyBorder="1"/>
    <xf numFmtId="0" fontId="2" fillId="0" borderId="0" xfId="2" applyFont="1"/>
    <xf numFmtId="4" fontId="10" fillId="0" borderId="0" xfId="0" applyNumberFormat="1" applyFont="1"/>
    <xf numFmtId="4" fontId="2" fillId="0" borderId="0" xfId="0" applyNumberFormat="1" applyFont="1"/>
    <xf numFmtId="0" fontId="2" fillId="0" borderId="0" xfId="0" quotePrefix="1" applyFont="1"/>
    <xf numFmtId="168" fontId="10" fillId="0" borderId="0" xfId="0" applyNumberFormat="1" applyFont="1"/>
    <xf numFmtId="0" fontId="2" fillId="0" borderId="0" xfId="3" applyFont="1" applyAlignment="1">
      <alignment wrapText="1"/>
    </xf>
    <xf numFmtId="168" fontId="2" fillId="0" borderId="0" xfId="0" applyNumberFormat="1" applyFont="1"/>
    <xf numFmtId="167" fontId="2" fillId="0" borderId="0" xfId="0" applyNumberFormat="1" applyFont="1"/>
    <xf numFmtId="0" fontId="20" fillId="3" borderId="0" xfId="1" applyFont="1" applyFill="1"/>
    <xf numFmtId="0" fontId="25" fillId="3" borderId="0" xfId="1" applyFont="1" applyFill="1"/>
    <xf numFmtId="0" fontId="2" fillId="3" borderId="0" xfId="0" applyFont="1" applyFill="1"/>
    <xf numFmtId="4" fontId="31" fillId="0" borderId="0" xfId="0" applyNumberFormat="1" applyFont="1"/>
    <xf numFmtId="0" fontId="1" fillId="0" borderId="0" xfId="0" applyFont="1"/>
    <xf numFmtId="0" fontId="1" fillId="0" borderId="0" xfId="1" applyFont="1"/>
    <xf numFmtId="0" fontId="1" fillId="0" borderId="0" xfId="1" applyFont="1" applyAlignment="1">
      <alignment horizontal="right"/>
    </xf>
    <xf numFmtId="3" fontId="1" fillId="0" borderId="0" xfId="1" applyNumberFormat="1" applyFont="1" applyAlignment="1">
      <alignment horizontal="right"/>
    </xf>
    <xf numFmtId="0" fontId="18" fillId="0" borderId="0" xfId="1" applyFont="1" applyBorder="1"/>
    <xf numFmtId="0" fontId="1" fillId="0" borderId="0" xfId="1" applyFont="1" applyBorder="1" applyAlignment="1">
      <alignment horizontal="right"/>
    </xf>
    <xf numFmtId="3" fontId="18" fillId="0" borderId="0" xfId="1" applyNumberFormat="1" applyFont="1" applyBorder="1" applyAlignment="1">
      <alignment horizontal="right"/>
    </xf>
    <xf numFmtId="14" fontId="18" fillId="0" borderId="0" xfId="1" applyNumberFormat="1" applyFont="1" applyBorder="1" applyAlignment="1">
      <alignment horizontal="right"/>
    </xf>
    <xf numFmtId="3" fontId="18" fillId="0" borderId="0" xfId="1" applyNumberFormat="1" applyFont="1" applyBorder="1"/>
    <xf numFmtId="0" fontId="1" fillId="0" borderId="0" xfId="1" applyFont="1" applyAlignment="1">
      <alignment horizontal="left"/>
    </xf>
    <xf numFmtId="3" fontId="1" fillId="0" borderId="0" xfId="1" applyNumberFormat="1" applyFont="1"/>
    <xf numFmtId="0" fontId="20" fillId="0" borderId="0" xfId="1" applyFont="1" applyFill="1"/>
    <xf numFmtId="0" fontId="20" fillId="0" borderId="0" xfId="1" applyFont="1" applyFill="1" applyAlignment="1">
      <alignment horizontal="right"/>
    </xf>
    <xf numFmtId="3" fontId="20" fillId="0" borderId="0" xfId="1" applyNumberFormat="1" applyFont="1" applyFill="1" applyAlignment="1">
      <alignment horizontal="right"/>
    </xf>
    <xf numFmtId="14" fontId="20" fillId="0" borderId="0" xfId="1" applyNumberFormat="1" applyFont="1" applyFill="1" applyAlignment="1">
      <alignment horizontal="right"/>
    </xf>
    <xf numFmtId="0" fontId="18" fillId="0" borderId="0" xfId="1" applyFont="1" applyFill="1" applyAlignment="1">
      <alignment horizontal="right"/>
    </xf>
    <xf numFmtId="3" fontId="18" fillId="0" borderId="0" xfId="1" applyNumberFormat="1" applyFont="1" applyFill="1" applyAlignment="1">
      <alignment horizontal="right"/>
    </xf>
    <xf numFmtId="14" fontId="18" fillId="0" borderId="0" xfId="1" applyNumberFormat="1" applyFont="1" applyFill="1" applyAlignment="1">
      <alignment horizontal="right"/>
    </xf>
    <xf numFmtId="0" fontId="12" fillId="0" borderId="0" xfId="1" applyFont="1" applyFill="1" applyAlignment="1">
      <alignment horizontal="right"/>
    </xf>
    <xf numFmtId="0" fontId="1" fillId="0" borderId="0" xfId="1" applyFont="1" applyFill="1" applyAlignment="1">
      <alignment horizontal="right"/>
    </xf>
  </cellXfs>
  <cellStyles count="5">
    <cellStyle name="Hyperlink" xfId="2" builtinId="8"/>
    <cellStyle name="Hyperlink 2" xfId="4" xr:uid="{37170729-B310-9C41-A1CF-C38A6D91AEF5}"/>
    <cellStyle name="Normal" xfId="0" builtinId="0"/>
    <cellStyle name="Normal 2" xfId="1" xr:uid="{0D7CFFEC-1A93-8F42-B082-0ACEF547BFCE}"/>
    <cellStyle name="Normal 3" xfId="3" xr:uid="{5556DA0F-6B7A-1446-A28A-A249AB4F687B}"/>
  </cellStyles>
  <dxfs count="0"/>
  <tableStyles count="1" defaultTableStyle="TableStyleMedium2" defaultPivotStyle="PivotStyleLight16">
    <tableStyle name="Invisible" pivot="0" table="0" count="0" xr9:uid="{0C72F163-ECD4-42CB-822B-84614809A7C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18</xdr:col>
      <xdr:colOff>15246</xdr:colOff>
      <xdr:row>312</xdr:row>
      <xdr:rowOff>11545</xdr:rowOff>
    </xdr:from>
    <xdr:to>
      <xdr:col>23</xdr:col>
      <xdr:colOff>459507</xdr:colOff>
      <xdr:row>337</xdr:row>
      <xdr:rowOff>18469</xdr:rowOff>
    </xdr:to>
    <xdr:pic>
      <xdr:nvPicPr>
        <xdr:cNvPr id="4" name="Picture 3" descr="Model architecture of VQTTS, consisting of txt2vec and vec2wav. The two parts are connected with VQ acoustic feature together with prosody feature.">
          <a:extLst>
            <a:ext uri="{FF2B5EF4-FFF2-40B4-BE49-F238E27FC236}">
              <a16:creationId xmlns:a16="http://schemas.microsoft.com/office/drawing/2014/main" id="{C87D9F43-A274-3D12-DECC-1E96D7E350E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5428" y="30687818"/>
          <a:ext cx="3792443" cy="404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338705</xdr:colOff>
      <xdr:row>342</xdr:row>
      <xdr:rowOff>11546</xdr:rowOff>
    </xdr:from>
    <xdr:to>
      <xdr:col>24</xdr:col>
      <xdr:colOff>23089</xdr:colOff>
      <xdr:row>364</xdr:row>
      <xdr:rowOff>18472</xdr:rowOff>
    </xdr:to>
    <xdr:pic>
      <xdr:nvPicPr>
        <xdr:cNvPr id="5" name="Picture 4" descr="Model architecture of VQTTS, consisting of txt2vec and vec2wav. The two parts are connected with VQ acoustic feature together with prosody feature.">
          <a:extLst>
            <a:ext uri="{FF2B5EF4-FFF2-40B4-BE49-F238E27FC236}">
              <a16:creationId xmlns:a16="http://schemas.microsoft.com/office/drawing/2014/main" id="{C5076066-7A27-F3C5-E648-0DBB13678DA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798887" y="35052001"/>
          <a:ext cx="3702203" cy="35744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2135188</xdr:colOff>
      <xdr:row>138</xdr:row>
      <xdr:rowOff>54508</xdr:rowOff>
    </xdr:from>
    <xdr:to>
      <xdr:col>2</xdr:col>
      <xdr:colOff>3414713</xdr:colOff>
      <xdr:row>141</xdr:row>
      <xdr:rowOff>46037</xdr:rowOff>
    </xdr:to>
    <xdr:pic>
      <xdr:nvPicPr>
        <xdr:cNvPr id="2" name="Picture 1">
          <a:extLst>
            <a:ext uri="{FF2B5EF4-FFF2-40B4-BE49-F238E27FC236}">
              <a16:creationId xmlns:a16="http://schemas.microsoft.com/office/drawing/2014/main" id="{3C165438-8B97-A809-C9DE-B4ACB7F4B33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468563" y="25970446"/>
          <a:ext cx="3422650" cy="6106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5</xdr:col>
      <xdr:colOff>428625</xdr:colOff>
      <xdr:row>3</xdr:row>
      <xdr:rowOff>47625</xdr:rowOff>
    </xdr:from>
    <xdr:ext cx="3200285" cy="1310495"/>
    <xdr:pic>
      <xdr:nvPicPr>
        <xdr:cNvPr id="2" name="Picture 1" descr="FlashAttention diagram">
          <a:extLst>
            <a:ext uri="{FF2B5EF4-FFF2-40B4-BE49-F238E27FC236}">
              <a16:creationId xmlns:a16="http://schemas.microsoft.com/office/drawing/2014/main" id="{66A4FCDA-E196-6542-B1C3-AB758EA5641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33750" y="547688"/>
          <a:ext cx="3200285" cy="131049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595313</xdr:colOff>
      <xdr:row>13</xdr:row>
      <xdr:rowOff>103187</xdr:rowOff>
    </xdr:from>
    <xdr:ext cx="1813409" cy="2555059"/>
    <xdr:pic>
      <xdr:nvPicPr>
        <xdr:cNvPr id="3" name="Picture 2">
          <a:extLst>
            <a:ext uri="{FF2B5EF4-FFF2-40B4-BE49-F238E27FC236}">
              <a16:creationId xmlns:a16="http://schemas.microsoft.com/office/drawing/2014/main" id="{275A6AEE-3472-3146-9109-42F2F4C048E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476376" y="2270125"/>
          <a:ext cx="1813409" cy="255505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164353</xdr:colOff>
      <xdr:row>23</xdr:row>
      <xdr:rowOff>119530</xdr:rowOff>
    </xdr:from>
    <xdr:to>
      <xdr:col>7</xdr:col>
      <xdr:colOff>646953</xdr:colOff>
      <xdr:row>25</xdr:row>
      <xdr:rowOff>43329</xdr:rowOff>
    </xdr:to>
    <xdr:pic>
      <xdr:nvPicPr>
        <xdr:cNvPr id="2" name="Picture 1" descr="q(x_{1:T}|x_{0})=\prod_{t\geq1} q(x_{t}|x_{t-1}), \ \ q(x_{t}|x_{t-1})=N(x_{t};\sqrt{1-\beta_{t}}x_{t-1},\beta_{t}I)">
          <a:extLst>
            <a:ext uri="{FF2B5EF4-FFF2-40B4-BE49-F238E27FC236}">
              <a16:creationId xmlns:a16="http://schemas.microsoft.com/office/drawing/2014/main" id="{B69FF60C-B7C1-A56B-50A7-DF8CB157E6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0412" y="3735295"/>
          <a:ext cx="5973482" cy="2525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29</xdr:row>
      <xdr:rowOff>0</xdr:rowOff>
    </xdr:from>
    <xdr:to>
      <xdr:col>8</xdr:col>
      <xdr:colOff>279400</xdr:colOff>
      <xdr:row>30</xdr:row>
      <xdr:rowOff>63500</xdr:rowOff>
    </xdr:to>
    <xdr:pic>
      <xdr:nvPicPr>
        <xdr:cNvPr id="3" name="Picture 2" descr="p_{\theta}(x_{0:T})=p(x_{T})\prod_{t\geq1}p_{\theta}(x_{t-1}\mid x_{t}), \ \ p_{\theta}(x_{t-1}\mid x_{t})=N(x_{t-1};\mu_{\theta}(x_{t},t),\sigma^{2}_{t}I)">
          <a:extLst>
            <a:ext uri="{FF2B5EF4-FFF2-40B4-BE49-F238E27FC236}">
              <a16:creationId xmlns:a16="http://schemas.microsoft.com/office/drawing/2014/main" id="{EB2A862C-24C2-6514-3A20-1D6224442B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68300" y="4660900"/>
          <a:ext cx="65786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34</xdr:row>
      <xdr:rowOff>0</xdr:rowOff>
    </xdr:from>
    <xdr:to>
      <xdr:col>4</xdr:col>
      <xdr:colOff>812800</xdr:colOff>
      <xdr:row>36</xdr:row>
      <xdr:rowOff>0</xdr:rowOff>
    </xdr:to>
    <xdr:pic>
      <xdr:nvPicPr>
        <xdr:cNvPr id="4" name="Picture 3" descr="dx_{t}=-\frac{1} {2}\beta(t)x_{t}dt+\sqrt{\beta(t)}dw_{t}">
          <a:extLst>
            <a:ext uri="{FF2B5EF4-FFF2-40B4-BE49-F238E27FC236}">
              <a16:creationId xmlns:a16="http://schemas.microsoft.com/office/drawing/2014/main" id="{4F031713-36CF-77AA-4BDD-76D542EEC9D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68300" y="5689600"/>
          <a:ext cx="3810000" cy="368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shkre\code\models\Software.xlsx" TargetMode="External"/><Relationship Id="rId1" Type="http://schemas.openxmlformats.org/officeDocument/2006/relationships/externalLinkPath" Target="Softwa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cquisitions"/>
      <sheetName val="People"/>
      <sheetName val="Glossary"/>
      <sheetName val="Historical"/>
      <sheetName val="Main"/>
      <sheetName val="Enterprise-Cloud"/>
      <sheetName val="Social-Dating"/>
      <sheetName val="Simulation-Technical Design"/>
      <sheetName val="Revenue"/>
      <sheetName val="Media-Games-Design"/>
      <sheetName val="Fintech"/>
      <sheetName val="Ecommerce"/>
      <sheetName val="Security"/>
      <sheetName val="FX"/>
      <sheetName val="Privat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2">
          <cell r="C2">
            <v>7.8498000000000001</v>
          </cell>
        </row>
        <row r="3">
          <cell r="C3">
            <v>6.74</v>
          </cell>
        </row>
        <row r="4">
          <cell r="C4">
            <v>1.01</v>
          </cell>
        </row>
        <row r="5">
          <cell r="C5">
            <v>10.3437</v>
          </cell>
        </row>
        <row r="6">
          <cell r="C6">
            <v>136.93</v>
          </cell>
        </row>
        <row r="7">
          <cell r="C7">
            <v>1.2991999999999999</v>
          </cell>
        </row>
      </sheetData>
      <sheetData sheetId="14" refreshError="1"/>
    </sheetDataSet>
  </externalBook>
</externalLink>
</file>

<file path=xl/persons/person.xml><?xml version="1.0" encoding="utf-8"?>
<personList xmlns="http://schemas.microsoft.com/office/spreadsheetml/2018/threadedcomments" xmlns:x="http://schemas.openxmlformats.org/spreadsheetml/2006/main">
  <person displayName="Martin Shkreli" id="{E7DC6E06-73C2-4870-9625-B86C1A71FCC8}" userId="9ffda80931a57275"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2" dT="2023-07-31T01:41:18.72" personId="{E7DC6E06-73C2-4870-9625-B86C1A71FCC8}" id="{51C92E37-DC66-445F-B7C1-D928A98C02E8}">
    <text>Total, pre-IPO</text>
  </threadedComment>
  <threadedComment ref="T11" dT="2023-12-18T01:59:12.08" personId="{E7DC6E06-73C2-4870-9625-B86C1A71FCC8}" id="{80A28482-ED17-42CA-81DC-B11526A2510F}">
    <text>27B</text>
  </threadedComment>
  <threadedComment ref="W11" dT="2023-09-03T17:32:21.28" personId="{E7DC6E06-73C2-4870-9625-B86C1A71FCC8}" id="{95B9BA71-F98F-47B9-9FF5-DCBB545C57FD}">
    <text>5.8B valuation</text>
  </threadedComment>
  <threadedComment ref="Z11" dT="2023-09-03T17:32:31.54" personId="{E7DC6E06-73C2-4870-9625-B86C1A71FCC8}" id="{B3A91AAE-D344-4DAE-9C26-07636C662E5A}">
    <text>2.5B valuation</text>
  </threadedComment>
  <threadedComment ref="J14" dT="2023-06-15T00:22:32.88" personId="{00000000-0000-0000-0000-000000000000}" id="{B20FE0A1-64FD-974B-9BE7-ABFDD63D6646}">
    <text>Tom Built GPT-3</text>
  </threadedComment>
  <threadedComment ref="T19" dT="2023-12-18T02:40:42.89" personId="{E7DC6E06-73C2-4870-9625-B86C1A71FCC8}" id="{69C5854F-5F53-45FD-9C2C-9AA83F4DCC04}">
    <text>1.1B valuation</text>
  </threadedComment>
  <threadedComment ref="Q20" dT="2023-12-18T02:11:44.80" personId="{E7DC6E06-73C2-4870-9625-B86C1A71FCC8}" id="{6821AE8A-BAF7-4CCD-9678-73378ECCA884}">
    <text>5200m valuation</text>
  </threadedComment>
  <threadedComment ref="T20" dT="2023-12-18T02:11:52.76" personId="{E7DC6E06-73C2-4870-9625-B86C1A71FCC8}" id="{5B718418-E3EC-41E7-9E32-CC14B770FD78}">
    <text>5000 valuation</text>
  </threadedComment>
  <threadedComment ref="W20" dT="2023-12-18T02:11:57.58" personId="{E7DC6E06-73C2-4870-9625-B86C1A71FCC8}" id="{A44B3A7C-A8A9-41D1-8BE0-7E2500CA5BFD}">
    <text>2500m valuation</text>
  </threadedComment>
  <threadedComment ref="T23" dT="2023-12-18T02:16:28.09" personId="{E7DC6E06-73C2-4870-9625-B86C1A71FCC8}" id="{613BD39E-F03E-463E-A54F-07982A0EA45E}">
    <text>685m valuation</text>
  </threadedComment>
  <threadedComment ref="AE26" dT="2023-07-24T03:00:39.45" personId="{E7DC6E06-73C2-4870-9625-B86C1A71FCC8}" id="{BA9245D9-6C01-4F87-8A15-EC4AE5802C30}">
    <text>www.heypi.com</text>
    <extLst>
      <x:ext xmlns:xltc2="http://schemas.microsoft.com/office/spreadsheetml/2020/threadedcomments2" uri="{F7C98A9C-CBB3-438F-8F68-D28B6AF4A901}">
        <xltc2:checksum>839398266</xltc2:checksum>
        <xltc2:hyperlink startIndex="0" length="13" url="http://www.heypi.com"/>
      </x:ext>
    </extLst>
  </threadedComment>
  <threadedComment ref="AF26" dT="2023-07-24T03:00:10.20" personId="{E7DC6E06-73C2-4870-9625-B86C1A71FCC8}" id="{E29F7D1D-7AF5-4541-BD1A-8261973D4DE0}">
    <text>0.651907 for inflection.ai,
1.922m for heypi.com</text>
  </threadedComment>
  <threadedComment ref="AG26" dT="2023-07-24T03:00:27.37" personId="{E7DC6E06-73C2-4870-9625-B86C1A71FCC8}" id="{919461BB-9FEF-4D66-8757-CD72F4F1D58F}">
    <text>2:22 for inflection.ai
6:31 for heypi.com</text>
  </threadedComment>
  <threadedComment ref="Q27" dT="2023-12-18T02:40:03.25" personId="{E7DC6E06-73C2-4870-9625-B86C1A71FCC8}" id="{76A183B3-66DA-4506-B94B-252442EF63C7}">
    <text>2.4B</text>
  </threadedComment>
  <threadedComment ref="T27" dT="2023-12-18T02:40:09.32" personId="{E7DC6E06-73C2-4870-9625-B86C1A71FCC8}" id="{83E4713B-E1CA-4261-8B8D-5A8CA0096F3C}">
    <text>1.7B valuation</text>
  </threadedComment>
  <threadedComment ref="Q29" dT="2023-08-01T01:15:24.66" personId="{E7DC6E06-73C2-4870-9625-B86C1A71FCC8}" id="{D88C9B5E-BF60-084A-9570-4043F212FF6E}">
    <text>1.8B valuation</text>
  </threadedComment>
  <threadedComment ref="Q30" dT="2023-07-31T23:16:16.68" personId="{E7DC6E06-73C2-4870-9625-B86C1A71FCC8}" id="{0194A46F-5F99-9E46-9EAD-33834CE23B16}">
    <text>1.1B valuation</text>
  </threadedComment>
  <threadedComment ref="Q31" dT="2023-12-18T02:48:34.17" personId="{E7DC6E06-73C2-4870-9625-B86C1A71FCC8}" id="{ADD1D653-0938-4BD0-AD14-DACCACA024A8}">
    <text>4.2B valuation</text>
  </threadedComment>
  <threadedComment ref="Q34" dT="2023-07-31T23:15:11.03" personId="{E7DC6E06-73C2-4870-9625-B86C1A71FCC8}" id="{537E8F40-4DC9-CE4D-858B-3E752C329843}">
    <text>880m valuation</text>
  </threadedComment>
  <threadedComment ref="T35" dT="2023-07-31T23:13:27.07" personId="{E7DC6E06-73C2-4870-9625-B86C1A71FCC8}" id="{4844C0AE-1F12-4844-A7ED-7C6A898EC718}">
    <text>1B valuation</text>
  </threadedComment>
  <threadedComment ref="Q38" dT="2023-07-31T23:16:50.06" personId="{E7DC6E06-73C2-4870-9625-B86C1A71FCC8}" id="{C71BE2CF-85E9-8140-864A-695CC0C40F7C}">
    <text>830m valuation</text>
  </threadedComment>
  <threadedComment ref="Q48" dT="2023-08-01T01:11:10.00" personId="{E7DC6E06-73C2-4870-9625-B86C1A71FCC8}" id="{D653EC94-32EB-CC4F-8437-45786B7F8E67}">
    <text>875m valuation</text>
  </threadedComment>
  <threadedComment ref="Q77" dT="2023-08-01T01:13:18.21" personId="{E7DC6E06-73C2-4870-9625-B86C1A71FCC8}" id="{DC3C9334-BC74-254F-8CD8-E902D066E8ED}">
    <text>780m valuation</text>
  </threadedComment>
  <threadedComment ref="T89" dT="2023-08-01T01:12:00.67" personId="{E7DC6E06-73C2-4870-9625-B86C1A71FCC8}" id="{2E608F2F-90E0-8444-ACBD-61FDA866A781}">
    <text>210m valuation</text>
  </threadedComment>
  <threadedComment ref="R103" dT="2023-08-23T21:09:00.19" personId="{E7DC6E06-73C2-4870-9625-B86C1A71FCC8}" id="{F65168F1-5657-814B-A3B8-9D75C1D1B21E}">
    <text>65m pre-money</text>
  </threadedComment>
  <threadedComment ref="Q132" dT="2023-07-31T23:14:16.84" personId="{E7DC6E06-73C2-4870-9625-B86C1A71FCC8}" id="{155EAEDA-F22A-5443-A55A-846AA7C93035}">
    <text>1.8B valuation</text>
  </threadedComment>
  <threadedComment ref="T132" dT="2023-07-31T23:14:34.66" personId="{E7DC6E06-73C2-4870-9625-B86C1A71FCC8}" id="{92596AFE-6AAF-324C-AB10-7CE2A26F5F75}">
    <text>1.5B valuation</text>
  </threadedComment>
  <threadedComment ref="D149" dT="2023-06-15T16:14:28.15" personId="{00000000-0000-0000-0000-000000000000}" id="{ADEBDD3F-0378-E642-BB59-B9F3B8CA7869}">
    <text>https://techcrunch.com/2022/11/10/ai-powered-note-taking-app-mem-raises-23-5m-openai/</text>
  </threadedComment>
</ThreadedComments>
</file>

<file path=xl/threadedComments/threadedComment2.xml><?xml version="1.0" encoding="utf-8"?>
<ThreadedComments xmlns="http://schemas.microsoft.com/office/spreadsheetml/2018/threadedcomments" xmlns:x="http://schemas.openxmlformats.org/spreadsheetml/2006/main">
  <threadedComment ref="J115" dT="2023-08-02T17:23:28.80" personId="{E7DC6E06-73C2-4870-9625-B86C1A71FCC8}" id="{7A7C6198-3353-CD40-BB00-F8E9A98CCF06}">
    <text>Was 22% IRR</text>
  </threadedComment>
  <threadedComment ref="J116" dT="2023-08-02T17:23:48.32" personId="{E7DC6E06-73C2-4870-9625-B86C1A71FCC8}" id="{E6DDF9CC-FB36-C74C-965A-666BFAA0DE62}">
    <text>Was 23% IRR</text>
  </threadedComment>
  <threadedComment ref="J117" dT="2023-08-02T17:23:34.76" personId="{E7DC6E06-73C2-4870-9625-B86C1A71FCC8}" id="{305D004E-E51A-144D-BE51-991B59019DC4}">
    <text>Was 39% IRR</text>
  </threadedComment>
  <threadedComment ref="I826" dT="2023-06-28T22:40:44.43" personId="{00000000-0000-0000-0000-000000000000}" id="{2693FE7F-F554-E548-8264-1036732DDEF4}">
    <text>Amplify Partners V, Amplify Select (6/13/22)</text>
  </threadedComment>
  <threadedComment ref="I1070" dT="2023-06-28T22:44:58.89" personId="{00000000-0000-0000-0000-000000000000}" id="{36903FD1-2927-8148-989B-855E86E2A333}">
    <text>Radical Ventures II (5/7/19)</text>
  </threadedComment>
</ThreadedComments>
</file>

<file path=xl/worksheets/_rels/sheet2.xml.rels><?xml version="1.0" encoding="UTF-8" standalone="yes"?>
<Relationships xmlns="http://schemas.openxmlformats.org/package/2006/relationships"><Relationship Id="rId117" Type="http://schemas.openxmlformats.org/officeDocument/2006/relationships/hyperlink" Target="http://www.drgupta.ai/" TargetMode="External"/><Relationship Id="rId21" Type="http://schemas.openxmlformats.org/officeDocument/2006/relationships/hyperlink" Target="http://www.mthreads.com/" TargetMode="External"/><Relationship Id="rId63" Type="http://schemas.openxmlformats.org/officeDocument/2006/relationships/hyperlink" Target="http://www.vastdata.com/" TargetMode="External"/><Relationship Id="rId159" Type="http://schemas.openxmlformats.org/officeDocument/2006/relationships/hyperlink" Target="http://www.artera.ai/" TargetMode="External"/><Relationship Id="rId170" Type="http://schemas.openxmlformats.org/officeDocument/2006/relationships/hyperlink" Target="http://www.ascertain.com/" TargetMode="External"/><Relationship Id="rId226" Type="http://schemas.openxmlformats.org/officeDocument/2006/relationships/hyperlink" Target="http://www.deci.ai/" TargetMode="External"/><Relationship Id="rId268" Type="http://schemas.openxmlformats.org/officeDocument/2006/relationships/hyperlink" Target="http://www.fellowai.com/" TargetMode="External"/><Relationship Id="rId32" Type="http://schemas.openxmlformats.org/officeDocument/2006/relationships/hyperlink" Target="http://www.eigentech.com/" TargetMode="External"/><Relationship Id="rId74" Type="http://schemas.openxmlformats.org/officeDocument/2006/relationships/hyperlink" Target="http://www.relational.ai/" TargetMode="External"/><Relationship Id="rId128" Type="http://schemas.openxmlformats.org/officeDocument/2006/relationships/hyperlink" Target="http://www.runwayml.com/" TargetMode="External"/><Relationship Id="rId5" Type="http://schemas.openxmlformats.org/officeDocument/2006/relationships/hyperlink" Target="http://www.intrinsic.ai/" TargetMode="External"/><Relationship Id="rId95" Type="http://schemas.openxmlformats.org/officeDocument/2006/relationships/hyperlink" Target="https://aws.amazon.com/" TargetMode="External"/><Relationship Id="rId160" Type="http://schemas.openxmlformats.org/officeDocument/2006/relationships/hyperlink" Target="http://www.ada.com/" TargetMode="External"/><Relationship Id="rId181" Type="http://schemas.openxmlformats.org/officeDocument/2006/relationships/hyperlink" Target="http://www.assemblyai.com/" TargetMode="External"/><Relationship Id="rId216" Type="http://schemas.openxmlformats.org/officeDocument/2006/relationships/hyperlink" Target="http://www.speak.com/" TargetMode="External"/><Relationship Id="rId237" Type="http://schemas.openxmlformats.org/officeDocument/2006/relationships/hyperlink" Target="http://www.impira.com/" TargetMode="External"/><Relationship Id="rId258" Type="http://schemas.openxmlformats.org/officeDocument/2006/relationships/hyperlink" Target="http://www.phaidra.ai/" TargetMode="External"/><Relationship Id="rId22" Type="http://schemas.openxmlformats.org/officeDocument/2006/relationships/hyperlink" Target="http://www.highradius.com/" TargetMode="External"/><Relationship Id="rId43" Type="http://schemas.openxmlformats.org/officeDocument/2006/relationships/hyperlink" Target="http://www.gong.io/" TargetMode="External"/><Relationship Id="rId64" Type="http://schemas.openxmlformats.org/officeDocument/2006/relationships/hyperlink" Target="http://www.h2o.ai/" TargetMode="External"/><Relationship Id="rId118" Type="http://schemas.openxmlformats.org/officeDocument/2006/relationships/hyperlink" Target="http://www.myanima.ai/" TargetMode="External"/><Relationship Id="rId139" Type="http://schemas.openxmlformats.org/officeDocument/2006/relationships/hyperlink" Target="http://www.anyscale.com/" TargetMode="External"/><Relationship Id="rId85" Type="http://schemas.openxmlformats.org/officeDocument/2006/relationships/hyperlink" Target="http://www.otter.ai/" TargetMode="External"/><Relationship Id="rId150" Type="http://schemas.openxmlformats.org/officeDocument/2006/relationships/hyperlink" Target="http://www.vian.ai/" TargetMode="External"/><Relationship Id="rId171" Type="http://schemas.openxmlformats.org/officeDocument/2006/relationships/hyperlink" Target="http://www.reka.ai/" TargetMode="External"/><Relationship Id="rId192" Type="http://schemas.openxmlformats.org/officeDocument/2006/relationships/hyperlink" Target="http://www.datagen.tech/" TargetMode="External"/><Relationship Id="rId206" Type="http://schemas.openxmlformats.org/officeDocument/2006/relationships/hyperlink" Target="http://www.neocybernetica.com/" TargetMode="External"/><Relationship Id="rId227" Type="http://schemas.openxmlformats.org/officeDocument/2006/relationships/hyperlink" Target="http://www.conjecture.dev/" TargetMode="External"/><Relationship Id="rId248" Type="http://schemas.openxmlformats.org/officeDocument/2006/relationships/hyperlink" Target="http://www.bardeen.ai/" TargetMode="External"/><Relationship Id="rId269" Type="http://schemas.openxmlformats.org/officeDocument/2006/relationships/hyperlink" Target="http://www.hiddendoor.co/" TargetMode="External"/><Relationship Id="rId12" Type="http://schemas.openxmlformats.org/officeDocument/2006/relationships/hyperlink" Target="http://www.nuro.ai/" TargetMode="External"/><Relationship Id="rId33" Type="http://schemas.openxmlformats.org/officeDocument/2006/relationships/hyperlink" Target="http://www.enlitic.com/" TargetMode="External"/><Relationship Id="rId108" Type="http://schemas.openxmlformats.org/officeDocument/2006/relationships/hyperlink" Target="http://www.uniphore.com/" TargetMode="External"/><Relationship Id="rId129" Type="http://schemas.openxmlformats.org/officeDocument/2006/relationships/hyperlink" Target="http://www.khealth.com/" TargetMode="External"/><Relationship Id="rId54" Type="http://schemas.openxmlformats.org/officeDocument/2006/relationships/hyperlink" Target="http://www.shield.ai/" TargetMode="External"/><Relationship Id="rId75" Type="http://schemas.openxmlformats.org/officeDocument/2006/relationships/hyperlink" Target="http://www.helsing.ai/" TargetMode="External"/><Relationship Id="rId96" Type="http://schemas.openxmlformats.org/officeDocument/2006/relationships/hyperlink" Target="http://www.palantir.com/" TargetMode="External"/><Relationship Id="rId140" Type="http://schemas.openxmlformats.org/officeDocument/2006/relationships/hyperlink" Target="http://www.hourone.ai/" TargetMode="External"/><Relationship Id="rId161" Type="http://schemas.openxmlformats.org/officeDocument/2006/relationships/hyperlink" Target="http://www.climavision.com/" TargetMode="External"/><Relationship Id="rId182" Type="http://schemas.openxmlformats.org/officeDocument/2006/relationships/hyperlink" Target="http://www.lightning.ai/" TargetMode="External"/><Relationship Id="rId217" Type="http://schemas.openxmlformats.org/officeDocument/2006/relationships/hyperlink" Target="http://www.curaihealth.com/" TargetMode="External"/><Relationship Id="rId6" Type="http://schemas.openxmlformats.org/officeDocument/2006/relationships/hyperlink" Target="http://www.coachvox.ai/" TargetMode="External"/><Relationship Id="rId238" Type="http://schemas.openxmlformats.org/officeDocument/2006/relationships/hyperlink" Target="http://www.anyword.com/" TargetMode="External"/><Relationship Id="rId259" Type="http://schemas.openxmlformats.org/officeDocument/2006/relationships/hyperlink" Target="http://www.aible.com/" TargetMode="External"/><Relationship Id="rId23" Type="http://schemas.openxmlformats.org/officeDocument/2006/relationships/hyperlink" Target="http://www.mininglamp.com/" TargetMode="External"/><Relationship Id="rId119" Type="http://schemas.openxmlformats.org/officeDocument/2006/relationships/hyperlink" Target="http://www.chatfai.com/" TargetMode="External"/><Relationship Id="rId270" Type="http://schemas.openxmlformats.org/officeDocument/2006/relationships/printerSettings" Target="../printerSettings/printerSettings1.bin"/><Relationship Id="rId44" Type="http://schemas.openxmlformats.org/officeDocument/2006/relationships/hyperlink" Target="http://www.thoughtspot.com/" TargetMode="External"/><Relationship Id="rId65" Type="http://schemas.openxmlformats.org/officeDocument/2006/relationships/hyperlink" Target="http://www.dominodatalab.com/" TargetMode="External"/><Relationship Id="rId86" Type="http://schemas.openxmlformats.org/officeDocument/2006/relationships/hyperlink" Target="http://www.openai.com/" TargetMode="External"/><Relationship Id="rId130" Type="http://schemas.openxmlformats.org/officeDocument/2006/relationships/hyperlink" Target="http://www.squirrelai.com/" TargetMode="External"/><Relationship Id="rId151" Type="http://schemas.openxmlformats.org/officeDocument/2006/relationships/hyperlink" Target="http://www.petuum.com/" TargetMode="External"/><Relationship Id="rId172" Type="http://schemas.openxmlformats.org/officeDocument/2006/relationships/hyperlink" Target="http://www.artera.io/" TargetMode="External"/><Relationship Id="rId193" Type="http://schemas.openxmlformats.org/officeDocument/2006/relationships/hyperlink" Target="http://www.inworld.ai/" TargetMode="External"/><Relationship Id="rId207" Type="http://schemas.openxmlformats.org/officeDocument/2006/relationships/hyperlink" Target="http://www.merlyn.org/" TargetMode="External"/><Relationship Id="rId228" Type="http://schemas.openxmlformats.org/officeDocument/2006/relationships/hyperlink" Target="http://www.nr2.io/" TargetMode="External"/><Relationship Id="rId249" Type="http://schemas.openxmlformats.org/officeDocument/2006/relationships/hyperlink" Target="http://www.edgedb.com/" TargetMode="External"/><Relationship Id="rId13" Type="http://schemas.openxmlformats.org/officeDocument/2006/relationships/hyperlink" Target="http://www.ubtrobot.com/" TargetMode="External"/><Relationship Id="rId109" Type="http://schemas.openxmlformats.org/officeDocument/2006/relationships/hyperlink" Target="http://www.moveworks.com/" TargetMode="External"/><Relationship Id="rId260" Type="http://schemas.openxmlformats.org/officeDocument/2006/relationships/hyperlink" Target="http://www.humansignal.com/" TargetMode="External"/><Relationship Id="rId34" Type="http://schemas.openxmlformats.org/officeDocument/2006/relationships/hyperlink" Target="http://www.nice,com/" TargetMode="External"/><Relationship Id="rId55" Type="http://schemas.openxmlformats.org/officeDocument/2006/relationships/hyperlink" Target="http://www.immunai.com/" TargetMode="External"/><Relationship Id="rId76" Type="http://schemas.openxmlformats.org/officeDocument/2006/relationships/hyperlink" Target="http://www.run.ai/" TargetMode="External"/><Relationship Id="rId97" Type="http://schemas.openxmlformats.org/officeDocument/2006/relationships/hyperlink" Target="http://www.databricks.com/" TargetMode="External"/><Relationship Id="rId120" Type="http://schemas.openxmlformats.org/officeDocument/2006/relationships/hyperlink" Target="http://www.chub.ai/" TargetMode="External"/><Relationship Id="rId141" Type="http://schemas.openxmlformats.org/officeDocument/2006/relationships/hyperlink" Target="http://www.synthesia.io/" TargetMode="External"/><Relationship Id="rId7" Type="http://schemas.openxmlformats.org/officeDocument/2006/relationships/hyperlink" Target="http://www.syllable.ai/" TargetMode="External"/><Relationship Id="rId162" Type="http://schemas.openxmlformats.org/officeDocument/2006/relationships/hyperlink" Target="http://www.rossum.ai/" TargetMode="External"/><Relationship Id="rId183" Type="http://schemas.openxmlformats.org/officeDocument/2006/relationships/hyperlink" Target="http://www.skan.ai/" TargetMode="External"/><Relationship Id="rId218" Type="http://schemas.openxmlformats.org/officeDocument/2006/relationships/hyperlink" Target="http://www.axon-networks.com/" TargetMode="External"/><Relationship Id="rId239" Type="http://schemas.openxmlformats.org/officeDocument/2006/relationships/hyperlink" Target="http://www.mostly.ai/" TargetMode="External"/><Relationship Id="rId250" Type="http://schemas.openxmlformats.org/officeDocument/2006/relationships/hyperlink" Target="http://www.northbeam.io/" TargetMode="External"/><Relationship Id="rId271" Type="http://schemas.openxmlformats.org/officeDocument/2006/relationships/vmlDrawing" Target="../drawings/vmlDrawing1.vml"/><Relationship Id="rId24" Type="http://schemas.openxmlformats.org/officeDocument/2006/relationships/hyperlink" Target="http://www.patsnap.com/" TargetMode="External"/><Relationship Id="rId45" Type="http://schemas.openxmlformats.org/officeDocument/2006/relationships/hyperlink" Target="http://www.oosto.com/" TargetMode="External"/><Relationship Id="rId66" Type="http://schemas.openxmlformats.org/officeDocument/2006/relationships/hyperlink" Target="http://www.labelbox.com/" TargetMode="External"/><Relationship Id="rId87" Type="http://schemas.openxmlformats.org/officeDocument/2006/relationships/hyperlink" Target="http://www.facebook.com/" TargetMode="External"/><Relationship Id="rId110" Type="http://schemas.openxmlformats.org/officeDocument/2006/relationships/hyperlink" Target="http://www.cohere.com/" TargetMode="External"/><Relationship Id="rId131" Type="http://schemas.openxmlformats.org/officeDocument/2006/relationships/hyperlink" Target="http://www.ada.cx/" TargetMode="External"/><Relationship Id="rId152" Type="http://schemas.openxmlformats.org/officeDocument/2006/relationships/hyperlink" Target="http://www.amprobotics.com/" TargetMode="External"/><Relationship Id="rId173" Type="http://schemas.openxmlformats.org/officeDocument/2006/relationships/hyperlink" Target="http://www.playgroundai.com/" TargetMode="External"/><Relationship Id="rId194" Type="http://schemas.openxmlformats.org/officeDocument/2006/relationships/hyperlink" Target="http://www.wizard.com/" TargetMode="External"/><Relationship Id="rId208" Type="http://schemas.openxmlformats.org/officeDocument/2006/relationships/hyperlink" Target="http://www.upstage.ai/" TargetMode="External"/><Relationship Id="rId229" Type="http://schemas.openxmlformats.org/officeDocument/2006/relationships/hyperlink" Target="http://www.nabla.com/" TargetMode="External"/><Relationship Id="rId240" Type="http://schemas.openxmlformats.org/officeDocument/2006/relationships/hyperlink" Target="http://www.relyance.ai/" TargetMode="External"/><Relationship Id="rId261" Type="http://schemas.openxmlformats.org/officeDocument/2006/relationships/hyperlink" Target="http://www.predibase.com/" TargetMode="External"/><Relationship Id="rId14" Type="http://schemas.openxmlformats.org/officeDocument/2006/relationships/hyperlink" Target="http://www.megvii.com/" TargetMode="External"/><Relationship Id="rId35" Type="http://schemas.openxmlformats.org/officeDocument/2006/relationships/hyperlink" Target="http://www.sidneyai.com/" TargetMode="External"/><Relationship Id="rId56" Type="http://schemas.openxmlformats.org/officeDocument/2006/relationships/hyperlink" Target="http://www.intervenn.com/" TargetMode="External"/><Relationship Id="rId77" Type="http://schemas.openxmlformats.org/officeDocument/2006/relationships/hyperlink" Target="http://www.deepl.com/" TargetMode="External"/><Relationship Id="rId100" Type="http://schemas.openxmlformats.org/officeDocument/2006/relationships/hyperlink" Target="https://global.iflytek.com/" TargetMode="External"/><Relationship Id="rId8" Type="http://schemas.openxmlformats.org/officeDocument/2006/relationships/hyperlink" Target="http://www.ambirobotics.com/" TargetMode="External"/><Relationship Id="rId98" Type="http://schemas.openxmlformats.org/officeDocument/2006/relationships/hyperlink" Target="http://www.getcruise.com/" TargetMode="External"/><Relationship Id="rId121" Type="http://schemas.openxmlformats.org/officeDocument/2006/relationships/hyperlink" Target="http://www.novelai.net/" TargetMode="External"/><Relationship Id="rId142" Type="http://schemas.openxmlformats.org/officeDocument/2006/relationships/hyperlink" Target="http://www.snorkel.ai/" TargetMode="External"/><Relationship Id="rId163" Type="http://schemas.openxmlformats.org/officeDocument/2006/relationships/hyperlink" Target="http://www.poly.ai/" TargetMode="External"/><Relationship Id="rId184" Type="http://schemas.openxmlformats.org/officeDocument/2006/relationships/hyperlink" Target="http://www.sima.ai/" TargetMode="External"/><Relationship Id="rId219" Type="http://schemas.openxmlformats.org/officeDocument/2006/relationships/hyperlink" Target="http://www.exafunction.com/" TargetMode="External"/><Relationship Id="rId230" Type="http://schemas.openxmlformats.org/officeDocument/2006/relationships/hyperlink" Target="http://www.quantiphi.com/" TargetMode="External"/><Relationship Id="rId251" Type="http://schemas.openxmlformats.org/officeDocument/2006/relationships/hyperlink" Target="http://www.rewind.ai/" TargetMode="External"/><Relationship Id="rId25" Type="http://schemas.openxmlformats.org/officeDocument/2006/relationships/hyperlink" Target="http://www.playment.io/" TargetMode="External"/><Relationship Id="rId46" Type="http://schemas.openxmlformats.org/officeDocument/2006/relationships/hyperlink" Target="http://www.notco.com/" TargetMode="External"/><Relationship Id="rId67" Type="http://schemas.openxmlformats.org/officeDocument/2006/relationships/hyperlink" Target="http://www.runpod.io/" TargetMode="External"/><Relationship Id="rId272" Type="http://schemas.openxmlformats.org/officeDocument/2006/relationships/comments" Target="../comments1.xml"/><Relationship Id="rId88" Type="http://schemas.openxmlformats.org/officeDocument/2006/relationships/hyperlink" Target="http://www.nvidia.com/" TargetMode="External"/><Relationship Id="rId111" Type="http://schemas.openxmlformats.org/officeDocument/2006/relationships/hyperlink" Target="http://www.rungalileo.io/" TargetMode="External"/><Relationship Id="rId132" Type="http://schemas.openxmlformats.org/officeDocument/2006/relationships/hyperlink" Target="http://www.wandb.ai/" TargetMode="External"/><Relationship Id="rId153" Type="http://schemas.openxmlformats.org/officeDocument/2006/relationships/hyperlink" Target="http://www.aisera.com/" TargetMode="External"/><Relationship Id="rId174" Type="http://schemas.openxmlformats.org/officeDocument/2006/relationships/hyperlink" Target="http://www.johnsnowlabs.com/" TargetMode="External"/><Relationship Id="rId195" Type="http://schemas.openxmlformats.org/officeDocument/2006/relationships/hyperlink" Target="http://www.unsupervised.com/" TargetMode="External"/><Relationship Id="rId209" Type="http://schemas.openxmlformats.org/officeDocument/2006/relationships/hyperlink" Target="http://www.expresssteuer.de/" TargetMode="External"/><Relationship Id="rId220" Type="http://schemas.openxmlformats.org/officeDocument/2006/relationships/hyperlink" Target="http://www.kili-technology.com/" TargetMode="External"/><Relationship Id="rId241" Type="http://schemas.openxmlformats.org/officeDocument/2006/relationships/hyperlink" Target="http://www.hebbia.ai/" TargetMode="External"/><Relationship Id="rId15" Type="http://schemas.openxmlformats.org/officeDocument/2006/relationships/hyperlink" Target="http://www.4paradigm.com/" TargetMode="External"/><Relationship Id="rId36" Type="http://schemas.openxmlformats.org/officeDocument/2006/relationships/hyperlink" Target="http://www.d-id.com/" TargetMode="External"/><Relationship Id="rId57" Type="http://schemas.openxmlformats.org/officeDocument/2006/relationships/hyperlink" Target="http://www.wayve.ai/" TargetMode="External"/><Relationship Id="rId262" Type="http://schemas.openxmlformats.org/officeDocument/2006/relationships/hyperlink" Target="http://www.neptune.ai/" TargetMode="External"/><Relationship Id="rId78" Type="http://schemas.openxmlformats.org/officeDocument/2006/relationships/hyperlink" Target="http://www.digits.com/" TargetMode="External"/><Relationship Id="rId99" Type="http://schemas.openxmlformats.org/officeDocument/2006/relationships/hyperlink" Target="http://www.waymo.com/" TargetMode="External"/><Relationship Id="rId101" Type="http://schemas.openxmlformats.org/officeDocument/2006/relationships/hyperlink" Target="http://www.sensetime.com/" TargetMode="External"/><Relationship Id="rId122" Type="http://schemas.openxmlformats.org/officeDocument/2006/relationships/hyperlink" Target="http://www.spicychat.ai/" TargetMode="External"/><Relationship Id="rId143" Type="http://schemas.openxmlformats.org/officeDocument/2006/relationships/hyperlink" Target="http://www.typeface.ai/" TargetMode="External"/><Relationship Id="rId164" Type="http://schemas.openxmlformats.org/officeDocument/2006/relationships/hyperlink" Target="http://www.vedrai.com/" TargetMode="External"/><Relationship Id="rId185" Type="http://schemas.openxmlformats.org/officeDocument/2006/relationships/hyperlink" Target="http://www.seekr.com/" TargetMode="External"/><Relationship Id="rId9" Type="http://schemas.openxmlformats.org/officeDocument/2006/relationships/hyperlink" Target="https://www.datrics.ai/" TargetMode="External"/><Relationship Id="rId210" Type="http://schemas.openxmlformats.org/officeDocument/2006/relationships/hyperlink" Target="http://www.keenagi.com/" TargetMode="External"/><Relationship Id="rId26" Type="http://schemas.openxmlformats.org/officeDocument/2006/relationships/hyperlink" Target="http://www.weka.io/" TargetMode="External"/><Relationship Id="rId231" Type="http://schemas.openxmlformats.org/officeDocument/2006/relationships/hyperlink" Target="http://www.protex.ai/" TargetMode="External"/><Relationship Id="rId252" Type="http://schemas.openxmlformats.org/officeDocument/2006/relationships/hyperlink" Target="http://www.clear.ml/" TargetMode="External"/><Relationship Id="rId273" Type="http://schemas.microsoft.com/office/2017/10/relationships/threadedComment" Target="../threadedComments/threadedComment1.xml"/><Relationship Id="rId47" Type="http://schemas.openxmlformats.org/officeDocument/2006/relationships/hyperlink" Target="http://www.skydio.com/" TargetMode="External"/><Relationship Id="rId68" Type="http://schemas.openxmlformats.org/officeDocument/2006/relationships/hyperlink" Target="http://www.banana.dev/" TargetMode="External"/><Relationship Id="rId89" Type="http://schemas.openxmlformats.org/officeDocument/2006/relationships/hyperlink" Target="http://www.tesla.com/" TargetMode="External"/><Relationship Id="rId112" Type="http://schemas.openxmlformats.org/officeDocument/2006/relationships/hyperlink" Target="http://www.soterea.cn/" TargetMode="External"/><Relationship Id="rId133" Type="http://schemas.openxmlformats.org/officeDocument/2006/relationships/hyperlink" Target="http://www.adept.ai/" TargetMode="External"/><Relationship Id="rId154" Type="http://schemas.openxmlformats.org/officeDocument/2006/relationships/hyperlink" Target="http://www.supremind.com/" TargetMode="External"/><Relationship Id="rId175" Type="http://schemas.openxmlformats.org/officeDocument/2006/relationships/hyperlink" Target="http://www.langchain.com/" TargetMode="External"/><Relationship Id="rId196" Type="http://schemas.openxmlformats.org/officeDocument/2006/relationships/hyperlink" Target="http://www.aaico.com/" TargetMode="External"/><Relationship Id="rId200" Type="http://schemas.openxmlformats.org/officeDocument/2006/relationships/hyperlink" Target="http://www.modular.com/" TargetMode="External"/><Relationship Id="rId16" Type="http://schemas.openxmlformats.org/officeDocument/2006/relationships/hyperlink" Target="http://www.sambanova.ai/" TargetMode="External"/><Relationship Id="rId221" Type="http://schemas.openxmlformats.org/officeDocument/2006/relationships/hyperlink" Target="http://www.aiola.com/" TargetMode="External"/><Relationship Id="rId242" Type="http://schemas.openxmlformats.org/officeDocument/2006/relationships/hyperlink" Target="http://www.superb-ai.com/" TargetMode="External"/><Relationship Id="rId263" Type="http://schemas.openxmlformats.org/officeDocument/2006/relationships/hyperlink" Target="http://www.omnekey.com/" TargetMode="External"/><Relationship Id="rId37" Type="http://schemas.openxmlformats.org/officeDocument/2006/relationships/hyperlink" Target="http://www.baidu.com/" TargetMode="External"/><Relationship Id="rId58" Type="http://schemas.openxmlformats.org/officeDocument/2006/relationships/hyperlink" Target="http://www.paradox.ai/" TargetMode="External"/><Relationship Id="rId79" Type="http://schemas.openxmlformats.org/officeDocument/2006/relationships/hyperlink" Target="http://www.akasa.com/" TargetMode="External"/><Relationship Id="rId102" Type="http://schemas.openxmlformats.org/officeDocument/2006/relationships/hyperlink" Target="http://www.scale.com/" TargetMode="External"/><Relationship Id="rId123" Type="http://schemas.openxmlformats.org/officeDocument/2006/relationships/hyperlink" Target="http://www.nastia.ai/" TargetMode="External"/><Relationship Id="rId144" Type="http://schemas.openxmlformats.org/officeDocument/2006/relationships/hyperlink" Target="http://www.observe.ai/" TargetMode="External"/><Relationship Id="rId90" Type="http://schemas.openxmlformats.org/officeDocument/2006/relationships/hyperlink" Target="http://www.google.com/" TargetMode="External"/><Relationship Id="rId165" Type="http://schemas.openxmlformats.org/officeDocument/2006/relationships/hyperlink" Target="http://www.abacus.ai/" TargetMode="External"/><Relationship Id="rId186" Type="http://schemas.openxmlformats.org/officeDocument/2006/relationships/hyperlink" Target="http://www.landing.ai/" TargetMode="External"/><Relationship Id="rId211" Type="http://schemas.openxmlformats.org/officeDocument/2006/relationships/hyperlink" Target="http://www.aleph-alpha.com/" TargetMode="External"/><Relationship Id="rId232" Type="http://schemas.openxmlformats.org/officeDocument/2006/relationships/hyperlink" Target="http://www.arthur.ai/" TargetMode="External"/><Relationship Id="rId253" Type="http://schemas.openxmlformats.org/officeDocument/2006/relationships/hyperlink" Target="http://www.heyday.ai/" TargetMode="External"/><Relationship Id="rId27" Type="http://schemas.openxmlformats.org/officeDocument/2006/relationships/hyperlink" Target="http://www.workera.ai/" TargetMode="External"/><Relationship Id="rId48" Type="http://schemas.openxmlformats.org/officeDocument/2006/relationships/hyperlink" Target="http://www.meero.com/" TargetMode="External"/><Relationship Id="rId69" Type="http://schemas.openxmlformats.org/officeDocument/2006/relationships/hyperlink" Target="http://www.path-robotics.com/" TargetMode="External"/><Relationship Id="rId113" Type="http://schemas.openxmlformats.org/officeDocument/2006/relationships/hyperlink" Target="http://www.charactr.com/" TargetMode="External"/><Relationship Id="rId134" Type="http://schemas.openxmlformats.org/officeDocument/2006/relationships/hyperlink" Target="http://www.midjourney.com/" TargetMode="External"/><Relationship Id="rId80" Type="http://schemas.openxmlformats.org/officeDocument/2006/relationships/hyperlink" Target="http://www.unlearn.ai/" TargetMode="External"/><Relationship Id="rId155" Type="http://schemas.openxmlformats.org/officeDocument/2006/relationships/hyperlink" Target="http://www.zhipu.ai/" TargetMode="External"/><Relationship Id="rId176" Type="http://schemas.openxmlformats.org/officeDocument/2006/relationships/hyperlink" Target="http://www.perplexity.ai/" TargetMode="External"/><Relationship Id="rId197" Type="http://schemas.openxmlformats.org/officeDocument/2006/relationships/hyperlink" Target="http://www.irreverentlabs.com/" TargetMode="External"/><Relationship Id="rId201" Type="http://schemas.openxmlformats.org/officeDocument/2006/relationships/hyperlink" Target="http://www.robustintelligence.com/" TargetMode="External"/><Relationship Id="rId222" Type="http://schemas.openxmlformats.org/officeDocument/2006/relationships/hyperlink" Target="http://www.truera.com/" TargetMode="External"/><Relationship Id="rId243" Type="http://schemas.openxmlformats.org/officeDocument/2006/relationships/hyperlink" Target="http://www.writer.com/" TargetMode="External"/><Relationship Id="rId264" Type="http://schemas.openxmlformats.org/officeDocument/2006/relationships/hyperlink" Target="http://www.janus-ai.com/" TargetMode="External"/><Relationship Id="rId17" Type="http://schemas.openxmlformats.org/officeDocument/2006/relationships/hyperlink" Target="http://www.momenta.cn/" TargetMode="External"/><Relationship Id="rId38" Type="http://schemas.openxmlformats.org/officeDocument/2006/relationships/hyperlink" Target="http://www.terminusgroup.com/" TargetMode="External"/><Relationship Id="rId59" Type="http://schemas.openxmlformats.org/officeDocument/2006/relationships/hyperlink" Target="http://www.outreach.io/" TargetMode="External"/><Relationship Id="rId103" Type="http://schemas.openxmlformats.org/officeDocument/2006/relationships/hyperlink" Target="http://www.datarobot.com/" TargetMode="External"/><Relationship Id="rId124" Type="http://schemas.openxmlformats.org/officeDocument/2006/relationships/hyperlink" Target="http://www.crushon.ai/" TargetMode="External"/><Relationship Id="rId70" Type="http://schemas.openxmlformats.org/officeDocument/2006/relationships/hyperlink" Target="http://www.mosaicml.com/" TargetMode="External"/><Relationship Id="rId91" Type="http://schemas.openxmlformats.org/officeDocument/2006/relationships/hyperlink" Target="http://www.microsoft.com/" TargetMode="External"/><Relationship Id="rId145" Type="http://schemas.openxmlformats.org/officeDocument/2006/relationships/hyperlink" Target="http://www.v7labs.com/" TargetMode="External"/><Relationship Id="rId166" Type="http://schemas.openxmlformats.org/officeDocument/2006/relationships/hyperlink" Target="http://www.fetch.ai/" TargetMode="External"/><Relationship Id="rId187" Type="http://schemas.openxmlformats.org/officeDocument/2006/relationships/hyperlink" Target="http://www.d-matrix.ai/" TargetMode="External"/><Relationship Id="rId1" Type="http://schemas.openxmlformats.org/officeDocument/2006/relationships/hyperlink" Target="https://docs.ai21.com/reference/j2-complete-api-ref" TargetMode="External"/><Relationship Id="rId212" Type="http://schemas.openxmlformats.org/officeDocument/2006/relationships/hyperlink" Target="http://www.play.ht/" TargetMode="External"/><Relationship Id="rId233" Type="http://schemas.openxmlformats.org/officeDocument/2006/relationships/hyperlink" Target="http://www.leapyear.io/" TargetMode="External"/><Relationship Id="rId254" Type="http://schemas.openxmlformats.org/officeDocument/2006/relationships/hyperlink" Target="http://www.regie.ai/" TargetMode="External"/><Relationship Id="rId28" Type="http://schemas.openxmlformats.org/officeDocument/2006/relationships/hyperlink" Target="http://www.salt.security/" TargetMode="External"/><Relationship Id="rId49" Type="http://schemas.openxmlformats.org/officeDocument/2006/relationships/hyperlink" Target="http://www.alpha-sense.com/" TargetMode="External"/><Relationship Id="rId114" Type="http://schemas.openxmlformats.org/officeDocument/2006/relationships/hyperlink" Target="http://www.janitorai.com/" TargetMode="External"/><Relationship Id="rId60" Type="http://schemas.openxmlformats.org/officeDocument/2006/relationships/hyperlink" Target="http://www.censius.ai/" TargetMode="External"/><Relationship Id="rId81" Type="http://schemas.openxmlformats.org/officeDocument/2006/relationships/hyperlink" Target="http://www.healx.io/" TargetMode="External"/><Relationship Id="rId135" Type="http://schemas.openxmlformats.org/officeDocument/2006/relationships/hyperlink" Target="http://www.deeproute.ai/" TargetMode="External"/><Relationship Id="rId156" Type="http://schemas.openxmlformats.org/officeDocument/2006/relationships/hyperlink" Target="http://www.covariant.ai/" TargetMode="External"/><Relationship Id="rId177" Type="http://schemas.openxmlformats.org/officeDocument/2006/relationships/hyperlink" Target="http://www.weaviate.io/" TargetMode="External"/><Relationship Id="rId198" Type="http://schemas.openxmlformats.org/officeDocument/2006/relationships/hyperlink" Target="http://www.capacity.com/" TargetMode="External"/><Relationship Id="rId202" Type="http://schemas.openxmlformats.org/officeDocument/2006/relationships/hyperlink" Target="http://www.imagen-ai.com/" TargetMode="External"/><Relationship Id="rId223" Type="http://schemas.openxmlformats.org/officeDocument/2006/relationships/hyperlink" Target="http://www.aporia.com/" TargetMode="External"/><Relationship Id="rId244" Type="http://schemas.openxmlformats.org/officeDocument/2006/relationships/hyperlink" Target="http://www.outerbounds.com/" TargetMode="External"/><Relationship Id="rId18" Type="http://schemas.openxmlformats.org/officeDocument/2006/relationships/hyperlink" Target="http://www.dataminr.com/" TargetMode="External"/><Relationship Id="rId39" Type="http://schemas.openxmlformats.org/officeDocument/2006/relationships/hyperlink" Target="http://www.enflame-tech.com/" TargetMode="External"/><Relationship Id="rId265" Type="http://schemas.openxmlformats.org/officeDocument/2006/relationships/hyperlink" Target="http://www.copysmith.ai/" TargetMode="External"/><Relationship Id="rId50" Type="http://schemas.openxmlformats.org/officeDocument/2006/relationships/hyperlink" Target="http://www.graphcore.ai/" TargetMode="External"/><Relationship Id="rId104" Type="http://schemas.openxmlformats.org/officeDocument/2006/relationships/hyperlink" Target="http://www.anthropic.com/" TargetMode="External"/><Relationship Id="rId125" Type="http://schemas.openxmlformats.org/officeDocument/2006/relationships/hyperlink" Target="http://www.dreamily.ai/" TargetMode="External"/><Relationship Id="rId146" Type="http://schemas.openxmlformats.org/officeDocument/2006/relationships/hyperlink" Target="http://www.pinecone.io/" TargetMode="External"/><Relationship Id="rId167" Type="http://schemas.openxmlformats.org/officeDocument/2006/relationships/hyperlink" Target="http://www.infinitus.ai/" TargetMode="External"/><Relationship Id="rId188" Type="http://schemas.openxmlformats.org/officeDocument/2006/relationships/hyperlink" Target="http://www.fiddler.ai/" TargetMode="External"/><Relationship Id="rId71" Type="http://schemas.openxmlformats.org/officeDocument/2006/relationships/hyperlink" Target="http://www.contractpodai.com/" TargetMode="External"/><Relationship Id="rId92" Type="http://schemas.openxmlformats.org/officeDocument/2006/relationships/hyperlink" Target="http://www.gantry.io/" TargetMode="External"/><Relationship Id="rId213" Type="http://schemas.openxmlformats.org/officeDocument/2006/relationships/hyperlink" Target="http://www.murf.ai/" TargetMode="External"/><Relationship Id="rId234" Type="http://schemas.openxmlformats.org/officeDocument/2006/relationships/hyperlink" Target="http://www.springdiscovery.com/" TargetMode="External"/><Relationship Id="rId2" Type="http://schemas.openxmlformats.org/officeDocument/2006/relationships/hyperlink" Target="https://docs.nomic.ai/" TargetMode="External"/><Relationship Id="rId29" Type="http://schemas.openxmlformats.org/officeDocument/2006/relationships/hyperlink" Target="http://www.symphonyai.com/" TargetMode="External"/><Relationship Id="rId255" Type="http://schemas.openxmlformats.org/officeDocument/2006/relationships/hyperlink" Target="http://www.huggingface.co/" TargetMode="External"/><Relationship Id="rId40" Type="http://schemas.openxmlformats.org/officeDocument/2006/relationships/hyperlink" Target="http://www.cerebras.net/" TargetMode="External"/><Relationship Id="rId115" Type="http://schemas.openxmlformats.org/officeDocument/2006/relationships/hyperlink" Target="http://www.lovo.ai/" TargetMode="External"/><Relationship Id="rId136" Type="http://schemas.openxmlformats.org/officeDocument/2006/relationships/hyperlink" Target="http://www.glean.ai/" TargetMode="External"/><Relationship Id="rId157" Type="http://schemas.openxmlformats.org/officeDocument/2006/relationships/hyperlink" Target="http://www.primer.ai/" TargetMode="External"/><Relationship Id="rId178" Type="http://schemas.openxmlformats.org/officeDocument/2006/relationships/hyperlink" Target="http://www.airudder.com/" TargetMode="External"/><Relationship Id="rId61" Type="http://schemas.openxmlformats.org/officeDocument/2006/relationships/hyperlink" Target="http://www.groq.com/" TargetMode="External"/><Relationship Id="rId82" Type="http://schemas.openxmlformats.org/officeDocument/2006/relationships/hyperlink" Target="http://www.comet.com/" TargetMode="External"/><Relationship Id="rId199" Type="http://schemas.openxmlformats.org/officeDocument/2006/relationships/hyperlink" Target="http://www.magic.dev/" TargetMode="External"/><Relationship Id="rId203" Type="http://schemas.openxmlformats.org/officeDocument/2006/relationships/hyperlink" Target="http://www.jina.ai/" TargetMode="External"/><Relationship Id="rId19" Type="http://schemas.openxmlformats.org/officeDocument/2006/relationships/hyperlink" Target="http://www.pony.ai/" TargetMode="External"/><Relationship Id="rId224" Type="http://schemas.openxmlformats.org/officeDocument/2006/relationships/hyperlink" Target="http://www.hyperwriteai.com/" TargetMode="External"/><Relationship Id="rId245" Type="http://schemas.openxmlformats.org/officeDocument/2006/relationships/hyperlink" Target="http://www.coiled.io/" TargetMode="External"/><Relationship Id="rId266" Type="http://schemas.openxmlformats.org/officeDocument/2006/relationships/hyperlink" Target="http://www.rosebud.ai/" TargetMode="External"/><Relationship Id="rId30" Type="http://schemas.openxmlformats.org/officeDocument/2006/relationships/hyperlink" Target="http://www.stradoslabs.com/" TargetMode="External"/><Relationship Id="rId105" Type="http://schemas.openxmlformats.org/officeDocument/2006/relationships/hyperlink" Target="http://www.inflection.ai/" TargetMode="External"/><Relationship Id="rId126" Type="http://schemas.openxmlformats.org/officeDocument/2006/relationships/hyperlink" Target="http://www.voice.ai/" TargetMode="External"/><Relationship Id="rId147" Type="http://schemas.openxmlformats.org/officeDocument/2006/relationships/hyperlink" Target="http://www.octoml.ai/" TargetMode="External"/><Relationship Id="rId168" Type="http://schemas.openxmlformats.org/officeDocument/2006/relationships/hyperlink" Target="http://www.mistral.ai/" TargetMode="External"/><Relationship Id="rId51" Type="http://schemas.openxmlformats.org/officeDocument/2006/relationships/hyperlink" Target="http://www.shift-technology.com/" TargetMode="External"/><Relationship Id="rId72" Type="http://schemas.openxmlformats.org/officeDocument/2006/relationships/hyperlink" Target="http://www.thehive.ai/" TargetMode="External"/><Relationship Id="rId93" Type="http://schemas.openxmlformats.org/officeDocument/2006/relationships/hyperlink" Target="http://www.wave-ai.net/" TargetMode="External"/><Relationship Id="rId189" Type="http://schemas.openxmlformats.org/officeDocument/2006/relationships/hyperlink" Target="http://www.generallyintelligent.com/" TargetMode="External"/><Relationship Id="rId3" Type="http://schemas.openxmlformats.org/officeDocument/2006/relationships/hyperlink" Target="https://docs.google.com/spreadsheets/d/1rMs69QO4UJKueNS2w784KpJlsdsK_ERmuq8qnCMmGUA/edit?pli=1" TargetMode="External"/><Relationship Id="rId214" Type="http://schemas.openxmlformats.org/officeDocument/2006/relationships/hyperlink" Target="http://www.resemble.ai/" TargetMode="External"/><Relationship Id="rId235" Type="http://schemas.openxmlformats.org/officeDocument/2006/relationships/hyperlink" Target="http://www.tonic.ai/" TargetMode="External"/><Relationship Id="rId256" Type="http://schemas.openxmlformats.org/officeDocument/2006/relationships/hyperlink" Target="https://huggingface.co/OpenAssistant/oasst-sft-6-llama-30b-xor" TargetMode="External"/><Relationship Id="rId116" Type="http://schemas.openxmlformats.org/officeDocument/2006/relationships/hyperlink" Target="http://www.character.ai/" TargetMode="External"/><Relationship Id="rId137" Type="http://schemas.openxmlformats.org/officeDocument/2006/relationships/hyperlink" Target="http://www.people.ai/" TargetMode="External"/><Relationship Id="rId158" Type="http://schemas.openxmlformats.org/officeDocument/2006/relationships/hyperlink" Target="http://www.cloudfactory.com/" TargetMode="External"/><Relationship Id="rId20" Type="http://schemas.openxmlformats.org/officeDocument/2006/relationships/hyperlink" Target="http://www.dataiku.com/" TargetMode="External"/><Relationship Id="rId41" Type="http://schemas.openxmlformats.org/officeDocument/2006/relationships/hyperlink" Target="http://www.vastaitech.com/" TargetMode="External"/><Relationship Id="rId62" Type="http://schemas.openxmlformats.org/officeDocument/2006/relationships/hyperlink" Target="http://www.appliedintuition.com/" TargetMode="External"/><Relationship Id="rId83" Type="http://schemas.openxmlformats.org/officeDocument/2006/relationships/hyperlink" Target="http://www.gretel.ai/" TargetMode="External"/><Relationship Id="rId179" Type="http://schemas.openxmlformats.org/officeDocument/2006/relationships/hyperlink" Target="http://www.harvey.ai/" TargetMode="External"/><Relationship Id="rId190" Type="http://schemas.openxmlformats.org/officeDocument/2006/relationships/hyperlink" Target="http://www.arize.com/" TargetMode="External"/><Relationship Id="rId204" Type="http://schemas.openxmlformats.org/officeDocument/2006/relationships/hyperlink" Target="http://www.elevenlabs.io/" TargetMode="External"/><Relationship Id="rId225" Type="http://schemas.openxmlformats.org/officeDocument/2006/relationships/hyperlink" Target="http://www.claraanalytics.com/" TargetMode="External"/><Relationship Id="rId246" Type="http://schemas.openxmlformats.org/officeDocument/2006/relationships/hyperlink" Target="http://www.lumin.ai/" TargetMode="External"/><Relationship Id="rId267" Type="http://schemas.openxmlformats.org/officeDocument/2006/relationships/hyperlink" Target="http://www.deepmotion.com/" TargetMode="External"/><Relationship Id="rId106" Type="http://schemas.openxmlformats.org/officeDocument/2006/relationships/hyperlink" Target="http://www.c3.ai/" TargetMode="External"/><Relationship Id="rId127" Type="http://schemas.openxmlformats.org/officeDocument/2006/relationships/hyperlink" Target="http://www.jasper.ai/" TargetMode="External"/><Relationship Id="rId10" Type="http://schemas.openxmlformats.org/officeDocument/2006/relationships/hyperlink" Target="http://www.openspace.ai/" TargetMode="External"/><Relationship Id="rId31" Type="http://schemas.openxmlformats.org/officeDocument/2006/relationships/hyperlink" Target="http://www.radai.com/" TargetMode="External"/><Relationship Id="rId52" Type="http://schemas.openxmlformats.org/officeDocument/2006/relationships/hyperlink" Target="http://www.plus.ai/" TargetMode="External"/><Relationship Id="rId73" Type="http://schemas.openxmlformats.org/officeDocument/2006/relationships/hyperlink" Target="http://www.cresta.com/" TargetMode="External"/><Relationship Id="rId94" Type="http://schemas.openxmlformats.org/officeDocument/2006/relationships/hyperlink" Target="http://www.tome.app/" TargetMode="External"/><Relationship Id="rId148" Type="http://schemas.openxmlformats.org/officeDocument/2006/relationships/hyperlink" Target="http://www.ai21.com/" TargetMode="External"/><Relationship Id="rId169" Type="http://schemas.openxmlformats.org/officeDocument/2006/relationships/hyperlink" Target="http://www.woebothealth.com/" TargetMode="External"/><Relationship Id="rId4" Type="http://schemas.openxmlformats.org/officeDocument/2006/relationships/hyperlink" Target="https://www.nvidia.com/en-us/startups/" TargetMode="External"/><Relationship Id="rId180" Type="http://schemas.openxmlformats.org/officeDocument/2006/relationships/hyperlink" Target="http://www.kumo.ai/" TargetMode="External"/><Relationship Id="rId215" Type="http://schemas.openxmlformats.org/officeDocument/2006/relationships/hyperlink" Target="http://www.surgehq.ai/" TargetMode="External"/><Relationship Id="rId236" Type="http://schemas.openxmlformats.org/officeDocument/2006/relationships/hyperlink" Target="http://www.paralleldomain.com/" TargetMode="External"/><Relationship Id="rId257" Type="http://schemas.openxmlformats.org/officeDocument/2006/relationships/hyperlink" Target="https://www.forbes.com/lists/ai50/" TargetMode="External"/><Relationship Id="rId42" Type="http://schemas.openxmlformats.org/officeDocument/2006/relationships/hyperlink" Target="http://www.builder.ai/" TargetMode="External"/><Relationship Id="rId84" Type="http://schemas.openxmlformats.org/officeDocument/2006/relationships/hyperlink" Target="http://www.rain.ai/" TargetMode="External"/><Relationship Id="rId138" Type="http://schemas.openxmlformats.org/officeDocument/2006/relationships/hyperlink" Target="http://www.tecton.ai/" TargetMode="External"/><Relationship Id="rId191" Type="http://schemas.openxmlformats.org/officeDocument/2006/relationships/hyperlink" Target="http://www.hippocraticai.com/" TargetMode="External"/><Relationship Id="rId205" Type="http://schemas.openxmlformats.org/officeDocument/2006/relationships/hyperlink" Target="http://www.mem.ai/" TargetMode="External"/><Relationship Id="rId247" Type="http://schemas.openxmlformats.org/officeDocument/2006/relationships/hyperlink" Target="http://www.inceptive.life/" TargetMode="External"/><Relationship Id="rId107" Type="http://schemas.openxmlformats.org/officeDocument/2006/relationships/hyperlink" Target="http://www.stability.ai/" TargetMode="External"/><Relationship Id="rId11" Type="http://schemas.openxmlformats.org/officeDocument/2006/relationships/hyperlink" Target="http://www.getbravo.io/" TargetMode="External"/><Relationship Id="rId53" Type="http://schemas.openxmlformats.org/officeDocument/2006/relationships/hyperlink" Target="http://www.eightfold.ai/" TargetMode="External"/><Relationship Id="rId149" Type="http://schemas.openxmlformats.org/officeDocument/2006/relationships/hyperlink" Target="http://www.descript.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smotamedi@greylock.com" TargetMode="External"/><Relationship Id="rId13" Type="http://schemas.openxmlformats.org/officeDocument/2006/relationships/vmlDrawing" Target="../drawings/vmlDrawing2.vml"/><Relationship Id="rId3" Type="http://schemas.openxmlformats.org/officeDocument/2006/relationships/hyperlink" Target="mailto:jacob@greylock.com" TargetMode="External"/><Relationship Id="rId7" Type="http://schemas.openxmlformats.org/officeDocument/2006/relationships/hyperlink" Target="mailto:rhoffman@greylock.com" TargetMode="External"/><Relationship Id="rId12" Type="http://schemas.openxmlformats.org/officeDocument/2006/relationships/printerSettings" Target="../printerSettings/printerSettings2.bin"/><Relationship Id="rId2" Type="http://schemas.openxmlformats.org/officeDocument/2006/relationships/hyperlink" Target="mailto:grady@sequoiacap.com" TargetMode="External"/><Relationship Id="rId1" Type="http://schemas.openxmlformats.org/officeDocument/2006/relationships/hyperlink" Target="mailto:sonya@sequoiacap.com" TargetMode="External"/><Relationship Id="rId6" Type="http://schemas.openxmlformats.org/officeDocument/2006/relationships/hyperlink" Target="mailto:mduboe@greylock.com" TargetMode="External"/><Relationship Id="rId11" Type="http://schemas.openxmlformats.org/officeDocument/2006/relationships/hyperlink" Target="mailto:srosenberg@greylock.com" TargetMode="External"/><Relationship Id="rId5" Type="http://schemas.openxmlformats.org/officeDocument/2006/relationships/hyperlink" Target="mailto:jerry.chen@greylock.com" TargetMode="External"/><Relationship Id="rId15" Type="http://schemas.microsoft.com/office/2017/10/relationships/threadedComment" Target="../threadedComments/threadedComment2.xml"/><Relationship Id="rId10" Type="http://schemas.openxmlformats.org/officeDocument/2006/relationships/hyperlink" Target="mailto:jrisch@greylock.com" TargetMode="External"/><Relationship Id="rId4" Type="http://schemas.openxmlformats.org/officeDocument/2006/relationships/hyperlink" Target="mailto:achandna@greylock.com" TargetMode="External"/><Relationship Id="rId9" Type="http://schemas.openxmlformats.org/officeDocument/2006/relationships/hyperlink" Target="mailto:corinne@greylock.com" TargetMode="External"/><Relationship Id="rId1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hyperlink" Target="https://twitter.com/lauren__apost" TargetMode="External"/><Relationship Id="rId7" Type="http://schemas.openxmlformats.org/officeDocument/2006/relationships/hyperlink" Target="https://twitter.com/RichFeloni" TargetMode="External"/><Relationship Id="rId2" Type="http://schemas.openxmlformats.org/officeDocument/2006/relationships/hyperlink" Target="https://twitter.com/albionvc" TargetMode="External"/><Relationship Id="rId1" Type="http://schemas.openxmlformats.org/officeDocument/2006/relationships/hyperlink" Target="https://twitter.com/AlyssaJoyJaffee" TargetMode="External"/><Relationship Id="rId6" Type="http://schemas.openxmlformats.org/officeDocument/2006/relationships/hyperlink" Target="https://twitter.com/goldie_oz" TargetMode="External"/><Relationship Id="rId5" Type="http://schemas.openxmlformats.org/officeDocument/2006/relationships/hyperlink" Target="https://twitter.com/paullehair" TargetMode="External"/><Relationship Id="rId4" Type="http://schemas.openxmlformats.org/officeDocument/2006/relationships/hyperlink" Target="https://twitter.com/drmolsg"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17" Type="http://schemas.openxmlformats.org/officeDocument/2006/relationships/hyperlink" Target="https://arxiv.org/abs/1910.10683" TargetMode="External"/><Relationship Id="rId21" Type="http://schemas.openxmlformats.org/officeDocument/2006/relationships/hyperlink" Target="https://ailibrary.s3.amazonaws.com/Learning+long-term+dependencies+with+gradient+descent+is+difficult.+Bengio+Simard+Frasconi+1994.pdf" TargetMode="External"/><Relationship Id="rId42" Type="http://schemas.openxmlformats.org/officeDocument/2006/relationships/hyperlink" Target="https://ailibrary.s3.amazonaws.com/Playing+Atari+with+Deep+Reinforcement+Learning+-+Mnih+2013.pdf" TargetMode="External"/><Relationship Id="rId63" Type="http://schemas.openxmlformats.org/officeDocument/2006/relationships/hyperlink" Target="https://ailibrary.s3.amazonaws.com/Speech+recognition+with+continuous-parameter+hidden+Markov+models.+Bahl+et+al%2C+Computer+Speech+and+Language+1987.pdf" TargetMode="External"/><Relationship Id="rId84" Type="http://schemas.openxmlformats.org/officeDocument/2006/relationships/hyperlink" Target="https://www.cs.toronto.edu/~kriz/conv-cifar10-aug2010.pdf" TargetMode="External"/><Relationship Id="rId138" Type="http://schemas.openxmlformats.org/officeDocument/2006/relationships/hyperlink" Target="https://ailibrary.s3.amazonaws.com/Steps+Toward+Artificial+Intelligence+-+Minsky.pdf" TargetMode="External"/><Relationship Id="rId159" Type="http://schemas.openxmlformats.org/officeDocument/2006/relationships/hyperlink" Target="https://aclanthology.org/S17-2001.pdf" TargetMode="External"/><Relationship Id="rId170" Type="http://schemas.openxmlformats.org/officeDocument/2006/relationships/hyperlink" Target="https://arxiv.org/abs/1602.03483" TargetMode="External"/><Relationship Id="rId191" Type="http://schemas.openxmlformats.org/officeDocument/2006/relationships/hyperlink" Target="https://arxiv.org/pdf/1609.03499.pdf" TargetMode="External"/><Relationship Id="rId107" Type="http://schemas.openxmlformats.org/officeDocument/2006/relationships/hyperlink" Target="https://bpb-us-w2.wpmucdn.com/sites.gatech.edu/dist/b/1653/files/2020/10/data-cleaning-sigmod-tutorial.pdf" TargetMode="External"/><Relationship Id="rId11" Type="http://schemas.openxmlformats.org/officeDocument/2006/relationships/hyperlink" Target="https://ailibrary.s3.amazonaws.com/Some+Philosophical+problems+from+the+standpoint+of+AI+-+McCarthy+1981.pdf" TargetMode="External"/><Relationship Id="rId32" Type="http://schemas.openxmlformats.org/officeDocument/2006/relationships/hyperlink" Target="https://ailibrary.s3.amazonaws.com/Learning+multiple+layers+of+features+from+tiny+images+-+Krizhevsky+2009.pdf" TargetMode="External"/><Relationship Id="rId53" Type="http://schemas.openxmlformats.org/officeDocument/2006/relationships/hyperlink" Target="https://ailibrary.s3.amazonaws.com/Layer+Normalization+-+Ba%2C+Hinton.pdf" TargetMode="External"/><Relationship Id="rId74" Type="http://schemas.openxmlformats.org/officeDocument/2006/relationships/hyperlink" Target="https://arxiv.org/pdf/1202.2745.pdf" TargetMode="External"/><Relationship Id="rId128" Type="http://schemas.openxmlformats.org/officeDocument/2006/relationships/hyperlink" Target="https://arxiv.org/abs/2304.03277" TargetMode="External"/><Relationship Id="rId149" Type="http://schemas.openxmlformats.org/officeDocument/2006/relationships/hyperlink" Target="https://ailibrary.s3.amazonaws.com/Mastering+the+game+of+Go+without+human+knowledge+-+Silver+et+al+2017.pdf" TargetMode="External"/><Relationship Id="rId5" Type="http://schemas.openxmlformats.org/officeDocument/2006/relationships/hyperlink" Target="https://ailibrary.s3.amazonaws.com/Deep+Learning+Review+(Nature)+-+Yann+LeCun%2C+Yoshua+Bengio%2C+Geoffrey+Hinton.pdf" TargetMode="External"/><Relationship Id="rId95" Type="http://schemas.openxmlformats.org/officeDocument/2006/relationships/hyperlink" Target="https://arxiv.org/pdf/2112.00861.pdf" TargetMode="External"/><Relationship Id="rId160" Type="http://schemas.openxmlformats.org/officeDocument/2006/relationships/hyperlink" Target="https://arxiv.org/abs/1312.3005" TargetMode="External"/><Relationship Id="rId181" Type="http://schemas.openxmlformats.org/officeDocument/2006/relationships/hyperlink" Target="https://aclanthology.org/K16-1006.pdf" TargetMode="External"/><Relationship Id="rId22" Type="http://schemas.openxmlformats.org/officeDocument/2006/relationships/hyperlink" Target="https://ailibrary.s3.amazonaws.com/TD-Gammon%2C+A+Self-Teaching+Backgammon+Program%2C+Achieves+Master-Level+Play.pdf" TargetMode="External"/><Relationship Id="rId43" Type="http://schemas.openxmlformats.org/officeDocument/2006/relationships/hyperlink" Target="https://arxiv.org/pdf/1303.5778.pdf" TargetMode="External"/><Relationship Id="rId64" Type="http://schemas.openxmlformats.org/officeDocument/2006/relationships/hyperlink" Target="https://ailibrary.s3.amazonaws.com/Neural+networks+and+principal+component+analysis+-+Learning+from+examples+without+local+minima.+Baldi%2C+Hornik+1989.pdf" TargetMode="External"/><Relationship Id="rId118" Type="http://schemas.openxmlformats.org/officeDocument/2006/relationships/hyperlink" Target="https://arxiv.org/abs/2004.14602" TargetMode="External"/><Relationship Id="rId139" Type="http://schemas.openxmlformats.org/officeDocument/2006/relationships/hyperlink" Target="https://ailibrary.s3.amazonaws.com/neurodynamics1962rosenblatt.pdf" TargetMode="External"/><Relationship Id="rId85" Type="http://schemas.openxmlformats.org/officeDocument/2006/relationships/hyperlink" Target="https://www.cs.toronto.edu/~hinton/absps/esann-deep-final.pdf" TargetMode="External"/><Relationship Id="rId150" Type="http://schemas.openxmlformats.org/officeDocument/2006/relationships/hyperlink" Target="https://www.cs.cmu.edu/~sandholm/dynamicThresholding.aaai17.pdf" TargetMode="External"/><Relationship Id="rId171" Type="http://schemas.openxmlformats.org/officeDocument/2006/relationships/hyperlink" Target="https://arxiv.org/abs/1801.06146" TargetMode="External"/><Relationship Id="rId192" Type="http://schemas.openxmlformats.org/officeDocument/2006/relationships/hyperlink" Target="https://arxiv.org/pdf/2305.18654.pdf" TargetMode="External"/><Relationship Id="rId12" Type="http://schemas.openxmlformats.org/officeDocument/2006/relationships/hyperlink" Target="https://ailibrary.s3.amazonaws.com/Principles+of+Artificial+Intelligence+-+Nilsson.pdf" TargetMode="External"/><Relationship Id="rId33" Type="http://schemas.openxmlformats.org/officeDocument/2006/relationships/hyperlink" Target="https://ailibrary.s3.amazonaws.com/Artificial+Intelligence+-+A+Modern+Approach+-+Stuart+Russell%2C+Peter+Norvig+-+Prentice+Hall+(2010).pdf" TargetMode="External"/><Relationship Id="rId108" Type="http://schemas.openxmlformats.org/officeDocument/2006/relationships/hyperlink" Target="https://arxiv.org/abs/2210.11416" TargetMode="External"/><Relationship Id="rId129" Type="http://schemas.openxmlformats.org/officeDocument/2006/relationships/hyperlink" Target="https://arxiv.org/abs/2302.13971" TargetMode="External"/><Relationship Id="rId54" Type="http://schemas.openxmlformats.org/officeDocument/2006/relationships/hyperlink" Target="https://arxiv.org/abs/1211.4246" TargetMode="External"/><Relationship Id="rId75" Type="http://schemas.openxmlformats.org/officeDocument/2006/relationships/hyperlink" Target="https://ailibrary.s3.amazonaws.com/ImageNet+-+A+Large-Scale+Hierarchical+Image+Database+-+Deng+et+al+2009.pdf" TargetMode="External"/><Relationship Id="rId96" Type="http://schemas.openxmlformats.org/officeDocument/2006/relationships/hyperlink" Target="https://arxiv.org/pdf/2212.08073.pdf" TargetMode="External"/><Relationship Id="rId140" Type="http://schemas.openxmlformats.org/officeDocument/2006/relationships/hyperlink" Target="https://ailibrary.s3.amazonaws.com/Man-Computer+Symbiosis+-+Licklider.pdf" TargetMode="External"/><Relationship Id="rId161" Type="http://schemas.openxmlformats.org/officeDocument/2006/relationships/hyperlink" Target="https://arxiv.org/abs/1710.10723" TargetMode="External"/><Relationship Id="rId182" Type="http://schemas.openxmlformats.org/officeDocument/2006/relationships/hyperlink" Target="https://arxiv.org/abs/1606.01933" TargetMode="External"/><Relationship Id="rId6" Type="http://schemas.openxmlformats.org/officeDocument/2006/relationships/hyperlink" Target="https://ailibrary.s3.amazonaws.com/A+Proposal+for+the+Dartmouth+Summer+Research+Project+on+Artificial+Intelligence.pdf" TargetMode="External"/><Relationship Id="rId23" Type="http://schemas.openxmlformats.org/officeDocument/2006/relationships/hyperlink" Target="https://ailibrary.s3.amazonaws.com/Convolutional+networks+for+images%2C+speech+and+time+series.+LeCun%2C+Bengio+1995.pdf" TargetMode="External"/><Relationship Id="rId119" Type="http://schemas.openxmlformats.org/officeDocument/2006/relationships/hyperlink" Target="https://arxiv.org/abs/2304.07327" TargetMode="External"/><Relationship Id="rId44" Type="http://schemas.openxmlformats.org/officeDocument/2006/relationships/hyperlink" Target="https://arxiv.org/pdf/1406.2661.pdf" TargetMode="External"/><Relationship Id="rId65" Type="http://schemas.openxmlformats.org/officeDocument/2006/relationships/hyperlink" Target="https://openreview.net/pdf?id=BZ5a1r-kVsf" TargetMode="External"/><Relationship Id="rId86" Type="http://schemas.openxmlformats.org/officeDocument/2006/relationships/hyperlink" Target="https://proceedings.neurips.cc/paper/1989/file/53c3bce66e43be4f209556518c2fcb54-Paper.pdf" TargetMode="External"/><Relationship Id="rId130" Type="http://schemas.openxmlformats.org/officeDocument/2006/relationships/hyperlink" Target="https://arxiv.org/abs/2305.17926" TargetMode="External"/><Relationship Id="rId151" Type="http://schemas.openxmlformats.org/officeDocument/2006/relationships/hyperlink" Target="https://science.org/doi/epdf/10.1126/science.aao1733" TargetMode="External"/><Relationship Id="rId172" Type="http://schemas.openxmlformats.org/officeDocument/2006/relationships/hyperlink" Target="https://arxiv.org/abs/1705.02798" TargetMode="External"/><Relationship Id="rId193" Type="http://schemas.openxmlformats.org/officeDocument/2006/relationships/hyperlink" Target="https://arxiv.org/abs/2306.06991" TargetMode="External"/><Relationship Id="rId13" Type="http://schemas.openxmlformats.org/officeDocument/2006/relationships/hyperlink" Target="https://ailibrary.s3.amazonaws.com/A+Learning+Algorithm+for+Boltzmann+Machines+-+Ackley%2C+Hinton%2C+Sejnowski.pdf" TargetMode="External"/><Relationship Id="rId109" Type="http://schemas.openxmlformats.org/officeDocument/2006/relationships/hyperlink" Target="https://arxiv.org/abs/2206.02608" TargetMode="External"/><Relationship Id="rId34" Type="http://schemas.openxmlformats.org/officeDocument/2006/relationships/hyperlink" Target="https://ailibrary.s3.amazonaws.com/Understanding+the+difficulty+of+training+deep+feedforward+neural+networks.pdf" TargetMode="External"/><Relationship Id="rId55" Type="http://schemas.openxmlformats.org/officeDocument/2006/relationships/hyperlink" Target="https://arxiv.org/pdf/1503.05571.pdf" TargetMode="External"/><Relationship Id="rId76" Type="http://schemas.openxmlformats.org/officeDocument/2006/relationships/hyperlink" Target="https://ailibrary.s3.amazonaws.com/Learning+Generative+Visual+Models+from+Few+Training+Examples+-+An+Incremental+Bayesian+Approach+Tested+on+101+Object+Categories+-+Fei-Fei+et+al+CVPR+2004.pdf" TargetMode="External"/><Relationship Id="rId97" Type="http://schemas.openxmlformats.org/officeDocument/2006/relationships/hyperlink" Target="https://arxiv.org/abs/1911.11641" TargetMode="External"/><Relationship Id="rId120" Type="http://schemas.openxmlformats.org/officeDocument/2006/relationships/hyperlink" Target="https://arxiv.org/abs/2211.09110" TargetMode="External"/><Relationship Id="rId141" Type="http://schemas.openxmlformats.org/officeDocument/2006/relationships/hyperlink" Target="https://arxiv.org/abs/2204.05862" TargetMode="External"/><Relationship Id="rId7" Type="http://schemas.openxmlformats.org/officeDocument/2006/relationships/hyperlink" Target="https://ailibrary.s3.amazonaws.com/Perceptron.pdf" TargetMode="External"/><Relationship Id="rId71" Type="http://schemas.openxmlformats.org/officeDocument/2006/relationships/hyperlink" Target="https://link.springer.com/content/pdf/10.1023/a:1010933404324.pdf" TargetMode="External"/><Relationship Id="rId92" Type="http://schemas.openxmlformats.org/officeDocument/2006/relationships/hyperlink" Target="https://arxiv.org/abs/2305.10403" TargetMode="External"/><Relationship Id="rId162" Type="http://schemas.openxmlformats.org/officeDocument/2006/relationships/hyperlink" Target="https://arxiv.org/abs/1809.08370" TargetMode="External"/><Relationship Id="rId183" Type="http://schemas.openxmlformats.org/officeDocument/2006/relationships/hyperlink" Target="https://nlp.stanford.edu/pubs/glove.pdf" TargetMode="External"/><Relationship Id="rId2" Type="http://schemas.openxmlformats.org/officeDocument/2006/relationships/hyperlink" Target="https://ailibrary.s3.amazonaws.com/ImageNet+Classification+with+Deep+Convolutional+Neural+Networks+-+Krizhevsky%2C+Sutskever%2C+Hinton+2017.pdf" TargetMode="External"/><Relationship Id="rId29" Type="http://schemas.openxmlformats.org/officeDocument/2006/relationships/hyperlink" Target="https://ailibrary.s3.amazonaws.com/Reducing+the+dimensionality+of+data+with+neural+networks.+Hinton%2C+Salakhutdinov+-+2006.pdf" TargetMode="External"/><Relationship Id="rId24" Type="http://schemas.openxmlformats.org/officeDocument/2006/relationships/hyperlink" Target="https://ailibrary.s3.amazonaws.com/Neural+Networks+-+A+Comprehensive+Foundation+-+Simon+Haykin+-+Prentice+Hall+(1998).pdf" TargetMode="External"/><Relationship Id="rId40" Type="http://schemas.openxmlformats.org/officeDocument/2006/relationships/hyperlink" Target="https://ailibrary.s3.amazonaws.com/Efficient+Estimation+of+Word+Representations+in+Vector+Space.pdf" TargetMode="External"/><Relationship Id="rId45" Type="http://schemas.openxmlformats.org/officeDocument/2006/relationships/hyperlink" Target="https://ailibrary.s3.amazonaws.com/Dropout+-+A+Simple+Way+to+Prevent+Neural+Networks+from+Overfitting+-+Srivastava.pdf" TargetMode="External"/><Relationship Id="rId66" Type="http://schemas.openxmlformats.org/officeDocument/2006/relationships/hyperlink" Target="https://ailibrary.s3.amazonaws.com/The+Organization+of+Behavior+-+A+Neuropsychological+Theory+-+D.O.+Hebb.pdf" TargetMode="External"/><Relationship Id="rId87" Type="http://schemas.openxmlformats.org/officeDocument/2006/relationships/hyperlink" Target="https://ailibrary.s3.amazonaws.com/Learning+Methods+for+Generic+Object+Recognition+with+Invariance+to+Pose+and+Lighting+-+LeCun+2004.pdf" TargetMode="External"/><Relationship Id="rId110" Type="http://schemas.openxmlformats.org/officeDocument/2006/relationships/hyperlink" Target="https://arxiv.org/abs/2101.03961" TargetMode="External"/><Relationship Id="rId115" Type="http://schemas.openxmlformats.org/officeDocument/2006/relationships/hyperlink" Target="https://arxiv.org/abs/2009.03300" TargetMode="External"/><Relationship Id="rId131" Type="http://schemas.openxmlformats.org/officeDocument/2006/relationships/hyperlink" Target="https://research.google/pubs/pub46485/" TargetMode="External"/><Relationship Id="rId136" Type="http://schemas.openxmlformats.org/officeDocument/2006/relationships/hyperlink" Target="https://arxiv.org/abs/2305.11206" TargetMode="External"/><Relationship Id="rId157" Type="http://schemas.openxmlformats.org/officeDocument/2006/relationships/hyperlink" Target="https://arxiv.org/abs/1508.05326" TargetMode="External"/><Relationship Id="rId178" Type="http://schemas.openxmlformats.org/officeDocument/2006/relationships/hyperlink" Target="https://arxiv.org/abs/1803.02893" TargetMode="External"/><Relationship Id="rId61" Type="http://schemas.openxmlformats.org/officeDocument/2006/relationships/hyperlink" Target="https://arxiv.org/pdf/1409.0473.pdf" TargetMode="External"/><Relationship Id="rId82" Type="http://schemas.openxmlformats.org/officeDocument/2006/relationships/hyperlink" Target="https://arxiv.org/pdf/1207.0580.pdf" TargetMode="External"/><Relationship Id="rId152" Type="http://schemas.openxmlformats.org/officeDocument/2006/relationships/hyperlink" Target="https://aclanthology.org/C18-1139.pdf" TargetMode="External"/><Relationship Id="rId173" Type="http://schemas.openxmlformats.org/officeDocument/2006/relationships/hyperlink" Target="https://arxiv.org/abs/1705.00557" TargetMode="External"/><Relationship Id="rId194" Type="http://schemas.openxmlformats.org/officeDocument/2006/relationships/hyperlink" Target="https://arxiv.org/abs/2106.05931" TargetMode="External"/><Relationship Id="rId19" Type="http://schemas.openxmlformats.org/officeDocument/2006/relationships/hyperlink" Target="https://ailibrary.s3.amazonaws.com/Identification+and+Control+of+Dynamical+Systems+Using+Neural+Networks+-+Narendra+1990.pdf" TargetMode="External"/><Relationship Id="rId14" Type="http://schemas.openxmlformats.org/officeDocument/2006/relationships/hyperlink" Target="https://ailibrary.s3.amazonaws.com/Learning+Process+in+an+Asymmetric+Threshold+Network+-+LeCun+1986.pdf" TargetMode="External"/><Relationship Id="rId30" Type="http://schemas.openxmlformats.org/officeDocument/2006/relationships/hyperlink" Target="https://ailibrary.s3.amazonaws.com/A+fast+learning+algorithm+for+deep+belief+nets.+Hinton%2C+Osindero%2C+Teh+-+2006.pdf" TargetMode="External"/><Relationship Id="rId35" Type="http://schemas.openxmlformats.org/officeDocument/2006/relationships/hyperlink" Target="https://ailibrary.s3.amazonaws.com/Rectified+Linear+Units+Improve+Restricted+Boltzmann+Machines+-+Nair%2C+Hinton.pdf" TargetMode="External"/><Relationship Id="rId56" Type="http://schemas.openxmlformats.org/officeDocument/2006/relationships/hyperlink" Target="https://arxiv.org/pdf/1412.7755.pdf" TargetMode="External"/><Relationship Id="rId77" Type="http://schemas.openxmlformats.org/officeDocument/2006/relationships/hyperlink" Target="https://ailibrary.s3.amazonaws.com/Learning+generative+visual+models+from+few+training+examples+-+An+incremental+Bayesian+approach+tested+on+101+object+categories.+Fei-Fei+et+al.+2007.pdf" TargetMode="External"/><Relationship Id="rId100" Type="http://schemas.openxmlformats.org/officeDocument/2006/relationships/hyperlink" Target="https://arxiv.org/abs/2305.19245" TargetMode="External"/><Relationship Id="rId105" Type="http://schemas.openxmlformats.org/officeDocument/2006/relationships/hyperlink" Target="https://arxiv.org/abs/2305.02423" TargetMode="External"/><Relationship Id="rId126" Type="http://schemas.openxmlformats.org/officeDocument/2006/relationships/hyperlink" Target="https://arxiv.org/abs/2303.08774" TargetMode="External"/><Relationship Id="rId147" Type="http://schemas.openxmlformats.org/officeDocument/2006/relationships/hyperlink" Target="https://arxiv.org/abs/2204.02311" TargetMode="External"/><Relationship Id="rId168" Type="http://schemas.openxmlformats.org/officeDocument/2006/relationships/hyperlink" Target="https://openreview.net/pdf?id=Bk0MRI5lg" TargetMode="External"/><Relationship Id="rId8" Type="http://schemas.openxmlformats.org/officeDocument/2006/relationships/hyperlink" Target="https://ailibrary.s3.amazonaws.com/Programs+with+Common+Sense+-+McCarthy+1959.pdf" TargetMode="External"/><Relationship Id="rId51" Type="http://schemas.openxmlformats.org/officeDocument/2006/relationships/hyperlink" Target="https://arxiv.org/pdf/1503.02531.pdf" TargetMode="External"/><Relationship Id="rId72" Type="http://schemas.openxmlformats.org/officeDocument/2006/relationships/hyperlink" Target="http://www.image-net.org/challenges" TargetMode="External"/><Relationship Id="rId93" Type="http://schemas.openxmlformats.org/officeDocument/2006/relationships/hyperlink" Target="https://arxiv.org/abs/2305.06424" TargetMode="External"/><Relationship Id="rId98" Type="http://schemas.openxmlformats.org/officeDocument/2006/relationships/hyperlink" Target="https://www.researchgate.net/publication/369233842_It_Takes_One_to_Tango_but_More_Make_Trouble_In-Context_Training_with_Different_Number_of_Demonstrations/fulltext/64113655a1b72772e4fad48c/It-Takes-One-to-Tango-but-More-Make-Trouble-In-Context-Training-with-Different-Number-of-Demonstrations.pdf" TargetMode="External"/><Relationship Id="rId121" Type="http://schemas.openxmlformats.org/officeDocument/2006/relationships/hyperlink" Target="https://arxiv.org/abs/1907.11692" TargetMode="External"/><Relationship Id="rId142" Type="http://schemas.openxmlformats.org/officeDocument/2006/relationships/hyperlink" Target="https://arxiv.org/abs/1912.01703" TargetMode="External"/><Relationship Id="rId163" Type="http://schemas.openxmlformats.org/officeDocument/2006/relationships/hyperlink" Target="http://machinelearning.org/archive/icml2008/papers/391.pdf" TargetMode="External"/><Relationship Id="rId184" Type="http://schemas.openxmlformats.org/officeDocument/2006/relationships/hyperlink" Target="https://arxiv.org/abs/1705.00108" TargetMode="External"/><Relationship Id="rId189" Type="http://schemas.openxmlformats.org/officeDocument/2006/relationships/hyperlink" Target="https://ailibrary.s3.amazonaws.com/Computing+Machinery+and+Intelligence+-+Turing+1950.pdf" TargetMode="External"/><Relationship Id="rId3" Type="http://schemas.openxmlformats.org/officeDocument/2006/relationships/hyperlink" Target="https://ailibrary.s3.amazonaws.com/BERT+-+Pre-training+of+Deep+Bidirectional+Transformers+for+Language+Understanding+-+1810.04805.pdf" TargetMode="External"/><Relationship Id="rId25" Type="http://schemas.openxmlformats.org/officeDocument/2006/relationships/hyperlink" Target="https://ailibrary.s3.amazonaws.com/Gradient-based+learning+applied+to+document+recognition+-+LeCun.pdf" TargetMode="External"/><Relationship Id="rId46" Type="http://schemas.openxmlformats.org/officeDocument/2006/relationships/hyperlink" Target="https://ailibrary.s3.amazonaws.com/Microsoft+COCO+-+Common+Objects+in+Context.pdf" TargetMode="External"/><Relationship Id="rId67" Type="http://schemas.openxmlformats.org/officeDocument/2006/relationships/hyperlink" Target="https://ailibrary.s3.amazonaws.com/Stochastic+Games+-+Shapley.pdf" TargetMode="External"/><Relationship Id="rId116" Type="http://schemas.openxmlformats.org/officeDocument/2006/relationships/hyperlink" Target="https://arxiv.org/abs/1908.08530" TargetMode="External"/><Relationship Id="rId137" Type="http://schemas.openxmlformats.org/officeDocument/2006/relationships/hyperlink" Target="https://ailibrary.s3.amazonaws.com/Marvin+Minsky%2C+Seymour+Papert+-+Perceptrons_+An+introduction+to+computational+geometry-MIT+Press+(1969).djvu" TargetMode="External"/><Relationship Id="rId158" Type="http://schemas.openxmlformats.org/officeDocument/2006/relationships/hyperlink" Target="https://dl.acm.org/doi/pdf/10.5555/176313.176316" TargetMode="External"/><Relationship Id="rId20" Type="http://schemas.openxmlformats.org/officeDocument/2006/relationships/hyperlink" Target="https://ailibrary.s3.amazonaws.com/Adaptation+in+Natural+and+Artificial+Systems+-+An+Introductory+Analysis+with+Applications+to+Biology%2C+Control%2C+and+Artificial+Intelligence+-+John+H.+Holland+-+The+MIT+Press+(1992).pdf" TargetMode="External"/><Relationship Id="rId41" Type="http://schemas.openxmlformats.org/officeDocument/2006/relationships/hyperlink" Target="https://ailibrary.s3.amazonaws.com/Intriguing+properties+of+Neural+Networks.pdf" TargetMode="External"/><Relationship Id="rId62" Type="http://schemas.openxmlformats.org/officeDocument/2006/relationships/hyperlink" Target="https://www.deeplearningbook.org/" TargetMode="External"/><Relationship Id="rId83" Type="http://schemas.openxmlformats.org/officeDocument/2006/relationships/hyperlink" Target="https://ailibrary.s3.amazonaws.com/What+is+the+best+multi-stage+architecture+for+object+recognition+-+Jarrett+ICCV+2009.pdf" TargetMode="External"/><Relationship Id="rId88" Type="http://schemas.openxmlformats.org/officeDocument/2006/relationships/hyperlink" Target="https://ailibrary.s3.amazonaws.com/Convolutional+Networks+and+Applications+in+Vision+-+LeCun+2010.pdf" TargetMode="External"/><Relationship Id="rId111" Type="http://schemas.openxmlformats.org/officeDocument/2006/relationships/hyperlink" Target="https://arxiv.org/abs/2210.10760" TargetMode="External"/><Relationship Id="rId132" Type="http://schemas.openxmlformats.org/officeDocument/2006/relationships/hyperlink" Target="https://arxiv.org/abs/2212.10560" TargetMode="External"/><Relationship Id="rId153" Type="http://schemas.openxmlformats.org/officeDocument/2006/relationships/hyperlink" Target="https://arxiv.org/abs/1808.04444" TargetMode="External"/><Relationship Id="rId174" Type="http://schemas.openxmlformats.org/officeDocument/2006/relationships/hyperlink" Target="https://aclanthology.org/P17-1147.pdf" TargetMode="External"/><Relationship Id="rId179" Type="http://schemas.openxmlformats.org/officeDocument/2006/relationships/hyperlink" Target="https://arxiv.org/abs/1708.00107" TargetMode="External"/><Relationship Id="rId195" Type="http://schemas.openxmlformats.org/officeDocument/2006/relationships/hyperlink" Target="https://arxiv.org/abs/2006.11239" TargetMode="External"/><Relationship Id="rId190" Type="http://schemas.openxmlformats.org/officeDocument/2006/relationships/hyperlink" Target="https://ailibrary.s3.amazonaws.com/Intelligent+Machinery+-+a+Heretical+Theory+-+Turing+1951.pdf" TargetMode="External"/><Relationship Id="rId15" Type="http://schemas.openxmlformats.org/officeDocument/2006/relationships/hyperlink" Target="https://ailibrary.s3.amazonaws.com/Learning+Representations+by+Back-Propagating+Errors+-+Rumelhart%2C+Hinton%2C+Williams.pdf" TargetMode="External"/><Relationship Id="rId36" Type="http://schemas.openxmlformats.org/officeDocument/2006/relationships/hyperlink" Target="https://ailibrary.s3.amazonaws.com/Deep+learning+via+Hessian-free+optimization+-+Martens.pdf" TargetMode="External"/><Relationship Id="rId57" Type="http://schemas.openxmlformats.org/officeDocument/2006/relationships/hyperlink" Target="http://proceedings.mlr.press/v37/bachman15.pdf" TargetMode="External"/><Relationship Id="rId106" Type="http://schemas.openxmlformats.org/officeDocument/2006/relationships/hyperlink" Target="https://arxiv.org/abs/2306.04757" TargetMode="External"/><Relationship Id="rId127" Type="http://schemas.openxmlformats.org/officeDocument/2006/relationships/hyperlink" Target="https://arxiv.org/abs/2203.02155" TargetMode="External"/><Relationship Id="rId10" Type="http://schemas.openxmlformats.org/officeDocument/2006/relationships/hyperlink" Target="https://ailibrary.s3.amazonaws.com/Algorithm+AS+136+-+A+K-Means+Clustering+Algorithm+-+Hartigan.pdf" TargetMode="External"/><Relationship Id="rId31" Type="http://schemas.openxmlformats.org/officeDocument/2006/relationships/hyperlink" Target="https://ailibrary.s3.amazonaws.com/Visualizing+Data+using+t-SNE+-+van+der+Maaten%2C+Hinton+2008.pdf" TargetMode="External"/><Relationship Id="rId52" Type="http://schemas.openxmlformats.org/officeDocument/2006/relationships/hyperlink" Target="https://ailibrary.s3.amazonaws.com/TensorFlow+-+Large-Scale+Machine+Learning+on+Heterogeneous+Distributed+Systems.pdf" TargetMode="External"/><Relationship Id="rId73" Type="http://schemas.openxmlformats.org/officeDocument/2006/relationships/hyperlink" Target="https://arxiv.org/pdf/1102.0183.pdf" TargetMode="External"/><Relationship Id="rId78" Type="http://schemas.openxmlformats.org/officeDocument/2006/relationships/hyperlink" Target="https://ailibrary.s3.amazonaws.com/Neocognitron+-+Fukushima+1980.pdf" TargetMode="External"/><Relationship Id="rId94" Type="http://schemas.openxmlformats.org/officeDocument/2006/relationships/hyperlink" Target="https://www.aiweirdness.com/optimum-tic-tac-toe/" TargetMode="External"/><Relationship Id="rId99" Type="http://schemas.openxmlformats.org/officeDocument/2006/relationships/hyperlink" Target="https://arxiv.org/abs/2306.03082" TargetMode="External"/><Relationship Id="rId101" Type="http://schemas.openxmlformats.org/officeDocument/2006/relationships/hyperlink" Target="https://arxiv.org/abs/2305.10601" TargetMode="External"/><Relationship Id="rId122" Type="http://schemas.openxmlformats.org/officeDocument/2006/relationships/hyperlink" Target="https://arxiv.org/abs/2301.13688" TargetMode="External"/><Relationship Id="rId143" Type="http://schemas.openxmlformats.org/officeDocument/2006/relationships/hyperlink" Target="https://ailibrary.s3.amazonaws.com/A+general+RL+algorithm+that+masters+chess%2C+shogi+and+go+through+self-play+-+Silver+2018.pdf" TargetMode="External"/><Relationship Id="rId148" Type="http://schemas.openxmlformats.org/officeDocument/2006/relationships/hyperlink" Target="https://arxiv.org/abs/2305.07204" TargetMode="External"/><Relationship Id="rId164" Type="http://schemas.openxmlformats.org/officeDocument/2006/relationships/hyperlink" Target="https://arxiv.org/abs/1705.02364" TargetMode="External"/><Relationship Id="rId169" Type="http://schemas.openxmlformats.org/officeDocument/2006/relationships/hyperlink" Target="https://arxiv.org/abs/1609.04747" TargetMode="External"/><Relationship Id="rId185" Type="http://schemas.openxmlformats.org/officeDocument/2006/relationships/hyperlink" Target="https://arxiv.org/abs/1802.05365" TargetMode="External"/><Relationship Id="rId4" Type="http://schemas.openxmlformats.org/officeDocument/2006/relationships/hyperlink" Target="https://ailibrary.s3.amazonaws.com/Outrageously+Large+Neural+Networks+-+The+Sparsely-Gated+Mixture-of-Experts+Layer.pdf" TargetMode="External"/><Relationship Id="rId9" Type="http://schemas.openxmlformats.org/officeDocument/2006/relationships/hyperlink" Target="https://ailibrary.s3.amazonaws.com/Cognitron+-+A+Self-Organizing+Multilayered+Neural+Network+-+Fukushima+1975.pdf" TargetMode="External"/><Relationship Id="rId180" Type="http://schemas.openxmlformats.org/officeDocument/2006/relationships/hyperlink" Target="https://aclanthology.org/K16-1006.pdf" TargetMode="External"/><Relationship Id="rId26" Type="http://schemas.openxmlformats.org/officeDocument/2006/relationships/hyperlink" Target="https://ailibrary.s3.amazonaws.com/Deep+Blue+-+Campbell%2C+Hoane%2C+Hsu.pdf" TargetMode="External"/><Relationship Id="rId47" Type="http://schemas.openxmlformats.org/officeDocument/2006/relationships/hyperlink" Target="https://arxiv.org/pdf/1409.0473.pdf" TargetMode="External"/><Relationship Id="rId68" Type="http://schemas.openxmlformats.org/officeDocument/2006/relationships/hyperlink" Target="https://ailibrary.s3.amazonaws.com/Lessons+from+the+Netflix+Prize+Challenge+-+Bell+and+Koren+2007.pdf" TargetMode="External"/><Relationship Id="rId89" Type="http://schemas.openxmlformats.org/officeDocument/2006/relationships/hyperlink" Target="https://web.eecs.umich.edu/~honglak/icml09-ConvolutionalDeepBeliefNetworks.pdf" TargetMode="External"/><Relationship Id="rId112" Type="http://schemas.openxmlformats.org/officeDocument/2006/relationships/hyperlink" Target="https://arxiv.org/abs/2110.02491" TargetMode="External"/><Relationship Id="rId133" Type="http://schemas.openxmlformats.org/officeDocument/2006/relationships/hyperlink" Target="https://arxiv.org/abs/2304.12244" TargetMode="External"/><Relationship Id="rId154" Type="http://schemas.openxmlformats.org/officeDocument/2006/relationships/hyperlink" Target="https://www.jmlr.org/papers/volume6/ando05a/ando05a.pdf" TargetMode="External"/><Relationship Id="rId175" Type="http://schemas.openxmlformats.org/officeDocument/2006/relationships/hyperlink" Target="https://arxiv.org/abs/1506.06726" TargetMode="External"/><Relationship Id="rId196" Type="http://schemas.openxmlformats.org/officeDocument/2006/relationships/hyperlink" Target="https://arxiv.org/abs/2112.07068" TargetMode="External"/><Relationship Id="rId16" Type="http://schemas.openxmlformats.org/officeDocument/2006/relationships/hyperlink" Target="https://ailibrary.s3.amazonaws.com/Parallel+Distributed+Processing+-+Explorations+in+the+Microstructure+of+Cognition+-+David+E.+Rumelhart%2C+Geoff+Hinton+James+L.+McClelland+(1986).pdf" TargetMode="External"/><Relationship Id="rId37" Type="http://schemas.openxmlformats.org/officeDocument/2006/relationships/hyperlink" Target="https://ailibrary.s3.amazonaws.com/ImageNet+Classification+with+Deep+Convolutional+Neural+Networks+-+Krizhevsky%2C+Sutskever%2C+Hinton+2017.pdf" TargetMode="External"/><Relationship Id="rId58" Type="http://schemas.openxmlformats.org/officeDocument/2006/relationships/hyperlink" Target="https://pierrelucbacon.com/bacon-2015-condnet.pdf" TargetMode="External"/><Relationship Id="rId79" Type="http://schemas.openxmlformats.org/officeDocument/2006/relationships/hyperlink" Target="https://ailibrary.s3.amazonaws.com/Attention+is+All+You+Need+-+Vaswani.pdf" TargetMode="External"/><Relationship Id="rId102" Type="http://schemas.openxmlformats.org/officeDocument/2006/relationships/hyperlink" Target="https://arxiv.org/abs/2303.12712" TargetMode="External"/><Relationship Id="rId123" Type="http://schemas.openxmlformats.org/officeDocument/2006/relationships/hyperlink" Target="https://arxiv.org/abs/2306.08568" TargetMode="External"/><Relationship Id="rId144" Type="http://schemas.openxmlformats.org/officeDocument/2006/relationships/hyperlink" Target="https://ailibrary.s3.amazonaws.com/Grandmaster+level+in+StarCraft+II+using+multi-agent+RL+-+Vinyals+2019.pdf" TargetMode="External"/><Relationship Id="rId90" Type="http://schemas.openxmlformats.org/officeDocument/2006/relationships/hyperlink" Target="https://ailibrary.s3.amazonaws.com/Taylor+expansion+of+the+accumulated+rounding+error+-+Linnainmaa+1976.pdf" TargetMode="External"/><Relationship Id="rId165" Type="http://schemas.openxmlformats.org/officeDocument/2006/relationships/hyperlink" Target="https://arxiv.org/abs/1511.01432" TargetMode="External"/><Relationship Id="rId186" Type="http://schemas.openxmlformats.org/officeDocument/2006/relationships/hyperlink" Target="https://ailibrary.s3.amazonaws.com/Reinforcement+Learning%2C+An+Introduction+-+Adaptive+Computation+and+Machine+Learning+-+Richard+S.+Sutton%2C+Andrew+G.+Barto+-+The+MIT+Press+(2018).pdf" TargetMode="External"/><Relationship Id="rId27" Type="http://schemas.openxmlformats.org/officeDocument/2006/relationships/hyperlink" Target="https://ailibrary.s3.amazonaws.com/MapReduce+-+Dean%2C+Ghemawat.pdf" TargetMode="External"/><Relationship Id="rId48" Type="http://schemas.openxmlformats.org/officeDocument/2006/relationships/hyperlink" Target="https://arxiv.org/pdf/1406.1078.pdf" TargetMode="External"/><Relationship Id="rId69" Type="http://schemas.openxmlformats.org/officeDocument/2006/relationships/hyperlink" Target="https://www.image-net.org/challenges/LSVRC/2010/index.php" TargetMode="External"/><Relationship Id="rId113" Type="http://schemas.openxmlformats.org/officeDocument/2006/relationships/hyperlink" Target="https://ailibrary.s3.amazonaws.com/Franc%CC%A7ois+Chollet+-+Deep+Learning+with+Python-Manning+Publications+(2021).pdf" TargetMode="External"/><Relationship Id="rId134" Type="http://schemas.openxmlformats.org/officeDocument/2006/relationships/hyperlink" Target="https://arxiv.org/abs/2303.10158" TargetMode="External"/><Relationship Id="rId80" Type="http://schemas.openxmlformats.org/officeDocument/2006/relationships/hyperlink" Target="https://ailibrary.s3.amazonaws.com/Caltech-256+Object+Recognition+Dataset+2007.pdf" TargetMode="External"/><Relationship Id="rId155" Type="http://schemas.openxmlformats.org/officeDocument/2006/relationships/hyperlink" Target="https://tac.nist.gov/publications/2009/additional.papers/RTE5_overview.proceedings.pdf" TargetMode="External"/><Relationship Id="rId176" Type="http://schemas.openxmlformats.org/officeDocument/2006/relationships/hyperlink" Target="https://arxiv.org/abs/1405.4053" TargetMode="External"/><Relationship Id="rId197" Type="http://schemas.openxmlformats.org/officeDocument/2006/relationships/hyperlink" Target="https://arxiv.org/abs/1703.06975" TargetMode="External"/><Relationship Id="rId17" Type="http://schemas.openxmlformats.org/officeDocument/2006/relationships/hyperlink" Target="https://ailibrary.s3.amazonaws.com/Backpropagation+Applied+to+Handwritten+Zip+Code+Recognition+-+LeCun+1989.pdf" TargetMode="External"/><Relationship Id="rId38" Type="http://schemas.openxmlformats.org/officeDocument/2006/relationships/hyperlink" Target="https://ailibrary.s3.amazonaws.com/Random+search+for+hyper-parameter+optimization.+Bergstra%2C+Bengio+2012.pdf" TargetMode="External"/><Relationship Id="rId59" Type="http://schemas.openxmlformats.org/officeDocument/2006/relationships/hyperlink" Target="https://papers.nips.cc/paper_files/paper/2008/file/1458e7509aa5f47ecfb92536e7dd1dc7-Paper.pdf" TargetMode="External"/><Relationship Id="rId103" Type="http://schemas.openxmlformats.org/officeDocument/2006/relationships/hyperlink" Target="https://arxiv.org/pdf/2306.01930.pdf" TargetMode="External"/><Relationship Id="rId124" Type="http://schemas.openxmlformats.org/officeDocument/2006/relationships/hyperlink" Target="https://arxiv.org/abs/2308.04052" TargetMode="External"/><Relationship Id="rId70" Type="http://schemas.openxmlformats.org/officeDocument/2006/relationships/hyperlink" Target="https://www.image-net.org/challenges/LSVRC/2012/index.php" TargetMode="External"/><Relationship Id="rId91" Type="http://schemas.openxmlformats.org/officeDocument/2006/relationships/hyperlink" Target="https://arxiv.org/abs/2307.08701" TargetMode="External"/><Relationship Id="rId145" Type="http://schemas.openxmlformats.org/officeDocument/2006/relationships/hyperlink" Target="https://arxiv.org/abs/1905.11946" TargetMode="External"/><Relationship Id="rId166" Type="http://schemas.openxmlformats.org/officeDocument/2006/relationships/hyperlink" Target="https://aclanthology.org/I05-5002.pdf" TargetMode="External"/><Relationship Id="rId187" Type="http://schemas.openxmlformats.org/officeDocument/2006/relationships/hyperlink" Target="https://ailibrary.s3.amazonaws.com/Foundations+of+Machine+Learning+-+Mehryar+Mohri%2C+Afshin+Rostamizadeh%2C+Ameet+Talwalkar+-+The+MIT+Press+(2018).pdf" TargetMode="External"/><Relationship Id="rId1" Type="http://schemas.openxmlformats.org/officeDocument/2006/relationships/hyperlink" Target="https://ailibrary.s3.amazonaws.com/Deep+Learning+-+MIT+(2017)+-+Ian+Goodfellow%2C+Yoshua+Bengio%2C+Aaron+Courville.pdf" TargetMode="External"/><Relationship Id="rId28" Type="http://schemas.openxmlformats.org/officeDocument/2006/relationships/hyperlink" Target="https://ailibrary.s3.amazonaws.com/Pattern+Recognition+and+Machine+Learning+-+Christopher+M.+Bishop+(2006).pdf" TargetMode="External"/><Relationship Id="rId49" Type="http://schemas.openxmlformats.org/officeDocument/2006/relationships/hyperlink" Target="https://ailibrary.s3.amazonaws.com/Shalev-Shwartz+S.%2C+Ben-David+S.+-+Understanding+Machine+Learning_+From+Theory+to+Algorithms-CUP+(2014).pdf" TargetMode="External"/><Relationship Id="rId114" Type="http://schemas.openxmlformats.org/officeDocument/2006/relationships/hyperlink" Target="https://arxiv.org/abs/2102.12092" TargetMode="External"/><Relationship Id="rId60" Type="http://schemas.openxmlformats.org/officeDocument/2006/relationships/hyperlink" Target="https://iclr.cc/archive/www/lib/exe/fetch.php%3Fmedia=iclr2015:bahdanau-iclr2015.pdf" TargetMode="External"/><Relationship Id="rId81" Type="http://schemas.openxmlformats.org/officeDocument/2006/relationships/hyperlink" Target="https://arxiv.org/pdf/1512.03385.pdf" TargetMode="External"/><Relationship Id="rId135" Type="http://schemas.openxmlformats.org/officeDocument/2006/relationships/hyperlink" Target="https://arxiv.org/abs/2306.05685" TargetMode="External"/><Relationship Id="rId156" Type="http://schemas.openxmlformats.org/officeDocument/2006/relationships/hyperlink" Target="https://aclanthology.org/W06-1615.pdf" TargetMode="External"/><Relationship Id="rId177" Type="http://schemas.openxmlformats.org/officeDocument/2006/relationships/hyperlink" Target="https://cdn.aaai.org/ocs/4492/4492-21843-1-PB.pdf" TargetMode="External"/><Relationship Id="rId198" Type="http://schemas.openxmlformats.org/officeDocument/2006/relationships/hyperlink" Target="https://arxiv.org/abs/1809.11096" TargetMode="External"/><Relationship Id="rId18" Type="http://schemas.openxmlformats.org/officeDocument/2006/relationships/hyperlink" Target="https://ailibrary.s3.amazonaws.com/On+the+approximate+realization+of+continuous+mappings+by+neural+networks+-+Funahashi+1989.pdf" TargetMode="External"/><Relationship Id="rId39" Type="http://schemas.openxmlformats.org/officeDocument/2006/relationships/hyperlink" Target="https://ailibrary.s3.amazonaws.com/Distributed+Representations+of+Words+and+Phrases+and+Their+Compositionality+-+Mikolov%2C+2013.pdf" TargetMode="External"/><Relationship Id="rId50" Type="http://schemas.openxmlformats.org/officeDocument/2006/relationships/hyperlink" Target="https://ailibrary.s3.amazonaws.com/Deep+Learning+in+Neural+Networks+-+Schmidhuber+2015.pdf" TargetMode="External"/><Relationship Id="rId104" Type="http://schemas.openxmlformats.org/officeDocument/2006/relationships/hyperlink" Target="https://arxiv.org/abs/2305.02424" TargetMode="External"/><Relationship Id="rId125" Type="http://schemas.openxmlformats.org/officeDocument/2006/relationships/hyperlink" Target="https://arxiv.org/abs/2110.03613" TargetMode="External"/><Relationship Id="rId146" Type="http://schemas.openxmlformats.org/officeDocument/2006/relationships/hyperlink" Target="https://ailibrary.s3.amazonaws.com/Superhuman+AI+for+multiplayer+poker+-+Brown+Science+2019.pdf" TargetMode="External"/><Relationship Id="rId167" Type="http://schemas.openxmlformats.org/officeDocument/2006/relationships/hyperlink" Target="https://arxiv.org/abs/1801.07736" TargetMode="External"/><Relationship Id="rId188" Type="http://schemas.openxmlformats.org/officeDocument/2006/relationships/hyperlink" Target="https://ailibrary.s3.amazonaws.com/A+Proposal+for+the+Dartmouth+Summer+Research+Project+on+AI+-+McCarthy+1955.pdf"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www.play.ht/" TargetMode="External"/><Relationship Id="rId18" Type="http://schemas.openxmlformats.org/officeDocument/2006/relationships/hyperlink" Target="http://www.murf.ai/" TargetMode="External"/><Relationship Id="rId26" Type="http://schemas.openxmlformats.org/officeDocument/2006/relationships/hyperlink" Target="http://www.ispeech.org/" TargetMode="External"/><Relationship Id="rId3" Type="http://schemas.openxmlformats.org/officeDocument/2006/relationships/hyperlink" Target="https://github.com/neonbjb/tortoise-tts" TargetMode="External"/><Relationship Id="rId21" Type="http://schemas.openxmlformats.org/officeDocument/2006/relationships/hyperlink" Target="http://www.voicemod.net/" TargetMode="External"/><Relationship Id="rId7" Type="http://schemas.openxmlformats.org/officeDocument/2006/relationships/hyperlink" Target="https://github.com/Plachtaa/VITS-fast-fine-tuning" TargetMode="External"/><Relationship Id="rId12" Type="http://schemas.openxmlformats.org/officeDocument/2006/relationships/hyperlink" Target="https://www.deepmind.com/blog/wavenet-a-generative-model-for-raw-audio" TargetMode="External"/><Relationship Id="rId17" Type="http://schemas.openxmlformats.org/officeDocument/2006/relationships/hyperlink" Target="http://www.wellsaidlabs.com/" TargetMode="External"/><Relationship Id="rId25" Type="http://schemas.openxmlformats.org/officeDocument/2006/relationships/hyperlink" Target="http://www.synthesys.io/" TargetMode="External"/><Relationship Id="rId33" Type="http://schemas.openxmlformats.org/officeDocument/2006/relationships/hyperlink" Target="http://www.resemble.ai/" TargetMode="External"/><Relationship Id="rId2" Type="http://schemas.openxmlformats.org/officeDocument/2006/relationships/hyperlink" Target="https://github.com/lucidrains/spear-tts-pytorch" TargetMode="External"/><Relationship Id="rId16" Type="http://schemas.openxmlformats.org/officeDocument/2006/relationships/hyperlink" Target="http://www.rime.ai/" TargetMode="External"/><Relationship Id="rId20" Type="http://schemas.openxmlformats.org/officeDocument/2006/relationships/hyperlink" Target="http://www.speechify.com/" TargetMode="External"/><Relationship Id="rId29" Type="http://schemas.openxmlformats.org/officeDocument/2006/relationships/hyperlink" Target="http://www.deepdub.ai/" TargetMode="External"/><Relationship Id="rId1" Type="http://schemas.openxmlformats.org/officeDocument/2006/relationships/hyperlink" Target="https://google-research.github.io/seanet/speartts/examples/" TargetMode="External"/><Relationship Id="rId6" Type="http://schemas.openxmlformats.org/officeDocument/2006/relationships/hyperlink" Target="https://github.com/hcy71o/SC-VITS" TargetMode="External"/><Relationship Id="rId11" Type="http://schemas.openxmlformats.org/officeDocument/2006/relationships/hyperlink" Target="https://github.com/MycroftAI/mimic3" TargetMode="External"/><Relationship Id="rId24" Type="http://schemas.openxmlformats.org/officeDocument/2006/relationships/hyperlink" Target="https://docs.nvidia.com/deeplearning/nemo/user-guide/docs/en/stable/tts/intro.html" TargetMode="External"/><Relationship Id="rId32" Type="http://schemas.openxmlformats.org/officeDocument/2006/relationships/hyperlink" Target="http://www.lovo.ai/" TargetMode="External"/><Relationship Id="rId5" Type="http://schemas.openxmlformats.org/officeDocument/2006/relationships/hyperlink" Target="https://github.com/jaywalnut310/vits" TargetMode="External"/><Relationship Id="rId15" Type="http://schemas.openxmlformats.org/officeDocument/2006/relationships/hyperlink" Target="http://www.elevenlabs.io/" TargetMode="External"/><Relationship Id="rId23" Type="http://schemas.openxmlformats.org/officeDocument/2006/relationships/hyperlink" Target="http://www.voiceovermaker.io/" TargetMode="External"/><Relationship Id="rId28" Type="http://schemas.openxmlformats.org/officeDocument/2006/relationships/hyperlink" Target="http://www.lmnt.com/" TargetMode="External"/><Relationship Id="rId10" Type="http://schemas.openxmlformats.org/officeDocument/2006/relationships/hyperlink" Target="https://google-research.github.io/seanet/soundstorm/examples/" TargetMode="External"/><Relationship Id="rId19" Type="http://schemas.openxmlformats.org/officeDocument/2006/relationships/hyperlink" Target="http://www.unrealspeech.com/" TargetMode="External"/><Relationship Id="rId31" Type="http://schemas.openxmlformats.org/officeDocument/2006/relationships/hyperlink" Target="http://www.voiser.net/" TargetMode="External"/><Relationship Id="rId4" Type="http://schemas.openxmlformats.org/officeDocument/2006/relationships/hyperlink" Target="https://github.com/152334H/tortoise-tts-fast" TargetMode="External"/><Relationship Id="rId9" Type="http://schemas.openxmlformats.org/officeDocument/2006/relationships/hyperlink" Target="https://github.com/lucidrains/soundstorm-pytorch" TargetMode="External"/><Relationship Id="rId14" Type="http://schemas.openxmlformats.org/officeDocument/2006/relationships/hyperlink" Target="http://www.coqui.ai/" TargetMode="External"/><Relationship Id="rId22" Type="http://schemas.openxmlformats.org/officeDocument/2006/relationships/hyperlink" Target="http://www.replicastudios.com/" TargetMode="External"/><Relationship Id="rId27" Type="http://schemas.openxmlformats.org/officeDocument/2006/relationships/hyperlink" Target="https://www.vocalware.com/index/pricing" TargetMode="External"/><Relationship Id="rId30" Type="http://schemas.openxmlformats.org/officeDocument/2006/relationships/hyperlink" Target="http://www.gemelo.ai/" TargetMode="External"/><Relationship Id="rId8" Type="http://schemas.openxmlformats.org/officeDocument/2006/relationships/hyperlink" Target="https://github.com/svc-develop-team/so-vits-svc"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microsoft/unilm" TargetMode="External"/><Relationship Id="rId13" Type="http://schemas.openxmlformats.org/officeDocument/2006/relationships/hyperlink" Target="https://github.com/hwchase17/langchain" TargetMode="External"/><Relationship Id="rId18" Type="http://schemas.openxmlformats.org/officeDocument/2006/relationships/hyperlink" Target="https://github.com/gururise/AlpacaDataCleaned/" TargetMode="External"/><Relationship Id="rId26" Type="http://schemas.openxmlformats.org/officeDocument/2006/relationships/hyperlink" Target="https://lmsys.org/blog/2023-03-30-vicuna/" TargetMode="External"/><Relationship Id="rId3" Type="http://schemas.openxmlformats.org/officeDocument/2006/relationships/hyperlink" Target="https://huggingface.co/chansung/alpaca-lora-65b/tree/main" TargetMode="External"/><Relationship Id="rId21" Type="http://schemas.openxmlformats.org/officeDocument/2006/relationships/hyperlink" Target="https://github.com/tatsu-lab/stanford_alpaca" TargetMode="External"/><Relationship Id="rId7" Type="http://schemas.openxmlformats.org/officeDocument/2006/relationships/hyperlink" Target="https://ai.meta.com/tools/libri-light/" TargetMode="External"/><Relationship Id="rId12" Type="http://schemas.openxmlformats.org/officeDocument/2006/relationships/hyperlink" Target="https://github.com/vllm-project/vllm" TargetMode="External"/><Relationship Id="rId17" Type="http://schemas.openxmlformats.org/officeDocument/2006/relationships/hyperlink" Target="https://huggingface.co/stabilityai/StableBeluga2" TargetMode="External"/><Relationship Id="rId25" Type="http://schemas.openxmlformats.org/officeDocument/2006/relationships/hyperlink" Target="https://huggingface.co/lmsys/vicuna-13b-delta-v1.1" TargetMode="External"/><Relationship Id="rId2" Type="http://schemas.openxmlformats.org/officeDocument/2006/relationships/hyperlink" Target="https://huggingface.co/datasets/nomic-ai/gpt4all-j-prompt-generations/tree/main/data" TargetMode="External"/><Relationship Id="rId16" Type="http://schemas.openxmlformats.org/officeDocument/2006/relationships/hyperlink" Target="https://lichang-chen.github.io/AlpaGasus/" TargetMode="External"/><Relationship Id="rId20" Type="http://schemas.openxmlformats.org/officeDocument/2006/relationships/hyperlink" Target="https://github.com/cocktailpeanut/dalai" TargetMode="External"/><Relationship Id="rId29" Type="http://schemas.openxmlformats.org/officeDocument/2006/relationships/hyperlink" Target="https://github.com/tatsu-lab/alpaca_eval" TargetMode="External"/><Relationship Id="rId1" Type="http://schemas.openxmlformats.org/officeDocument/2006/relationships/hyperlink" Target="https://github.com/tloen/alpaca-lora" TargetMode="External"/><Relationship Id="rId6" Type="http://schemas.openxmlformats.org/officeDocument/2006/relationships/hyperlink" Target="https://github.com/facebookresearch/libri-light" TargetMode="External"/><Relationship Id="rId11" Type="http://schemas.openxmlformats.org/officeDocument/2006/relationships/hyperlink" Target="https://github.com/lm-sys/FastChat" TargetMode="External"/><Relationship Id="rId24" Type="http://schemas.openxmlformats.org/officeDocument/2006/relationships/hyperlink" Target="https://github.com/young-geng/EasyLM/tree/main" TargetMode="External"/><Relationship Id="rId5" Type="http://schemas.openxmlformats.org/officeDocument/2006/relationships/hyperlink" Target="https://github.com/lucidrains/soundstorm-pytorch" TargetMode="External"/><Relationship Id="rId15" Type="http://schemas.openxmlformats.org/officeDocument/2006/relationships/hyperlink" Target="http://code.google.com/p/cuda-convnet/" TargetMode="External"/><Relationship Id="rId23" Type="http://schemas.openxmlformats.org/officeDocument/2006/relationships/hyperlink" Target="https://github.com/nlpxucan/WizardLM" TargetMode="External"/><Relationship Id="rId28" Type="http://schemas.openxmlformats.org/officeDocument/2006/relationships/hyperlink" Target="https://bair.berkeley.edu/blog/2023/04/03/koala/" TargetMode="External"/><Relationship Id="rId10" Type="http://schemas.openxmlformats.org/officeDocument/2006/relationships/hyperlink" Target="https://github.com/microsoft/DeepSpeed" TargetMode="External"/><Relationship Id="rId19" Type="http://schemas.openxmlformats.org/officeDocument/2006/relationships/hyperlink" Target="https://github.com/joonspk-research/generative_agents" TargetMode="External"/><Relationship Id="rId4" Type="http://schemas.openxmlformats.org/officeDocument/2006/relationships/hyperlink" Target="https://github.com/h2oai/h2ogpt" TargetMode="External"/><Relationship Id="rId9" Type="http://schemas.openxmlformats.org/officeDocument/2006/relationships/hyperlink" Target="https://github.com/openai/gpt-3/tree/master" TargetMode="External"/><Relationship Id="rId14" Type="http://schemas.openxmlformats.org/officeDocument/2006/relationships/hyperlink" Target="https://github.com/ggerganov/llama.cpp" TargetMode="External"/><Relationship Id="rId22" Type="http://schemas.openxmlformats.org/officeDocument/2006/relationships/hyperlink" Target="https://huggingface.co/EleutherAI/gpt-j-6b" TargetMode="External"/><Relationship Id="rId27" Type="http://schemas.openxmlformats.org/officeDocument/2006/relationships/hyperlink" Target="https://www.databricks.com/blog/2023/04/12/dolly-first-open-commercially-viable-instruction-tuned-llm" TargetMode="External"/><Relationship Id="rId30"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3" Type="http://schemas.openxmlformats.org/officeDocument/2006/relationships/hyperlink" Target="https://www.youtube.com/@hugolarochelle/videos" TargetMode="External"/><Relationship Id="rId2" Type="http://schemas.openxmlformats.org/officeDocument/2006/relationships/hyperlink" Target="https://www.youtube.com/watch?v=zij_FTbJHsk" TargetMode="External"/><Relationship Id="rId1" Type="http://schemas.openxmlformats.org/officeDocument/2006/relationships/hyperlink" Target="mailto:ilyasu@openai.com" TargetMode="External"/><Relationship Id="rId5" Type="http://schemas.openxmlformats.org/officeDocument/2006/relationships/hyperlink" Target="https://www.cs.toronto.edu/~hinton/" TargetMode="External"/><Relationship Id="rId4" Type="http://schemas.openxmlformats.org/officeDocument/2006/relationships/hyperlink" Target="mailto:jba@cs.toronto.edu" TargetMode="Externa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3" Type="http://schemas.openxmlformats.org/officeDocument/2006/relationships/hyperlink" Target="mailto:adarob@google.com" TargetMode="External"/><Relationship Id="rId18" Type="http://schemas.openxmlformats.org/officeDocument/2006/relationships/hyperlink" Target="mailto:mweili@google.com" TargetMode="External"/><Relationship Id="rId26" Type="http://schemas.openxmlformats.org/officeDocument/2006/relationships/hyperlink" Target="mailto:qvl@google.com" TargetMode="External"/><Relationship Id="rId39" Type="http://schemas.openxmlformats.org/officeDocument/2006/relationships/hyperlink" Target="mailto:simonyan@google.com" TargetMode="External"/><Relationship Id="rId21" Type="http://schemas.openxmlformats.org/officeDocument/2006/relationships/hyperlink" Target="mailto:barretzoph@google.com" TargetMode="External"/><Relationship Id="rId34" Type="http://schemas.openxmlformats.org/officeDocument/2006/relationships/hyperlink" Target="mailto:alex.graves@deepmind.com" TargetMode="External"/><Relationship Id="rId42" Type="http://schemas.openxmlformats.org/officeDocument/2006/relationships/hyperlink" Target="mailto:andrewsenior@google.com" TargetMode="External"/><Relationship Id="rId7" Type="http://schemas.openxmlformats.org/officeDocument/2006/relationships/hyperlink" Target="mailto:kristout@google.com" TargetMode="External"/><Relationship Id="rId2" Type="http://schemas.openxmlformats.org/officeDocument/2006/relationships/hyperlink" Target="mailto:vinyals@google.com" TargetMode="External"/><Relationship Id="rId16" Type="http://schemas.openxmlformats.org/officeDocument/2006/relationships/hyperlink" Target="mailto:mmatena@google.com" TargetMode="External"/><Relationship Id="rId20" Type="http://schemas.openxmlformats.org/officeDocument/2006/relationships/hyperlink" Target="mailto:liamfedus@google.com" TargetMode="External"/><Relationship Id="rId29" Type="http://schemas.openxmlformats.org/officeDocument/2006/relationships/hyperlink" Target="mailto:kai@google.com" TargetMode="External"/><Relationship Id="rId41" Type="http://schemas.openxmlformats.org/officeDocument/2006/relationships/hyperlink" Target="mailto:sedielem@google.com" TargetMode="External"/><Relationship Id="rId1" Type="http://schemas.openxmlformats.org/officeDocument/2006/relationships/hyperlink" Target="mailto:korayk@google.com" TargetMode="External"/><Relationship Id="rId6" Type="http://schemas.openxmlformats.org/officeDocument/2006/relationships/hyperlink" Target="mailto:tsainath@google.com" TargetMode="External"/><Relationship Id="rId11" Type="http://schemas.openxmlformats.org/officeDocument/2006/relationships/hyperlink" Target="mailto:noam@google.com" TargetMode="External"/><Relationship Id="rId24" Type="http://schemas.openxmlformats.org/officeDocument/2006/relationships/hyperlink" Target="mailto:jeff@google.com" TargetMode="External"/><Relationship Id="rId32" Type="http://schemas.openxmlformats.org/officeDocument/2006/relationships/hyperlink" Target="mailto:vlad@deepmind.com" TargetMode="External"/><Relationship Id="rId37" Type="http://schemas.openxmlformats.org/officeDocument/2006/relationships/hyperlink" Target="mailto:martin.riedmiller@deepmind.com" TargetMode="External"/><Relationship Id="rId40" Type="http://schemas.openxmlformats.org/officeDocument/2006/relationships/hyperlink" Target="mailto:nalk@google.com" TargetMode="External"/><Relationship Id="rId5" Type="http://schemas.openxmlformats.org/officeDocument/2006/relationships/hyperlink" Target="mailto:shuoyiin@google.com" TargetMode="External"/><Relationship Id="rId15" Type="http://schemas.openxmlformats.org/officeDocument/2006/relationships/hyperlink" Target="mailto:sharannarang@google.com" TargetMode="External"/><Relationship Id="rId23" Type="http://schemas.openxmlformats.org/officeDocument/2006/relationships/hyperlink" Target="mailto:andydavis@google.com" TargetMode="External"/><Relationship Id="rId28" Type="http://schemas.openxmlformats.org/officeDocument/2006/relationships/hyperlink" Target="mailto:ilyasu@google.com" TargetMode="External"/><Relationship Id="rId36" Type="http://schemas.openxmlformats.org/officeDocument/2006/relationships/hyperlink" Target="mailto:daan@deepmind.com" TargetMode="External"/><Relationship Id="rId10" Type="http://schemas.openxmlformats.org/officeDocument/2006/relationships/hyperlink" Target="mailto:jacobdevlin@google.com" TargetMode="External"/><Relationship Id="rId19" Type="http://schemas.openxmlformats.org/officeDocument/2006/relationships/hyperlink" Target="mailto:peterjliu@google.com" TargetMode="External"/><Relationship Id="rId31" Type="http://schemas.openxmlformats.org/officeDocument/2006/relationships/hyperlink" Target="mailto:sanjay@google.com" TargetMode="External"/><Relationship Id="rId4" Type="http://schemas.openxmlformats.org/officeDocument/2006/relationships/hyperlink" Target="mailto:boboli@google.com" TargetMode="External"/><Relationship Id="rId9" Type="http://schemas.openxmlformats.org/officeDocument/2006/relationships/hyperlink" Target="mailto:mingweichang@google.com" TargetMode="External"/><Relationship Id="rId14" Type="http://schemas.openxmlformats.org/officeDocument/2006/relationships/hyperlink" Target="mailto:katherinelee@google.com" TargetMode="External"/><Relationship Id="rId22" Type="http://schemas.openxmlformats.org/officeDocument/2006/relationships/hyperlink" Target="mailto:azalia@google.com" TargetMode="External"/><Relationship Id="rId27" Type="http://schemas.openxmlformats.org/officeDocument/2006/relationships/hyperlink" Target="mailto:mikolov@google.com" TargetMode="External"/><Relationship Id="rId30" Type="http://schemas.openxmlformats.org/officeDocument/2006/relationships/hyperlink" Target="mailto:gcorrado@google.com" TargetMode="External"/><Relationship Id="rId35" Type="http://schemas.openxmlformats.org/officeDocument/2006/relationships/hyperlink" Target="mailto:ioannis@deepmind.com" TargetMode="External"/><Relationship Id="rId43" Type="http://schemas.openxmlformats.org/officeDocument/2006/relationships/hyperlink" Target="mailto:heigazen@google.com" TargetMode="External"/><Relationship Id="rId8" Type="http://schemas.openxmlformats.org/officeDocument/2006/relationships/hyperlink" Target="mailto:kentonl@google.com" TargetMode="External"/><Relationship Id="rId3" Type="http://schemas.openxmlformats.org/officeDocument/2006/relationships/hyperlink" Target="mailto:avdnoord@google.com" TargetMode="External"/><Relationship Id="rId12" Type="http://schemas.openxmlformats.org/officeDocument/2006/relationships/hyperlink" Target="mailto:craffel@gmail.com" TargetMode="External"/><Relationship Id="rId17" Type="http://schemas.openxmlformats.org/officeDocument/2006/relationships/hyperlink" Target="mailto:yanqiz@google.com" TargetMode="External"/><Relationship Id="rId25" Type="http://schemas.openxmlformats.org/officeDocument/2006/relationships/hyperlink" Target="mailto:geoffhinton@google.com" TargetMode="External"/><Relationship Id="rId33" Type="http://schemas.openxmlformats.org/officeDocument/2006/relationships/hyperlink" Target="mailto:david@deepmind.com" TargetMode="External"/><Relationship Id="rId38" Type="http://schemas.openxmlformats.org/officeDocument/2006/relationships/hyperlink" Target="https://github.com/barretzoph" TargetMode="External"/></Relationships>
</file>

<file path=xl/worksheets/_rels/sheet16.xml.rels><?xml version="1.0" encoding="UTF-8" standalone="yes"?>
<Relationships xmlns="http://schemas.openxmlformats.org/package/2006/relationships"><Relationship Id="rId13" Type="http://schemas.openxmlformats.org/officeDocument/2006/relationships/hyperlink" Target="https://github.com/unixpickle" TargetMode="External"/><Relationship Id="rId18" Type="http://schemas.openxmlformats.org/officeDocument/2006/relationships/hyperlink" Target="mailto:alec.radford@gmail.com" TargetMode="External"/><Relationship Id="rId26" Type="http://schemas.openxmlformats.org/officeDocument/2006/relationships/hyperlink" Target="https://github.com/leogao2" TargetMode="External"/><Relationship Id="rId21" Type="http://schemas.openxmlformats.org/officeDocument/2006/relationships/hyperlink" Target="mailto:tim@openai.com" TargetMode="External"/><Relationship Id="rId34" Type="http://schemas.openxmlformats.org/officeDocument/2006/relationships/hyperlink" Target="https://github.com/shyamal-anadkat" TargetMode="External"/><Relationship Id="rId7" Type="http://schemas.openxmlformats.org/officeDocument/2006/relationships/hyperlink" Target="mailto:alex@openai.com" TargetMode="External"/><Relationship Id="rId12" Type="http://schemas.openxmlformats.org/officeDocument/2006/relationships/hyperlink" Target="https://github.com/christopherhesse" TargetMode="External"/><Relationship Id="rId17" Type="http://schemas.openxmlformats.org/officeDocument/2006/relationships/hyperlink" Target="https://github.com/olegklimov" TargetMode="External"/><Relationship Id="rId25" Type="http://schemas.openxmlformats.org/officeDocument/2006/relationships/hyperlink" Target="https://bmk.sh/" TargetMode="External"/><Relationship Id="rId33" Type="http://schemas.openxmlformats.org/officeDocument/2006/relationships/hyperlink" Target="https://shyamal.me/" TargetMode="External"/><Relationship Id="rId38" Type="http://schemas.openxmlformats.org/officeDocument/2006/relationships/comments" Target="../comments3.xml"/><Relationship Id="rId2" Type="http://schemas.openxmlformats.org/officeDocument/2006/relationships/hyperlink" Target="mailto:mark@openai.com" TargetMode="External"/><Relationship Id="rId16" Type="http://schemas.openxmlformats.org/officeDocument/2006/relationships/hyperlink" Target="mailto:omgtech@gmail.com" TargetMode="External"/><Relationship Id="rId20" Type="http://schemas.openxmlformats.org/officeDocument/2006/relationships/hyperlink" Target="mailto:woj@openai.com" TargetMode="External"/><Relationship Id="rId29" Type="http://schemas.openxmlformats.org/officeDocument/2006/relationships/hyperlink" Target="mailto:_@adityaramesh.com" TargetMode="External"/><Relationship Id="rId1" Type="http://schemas.openxmlformats.org/officeDocument/2006/relationships/hyperlink" Target="mailto:ilyasu@openai.com" TargetMode="External"/><Relationship Id="rId6" Type="http://schemas.openxmlformats.org/officeDocument/2006/relationships/hyperlink" Target="mailto:karl@openai.com" TargetMode="External"/><Relationship Id="rId11" Type="http://schemas.openxmlformats.org/officeDocument/2006/relationships/hyperlink" Target="https://github.com/joschu" TargetMode="External"/><Relationship Id="rId24" Type="http://schemas.openxmlformats.org/officeDocument/2006/relationships/hyperlink" Target="https://twitter.com/mobav0?lang=en" TargetMode="External"/><Relationship Id="rId32" Type="http://schemas.openxmlformats.org/officeDocument/2006/relationships/hyperlink" Target="https://bryanbanisaba.com/" TargetMode="External"/><Relationship Id="rId37" Type="http://schemas.openxmlformats.org/officeDocument/2006/relationships/vmlDrawing" Target="../drawings/vmlDrawing3.vml"/><Relationship Id="rId5" Type="http://schemas.openxmlformats.org/officeDocument/2006/relationships/hyperlink" Target="mailto:hee-woo@openai.com" TargetMode="External"/><Relationship Id="rId15" Type="http://schemas.openxmlformats.org/officeDocument/2006/relationships/hyperlink" Target="mailto:vi@endrift.com" TargetMode="External"/><Relationship Id="rId23" Type="http://schemas.openxmlformats.org/officeDocument/2006/relationships/hyperlink" Target="http://www.aqnichol.com/" TargetMode="External"/><Relationship Id="rId28" Type="http://schemas.openxmlformats.org/officeDocument/2006/relationships/hyperlink" Target="https://github.com/fgvbrt" TargetMode="External"/><Relationship Id="rId36" Type="http://schemas.openxmlformats.org/officeDocument/2006/relationships/printerSettings" Target="../printerSettings/printerSettings6.bin"/><Relationship Id="rId10" Type="http://schemas.openxmlformats.org/officeDocument/2006/relationships/hyperlink" Target="https://github.com/siemanko" TargetMode="External"/><Relationship Id="rId19" Type="http://schemas.openxmlformats.org/officeDocument/2006/relationships/hyperlink" Target="https://github.com/Newmu" TargetMode="External"/><Relationship Id="rId31" Type="http://schemas.openxmlformats.org/officeDocument/2006/relationships/hyperlink" Target="https://leiz86.github.io/" TargetMode="External"/><Relationship Id="rId4" Type="http://schemas.openxmlformats.org/officeDocument/2006/relationships/hyperlink" Target="mailto:qiming@openai.com" TargetMode="External"/><Relationship Id="rId9" Type="http://schemas.openxmlformats.org/officeDocument/2006/relationships/hyperlink" Target="mailto:szymon.sidor@gmail.com" TargetMode="External"/><Relationship Id="rId14" Type="http://schemas.openxmlformats.org/officeDocument/2006/relationships/hyperlink" Target="https://github.com/endrift" TargetMode="External"/><Relationship Id="rId22" Type="http://schemas.openxmlformats.org/officeDocument/2006/relationships/hyperlink" Target="mailto:peter@openai.com" TargetMode="External"/><Relationship Id="rId27" Type="http://schemas.openxmlformats.org/officeDocument/2006/relationships/hyperlink" Target="https://twitter.com/MikhailPavlov5" TargetMode="External"/><Relationship Id="rId30" Type="http://schemas.openxmlformats.org/officeDocument/2006/relationships/hyperlink" Target="https://twitter.com/mpetrov?lang=en" TargetMode="External"/><Relationship Id="rId35" Type="http://schemas.openxmlformats.org/officeDocument/2006/relationships/hyperlink" Target="mailto:shyamal.anadkat@duke.edu" TargetMode="External"/><Relationship Id="rId8" Type="http://schemas.openxmlformats.org/officeDocument/2006/relationships/hyperlink" Target="mailto:joschu@openai.com" TargetMode="External"/><Relationship Id="rId3" Type="http://schemas.openxmlformats.org/officeDocument/2006/relationships/hyperlink" Target="mailto:jt@openai.com" TargetMode="Externa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75635-FD2A-1D46-AC7E-DC70624EEAF4}">
  <dimension ref="A2:C13"/>
  <sheetViews>
    <sheetView zoomScale="210" zoomScaleNormal="210" workbookViewId="0"/>
  </sheetViews>
  <sheetFormatPr defaultColWidth="11" defaultRowHeight="12.75" x14ac:dyDescent="0.2"/>
  <cols>
    <col min="1" max="1" width="3.625" style="96" customWidth="1"/>
    <col min="2" max="2" width="16" style="96" customWidth="1"/>
    <col min="3" max="3" width="14.625" style="96" customWidth="1"/>
    <col min="4" max="16384" width="11" style="96"/>
  </cols>
  <sheetData>
    <row r="2" spans="1:3" s="98" customFormat="1" ht="18" x14ac:dyDescent="0.25">
      <c r="C2" s="254" t="s">
        <v>6237</v>
      </c>
    </row>
    <row r="3" spans="1:3" s="98" customFormat="1" ht="18" x14ac:dyDescent="0.25">
      <c r="B3" s="101" t="s">
        <v>4232</v>
      </c>
      <c r="C3" s="142">
        <v>45277</v>
      </c>
    </row>
    <row r="4" spans="1:3" s="98" customFormat="1" ht="18" x14ac:dyDescent="0.25">
      <c r="B4" s="101" t="s">
        <v>3972</v>
      </c>
      <c r="C4" s="142">
        <v>45277</v>
      </c>
    </row>
    <row r="5" spans="1:3" s="98" customFormat="1" ht="18" x14ac:dyDescent="0.25">
      <c r="B5" s="101" t="s">
        <v>4233</v>
      </c>
      <c r="C5" s="142">
        <v>45202</v>
      </c>
    </row>
    <row r="6" spans="1:3" s="98" customFormat="1" ht="18" x14ac:dyDescent="0.25">
      <c r="B6" s="101" t="s">
        <v>4234</v>
      </c>
      <c r="C6" s="142">
        <v>45161</v>
      </c>
    </row>
    <row r="7" spans="1:3" s="98" customFormat="1" ht="18" x14ac:dyDescent="0.25">
      <c r="B7" s="101" t="s">
        <v>3976</v>
      </c>
      <c r="C7" s="142">
        <v>45169</v>
      </c>
    </row>
    <row r="8" spans="1:3" s="98" customFormat="1" ht="18" x14ac:dyDescent="0.25"/>
    <row r="9" spans="1:3" s="98" customFormat="1" ht="18" x14ac:dyDescent="0.25"/>
    <row r="10" spans="1:3" s="98" customFormat="1" ht="18" x14ac:dyDescent="0.25">
      <c r="B10" s="101" t="s">
        <v>0</v>
      </c>
      <c r="C10" s="142">
        <v>45169</v>
      </c>
    </row>
    <row r="11" spans="1:3" ht="18" x14ac:dyDescent="0.25">
      <c r="A11" s="50"/>
      <c r="B11" s="101" t="s">
        <v>4116</v>
      </c>
      <c r="C11" s="142">
        <v>45169</v>
      </c>
    </row>
    <row r="12" spans="1:3" ht="18" x14ac:dyDescent="0.25">
      <c r="A12" s="50"/>
      <c r="B12" s="101" t="s">
        <v>782</v>
      </c>
      <c r="C12" s="142">
        <v>45169</v>
      </c>
    </row>
    <row r="13" spans="1:3" ht="15" x14ac:dyDescent="0.2">
      <c r="A13" s="50"/>
      <c r="B13" s="50"/>
      <c r="C13" s="50"/>
    </row>
  </sheetData>
  <hyperlinks>
    <hyperlink ref="B3" location="Companies!A1" display="Companies" xr:uid="{B492CD14-87EE-8946-8D30-3C22D044802C}"/>
    <hyperlink ref="B4" location="Investors!A1" display="Investors" xr:uid="{45D318EA-841D-A546-9FF6-68D1D961E75A}"/>
    <hyperlink ref="B5" location="Glossary!A1" display="Glossary" xr:uid="{BA01D2EE-D045-4387-9297-B49C8ADC9D5C}"/>
    <hyperlink ref="B6" location="Papers!A1" display="Papers" xr:uid="{38EC657D-BE3A-0640-830C-E9F6B8F16708}"/>
    <hyperlink ref="B7" location="People!A1" display="People" xr:uid="{B48731ED-97B8-C84E-A37D-838293B6C250}"/>
    <hyperlink ref="B10" location="OpenAI!A1" display="OpenAI" xr:uid="{B3E6A18B-3157-D94E-8495-F25B6AFE9711}"/>
    <hyperlink ref="B11" location="DeepMind!A1" display="DeepMind" xr:uid="{41D17AEC-C019-CE44-9BC9-A6CA71C3A356}"/>
    <hyperlink ref="B12" location="Meta!A1" display="Meta" xr:uid="{732795D7-DF08-5A48-802E-8553A67B04F2}"/>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86FBF-54A7-D645-B852-D7C36F7A3282}">
  <dimension ref="A1:AN1446"/>
  <sheetViews>
    <sheetView zoomScale="175" zoomScaleNormal="175" workbookViewId="0">
      <pane xSplit="2" ySplit="2" topLeftCell="C1418" activePane="bottomRight" state="frozen"/>
      <selection pane="topRight" activeCell="C1" sqref="C1"/>
      <selection pane="bottomLeft" activeCell="A3" sqref="A3"/>
      <selection pane="bottomRight" activeCell="B1447" sqref="B1447"/>
    </sheetView>
  </sheetViews>
  <sheetFormatPr defaultColWidth="9.125" defaultRowHeight="12.75" x14ac:dyDescent="0.2"/>
  <cols>
    <col min="1" max="1" width="5" style="73" bestFit="1" customWidth="1"/>
    <col min="2" max="2" width="25.125" style="73" customWidth="1"/>
    <col min="3" max="3" width="10.875" style="74" customWidth="1"/>
    <col min="4" max="4" width="10.375" style="75" customWidth="1"/>
    <col min="5" max="5" width="11" style="73" customWidth="1"/>
    <col min="6" max="7" width="9.125" style="75"/>
    <col min="8" max="8" width="11.375" style="76" customWidth="1"/>
    <col min="9" max="9" width="23.5" style="73" customWidth="1"/>
    <col min="10" max="10" width="20.625" style="73" customWidth="1"/>
    <col min="11" max="11" width="10.125" style="73" bestFit="1" customWidth="1"/>
    <col min="12" max="12" width="11.5" style="73" customWidth="1"/>
    <col min="13" max="13" width="11.625" style="73" customWidth="1"/>
    <col min="14" max="14" width="14.875" style="73" customWidth="1"/>
    <col min="15" max="15" width="9.125" style="73"/>
    <col min="16" max="27" width="9.125" style="77"/>
    <col min="28" max="30" width="16" style="73" customWidth="1"/>
    <col min="31" max="31" width="21.875" style="73" customWidth="1"/>
    <col min="32" max="32" width="9.125" style="63"/>
    <col min="33" max="33" width="9.125" style="58"/>
    <col min="34" max="34" width="10.375" style="73" customWidth="1"/>
    <col min="35" max="16384" width="9.125" style="73"/>
  </cols>
  <sheetData>
    <row r="1" spans="1:40" x14ac:dyDescent="0.2">
      <c r="A1" s="25" t="s">
        <v>1165</v>
      </c>
      <c r="D1" s="75">
        <f>SUM(D3:D366)</f>
        <v>8831430.5</v>
      </c>
    </row>
    <row r="2" spans="1:40" x14ac:dyDescent="0.2">
      <c r="B2" s="73" t="s">
        <v>3981</v>
      </c>
      <c r="C2" s="74" t="s">
        <v>3980</v>
      </c>
      <c r="D2" s="75" t="s">
        <v>3979</v>
      </c>
      <c r="E2" s="73" t="s">
        <v>3978</v>
      </c>
      <c r="F2" s="75" t="s">
        <v>1157</v>
      </c>
      <c r="G2" s="95" t="s">
        <v>1158</v>
      </c>
      <c r="H2" s="76" t="s">
        <v>1156</v>
      </c>
      <c r="I2" s="73" t="s">
        <v>3977</v>
      </c>
      <c r="J2" s="73" t="s">
        <v>3976</v>
      </c>
      <c r="K2" s="73" t="s">
        <v>3975</v>
      </c>
      <c r="L2" s="73" t="s">
        <v>3974</v>
      </c>
      <c r="M2" s="76" t="s">
        <v>1153</v>
      </c>
      <c r="N2" s="73" t="s">
        <v>1150</v>
      </c>
      <c r="O2" s="73" t="s">
        <v>3972</v>
      </c>
      <c r="P2" s="77" t="s">
        <v>3973</v>
      </c>
      <c r="Q2" s="77" t="s">
        <v>1157</v>
      </c>
      <c r="R2" s="77" t="s">
        <v>3972</v>
      </c>
      <c r="S2" s="77" t="s">
        <v>3973</v>
      </c>
      <c r="T2" s="77" t="s">
        <v>1157</v>
      </c>
      <c r="U2" s="77" t="s">
        <v>3972</v>
      </c>
      <c r="V2" s="77" t="s">
        <v>3973</v>
      </c>
      <c r="W2" s="77" t="s">
        <v>1157</v>
      </c>
      <c r="X2" s="77" t="s">
        <v>3972</v>
      </c>
      <c r="Y2" s="77" t="s">
        <v>3973</v>
      </c>
      <c r="Z2" s="77" t="s">
        <v>1157</v>
      </c>
      <c r="AA2" s="77" t="s">
        <v>3972</v>
      </c>
      <c r="AB2" s="173" t="s">
        <v>6624</v>
      </c>
      <c r="AC2" s="173" t="s">
        <v>6625</v>
      </c>
      <c r="AD2" s="173" t="s">
        <v>6626</v>
      </c>
      <c r="AE2" s="73" t="s">
        <v>3971</v>
      </c>
      <c r="AF2" s="63" t="s">
        <v>5029</v>
      </c>
      <c r="AG2" s="58" t="s">
        <v>5030</v>
      </c>
    </row>
    <row r="3" spans="1:40" x14ac:dyDescent="0.2">
      <c r="B3" s="73" t="s">
        <v>3941</v>
      </c>
      <c r="C3" s="74" t="s">
        <v>3970</v>
      </c>
      <c r="D3" s="75">
        <v>2440000</v>
      </c>
      <c r="E3" s="225" t="s">
        <v>3796</v>
      </c>
      <c r="F3" s="75" t="s">
        <v>1</v>
      </c>
      <c r="G3" s="75" t="s">
        <v>1</v>
      </c>
      <c r="H3" s="78">
        <v>31484</v>
      </c>
      <c r="I3" s="73" t="s">
        <v>4265</v>
      </c>
      <c r="J3" s="73" t="s">
        <v>3969</v>
      </c>
      <c r="K3" s="73" t="s">
        <v>2048</v>
      </c>
      <c r="L3" s="73" t="s">
        <v>2059</v>
      </c>
      <c r="M3" s="73">
        <v>1975</v>
      </c>
      <c r="O3" s="73" t="s">
        <v>1</v>
      </c>
      <c r="P3" s="77" t="s">
        <v>1</v>
      </c>
      <c r="Q3" s="77" t="s">
        <v>1</v>
      </c>
      <c r="R3" s="77" t="s">
        <v>1</v>
      </c>
      <c r="S3" s="77" t="s">
        <v>1</v>
      </c>
      <c r="T3" s="77" t="s">
        <v>1</v>
      </c>
      <c r="U3" s="77" t="s">
        <v>1</v>
      </c>
      <c r="V3" s="77" t="s">
        <v>1</v>
      </c>
      <c r="W3" s="77" t="s">
        <v>1</v>
      </c>
      <c r="X3" s="77" t="s">
        <v>1</v>
      </c>
      <c r="Y3" s="77" t="s">
        <v>1</v>
      </c>
      <c r="Z3" s="77" t="s">
        <v>1</v>
      </c>
      <c r="AA3" s="77" t="s">
        <v>1</v>
      </c>
      <c r="AB3" s="173" t="s">
        <v>6627</v>
      </c>
      <c r="AC3" s="173" t="s">
        <v>6629</v>
      </c>
      <c r="AD3" s="173" t="s">
        <v>6646</v>
      </c>
      <c r="AE3" s="25" t="s">
        <v>3968</v>
      </c>
      <c r="AF3" s="64">
        <v>721.3</v>
      </c>
      <c r="AG3" s="62">
        <v>0.18541666666666667</v>
      </c>
      <c r="AM3" s="25" t="s">
        <v>3967</v>
      </c>
      <c r="AN3" s="73">
        <v>14000</v>
      </c>
    </row>
    <row r="4" spans="1:40" x14ac:dyDescent="0.2">
      <c r="B4" s="73" t="s">
        <v>3850</v>
      </c>
      <c r="C4" s="74" t="s">
        <v>3966</v>
      </c>
      <c r="D4" s="75">
        <v>1720000</v>
      </c>
      <c r="E4" s="73" t="s">
        <v>1</v>
      </c>
      <c r="F4" s="75" t="s">
        <v>1</v>
      </c>
      <c r="G4" s="75" t="s">
        <v>1</v>
      </c>
      <c r="H4" s="78">
        <v>38218</v>
      </c>
      <c r="I4" s="73" t="s">
        <v>3965</v>
      </c>
      <c r="J4" s="73" t="s">
        <v>4258</v>
      </c>
      <c r="K4" s="73" t="s">
        <v>2311</v>
      </c>
      <c r="L4" s="73" t="s">
        <v>2768</v>
      </c>
      <c r="M4" s="73">
        <v>1998</v>
      </c>
      <c r="O4" s="73" t="s">
        <v>1</v>
      </c>
      <c r="P4" s="77" t="s">
        <v>1</v>
      </c>
      <c r="Q4" s="77" t="s">
        <v>1</v>
      </c>
      <c r="R4" s="77" t="s">
        <v>1</v>
      </c>
      <c r="S4" s="77" t="s">
        <v>1</v>
      </c>
      <c r="T4" s="77" t="s">
        <v>1</v>
      </c>
      <c r="U4" s="77" t="s">
        <v>1</v>
      </c>
      <c r="V4" s="77" t="s">
        <v>1</v>
      </c>
      <c r="W4" s="77" t="s">
        <v>1</v>
      </c>
      <c r="X4" s="77" t="s">
        <v>1</v>
      </c>
      <c r="Y4" s="77" t="s">
        <v>1</v>
      </c>
      <c r="Z4" s="77" t="s">
        <v>1</v>
      </c>
      <c r="AA4" s="77" t="s">
        <v>1</v>
      </c>
      <c r="AB4" s="173" t="s">
        <v>6627</v>
      </c>
      <c r="AC4" s="173" t="s">
        <v>6630</v>
      </c>
      <c r="AD4" s="173" t="s">
        <v>6638</v>
      </c>
      <c r="AE4" s="25" t="s">
        <v>3963</v>
      </c>
      <c r="AF4" s="64">
        <v>77620</v>
      </c>
      <c r="AG4" s="62">
        <v>0.44027777777777777</v>
      </c>
      <c r="AM4" s="25" t="s">
        <v>3962</v>
      </c>
      <c r="AN4" s="73">
        <v>600</v>
      </c>
    </row>
    <row r="5" spans="1:40" x14ac:dyDescent="0.2">
      <c r="B5" s="73" t="s">
        <v>3956</v>
      </c>
      <c r="C5" s="74" t="s">
        <v>3955</v>
      </c>
      <c r="D5" s="75">
        <v>1430000</v>
      </c>
      <c r="E5" s="73" t="s">
        <v>1</v>
      </c>
      <c r="F5" s="75" t="s">
        <v>1</v>
      </c>
      <c r="G5" s="75" t="s">
        <v>1</v>
      </c>
      <c r="H5" s="78">
        <v>35565</v>
      </c>
      <c r="I5" s="73" t="s">
        <v>4319</v>
      </c>
      <c r="K5" s="73" t="s">
        <v>2048</v>
      </c>
      <c r="L5" s="73" t="s">
        <v>2059</v>
      </c>
      <c r="M5" s="73">
        <v>2006</v>
      </c>
      <c r="O5" s="73" t="s">
        <v>1</v>
      </c>
      <c r="P5" s="77" t="s">
        <v>1</v>
      </c>
      <c r="Q5" s="77" t="s">
        <v>1</v>
      </c>
      <c r="R5" s="77" t="s">
        <v>1</v>
      </c>
      <c r="S5" s="77" t="s">
        <v>1</v>
      </c>
      <c r="T5" s="77" t="s">
        <v>1</v>
      </c>
      <c r="U5" s="77" t="s">
        <v>1</v>
      </c>
      <c r="V5" s="77" t="s">
        <v>1</v>
      </c>
      <c r="W5" s="77" t="s">
        <v>1</v>
      </c>
      <c r="X5" s="77" t="s">
        <v>1</v>
      </c>
      <c r="Y5" s="77" t="s">
        <v>1</v>
      </c>
      <c r="Z5" s="77" t="s">
        <v>1</v>
      </c>
      <c r="AA5" s="77" t="s">
        <v>1</v>
      </c>
      <c r="AB5" s="173" t="s">
        <v>6627</v>
      </c>
      <c r="AC5" s="173" t="s">
        <v>6629</v>
      </c>
      <c r="AD5" s="73" t="s">
        <v>2903</v>
      </c>
      <c r="AE5" s="25" t="s">
        <v>4344</v>
      </c>
      <c r="AF5" s="64">
        <v>61.21</v>
      </c>
      <c r="AG5" s="62">
        <v>0.4777777777777778</v>
      </c>
      <c r="AM5" s="73" t="s">
        <v>3957</v>
      </c>
      <c r="AN5" s="73">
        <v>250</v>
      </c>
    </row>
    <row r="6" spans="1:40" s="12" customFormat="1" x14ac:dyDescent="0.2">
      <c r="A6" s="73"/>
      <c r="B6" s="73" t="s">
        <v>1088</v>
      </c>
      <c r="C6" s="74" t="s">
        <v>3953</v>
      </c>
      <c r="D6" s="75">
        <v>1200000</v>
      </c>
      <c r="E6" s="73" t="s">
        <v>1</v>
      </c>
      <c r="F6" s="75" t="s">
        <v>1</v>
      </c>
      <c r="G6" s="75" t="s">
        <v>1</v>
      </c>
      <c r="H6" s="78">
        <v>36182</v>
      </c>
      <c r="I6" s="225" t="s">
        <v>7297</v>
      </c>
      <c r="J6" s="73"/>
      <c r="K6" s="73" t="s">
        <v>2048</v>
      </c>
      <c r="L6" s="73" t="s">
        <v>2103</v>
      </c>
      <c r="M6" s="73">
        <v>1993</v>
      </c>
      <c r="N6" s="73"/>
      <c r="O6" s="73" t="s">
        <v>1</v>
      </c>
      <c r="P6" s="77" t="s">
        <v>1</v>
      </c>
      <c r="Q6" s="77" t="s">
        <v>1</v>
      </c>
      <c r="R6" s="77" t="s">
        <v>1</v>
      </c>
      <c r="S6" s="77" t="s">
        <v>1</v>
      </c>
      <c r="T6" s="77" t="s">
        <v>1</v>
      </c>
      <c r="U6" s="77" t="s">
        <v>1</v>
      </c>
      <c r="V6" s="77" t="s">
        <v>1</v>
      </c>
      <c r="W6" s="77" t="s">
        <v>1</v>
      </c>
      <c r="X6" s="77" t="s">
        <v>1</v>
      </c>
      <c r="Y6" s="77" t="s">
        <v>1</v>
      </c>
      <c r="Z6" s="77" t="s">
        <v>1</v>
      </c>
      <c r="AA6" s="77" t="s">
        <v>1</v>
      </c>
      <c r="AB6" s="173" t="s">
        <v>6627</v>
      </c>
      <c r="AC6" s="173" t="s">
        <v>6630</v>
      </c>
      <c r="AD6" s="173" t="s">
        <v>6645</v>
      </c>
      <c r="AE6" s="25" t="s">
        <v>3952</v>
      </c>
      <c r="AF6" s="64">
        <v>26.76</v>
      </c>
      <c r="AG6" s="62">
        <v>0.15833333333333333</v>
      </c>
      <c r="AH6" s="73"/>
      <c r="AM6" s="25" t="s">
        <v>3954</v>
      </c>
      <c r="AN6" s="73">
        <v>50</v>
      </c>
    </row>
    <row r="7" spans="1:40" x14ac:dyDescent="0.2">
      <c r="B7" s="73" t="s">
        <v>3961</v>
      </c>
      <c r="C7" s="74" t="s">
        <v>3960</v>
      </c>
      <c r="D7" s="75">
        <v>767730</v>
      </c>
      <c r="E7" s="73" t="s">
        <v>1</v>
      </c>
      <c r="F7" s="75" t="s">
        <v>1</v>
      </c>
      <c r="G7" s="75" t="s">
        <v>1</v>
      </c>
      <c r="H7" s="78">
        <v>40358</v>
      </c>
      <c r="I7" s="73" t="s">
        <v>3933</v>
      </c>
      <c r="K7" s="73" t="s">
        <v>2311</v>
      </c>
      <c r="L7" s="73" t="s">
        <v>3902</v>
      </c>
      <c r="M7" s="73">
        <v>2003</v>
      </c>
      <c r="O7" s="73" t="s">
        <v>1</v>
      </c>
      <c r="P7" s="77" t="s">
        <v>1</v>
      </c>
      <c r="Q7" s="77" t="s">
        <v>1</v>
      </c>
      <c r="R7" s="77" t="s">
        <v>1</v>
      </c>
      <c r="S7" s="77" t="s">
        <v>1</v>
      </c>
      <c r="T7" s="77" t="s">
        <v>1</v>
      </c>
      <c r="U7" s="77" t="s">
        <v>1</v>
      </c>
      <c r="V7" s="77" t="s">
        <v>1</v>
      </c>
      <c r="W7" s="77" t="s">
        <v>1</v>
      </c>
      <c r="X7" s="77" t="s">
        <v>1</v>
      </c>
      <c r="Y7" s="77" t="s">
        <v>1</v>
      </c>
      <c r="Z7" s="77" t="s">
        <v>1</v>
      </c>
      <c r="AA7" s="77" t="s">
        <v>1</v>
      </c>
      <c r="AB7" s="173" t="s">
        <v>6627</v>
      </c>
      <c r="AC7" s="173" t="s">
        <v>6631</v>
      </c>
      <c r="AD7" s="73" t="s">
        <v>3959</v>
      </c>
      <c r="AE7" s="25" t="s">
        <v>3958</v>
      </c>
      <c r="AF7" s="64">
        <v>20.48</v>
      </c>
      <c r="AG7" s="62">
        <v>0.15694444444444444</v>
      </c>
    </row>
    <row r="8" spans="1:40" x14ac:dyDescent="0.2">
      <c r="B8" s="73" t="s">
        <v>782</v>
      </c>
      <c r="C8" s="224" t="s">
        <v>7293</v>
      </c>
      <c r="D8" s="75">
        <v>762630</v>
      </c>
      <c r="E8" s="73" t="s">
        <v>1</v>
      </c>
      <c r="F8" s="75" t="s">
        <v>1</v>
      </c>
      <c r="G8" s="75" t="s">
        <v>1</v>
      </c>
      <c r="H8" s="78">
        <v>41047</v>
      </c>
      <c r="I8" s="73" t="s">
        <v>4266</v>
      </c>
      <c r="J8" s="73" t="s">
        <v>3951</v>
      </c>
      <c r="K8" s="73" t="s">
        <v>2311</v>
      </c>
      <c r="L8" s="73" t="s">
        <v>2701</v>
      </c>
      <c r="M8" s="73">
        <v>2004</v>
      </c>
      <c r="O8" s="73" t="s">
        <v>1</v>
      </c>
      <c r="P8" s="77" t="s">
        <v>1</v>
      </c>
      <c r="Q8" s="77" t="s">
        <v>1</v>
      </c>
      <c r="R8" s="77" t="s">
        <v>1</v>
      </c>
      <c r="S8" s="77" t="s">
        <v>1</v>
      </c>
      <c r="T8" s="77" t="s">
        <v>1</v>
      </c>
      <c r="U8" s="77" t="s">
        <v>1</v>
      </c>
      <c r="V8" s="77" t="s">
        <v>1</v>
      </c>
      <c r="W8" s="77" t="s">
        <v>1</v>
      </c>
      <c r="X8" s="77" t="s">
        <v>1</v>
      </c>
      <c r="Y8" s="77" t="s">
        <v>1</v>
      </c>
      <c r="Z8" s="77" t="s">
        <v>1</v>
      </c>
      <c r="AA8" s="77" t="s">
        <v>1</v>
      </c>
      <c r="AB8" s="173" t="s">
        <v>6627</v>
      </c>
      <c r="AC8" s="173" t="s">
        <v>6630</v>
      </c>
      <c r="AD8" s="173" t="s">
        <v>6644</v>
      </c>
      <c r="AE8" s="25" t="s">
        <v>3950</v>
      </c>
      <c r="AF8" s="64">
        <v>15730</v>
      </c>
      <c r="AG8" s="62">
        <v>0.44166666666666665</v>
      </c>
    </row>
    <row r="9" spans="1:40" x14ac:dyDescent="0.2">
      <c r="B9" s="12" t="s">
        <v>0</v>
      </c>
      <c r="C9" s="29" t="s">
        <v>1691</v>
      </c>
      <c r="D9" s="15">
        <v>90000</v>
      </c>
      <c r="E9" s="12" t="s">
        <v>1</v>
      </c>
      <c r="F9" s="15">
        <v>300</v>
      </c>
      <c r="G9" s="15">
        <f>F9+10000</f>
        <v>10300</v>
      </c>
      <c r="H9" s="14">
        <v>45044</v>
      </c>
      <c r="I9" s="12" t="s">
        <v>3944</v>
      </c>
      <c r="J9" s="12" t="s">
        <v>4474</v>
      </c>
      <c r="K9" s="12" t="s">
        <v>2572</v>
      </c>
      <c r="L9" s="12" t="s">
        <v>3172</v>
      </c>
      <c r="M9" s="12">
        <v>2015</v>
      </c>
      <c r="N9" s="12"/>
      <c r="O9" s="12" t="s">
        <v>3943</v>
      </c>
      <c r="P9" s="24" t="s">
        <v>1</v>
      </c>
      <c r="Q9" s="24" t="s">
        <v>3942</v>
      </c>
      <c r="R9" s="24" t="s">
        <v>3941</v>
      </c>
      <c r="S9" s="24" t="s">
        <v>4</v>
      </c>
      <c r="T9" s="24" t="s">
        <v>1</v>
      </c>
      <c r="U9" s="24" t="s">
        <v>3940</v>
      </c>
      <c r="V9" s="24" t="s">
        <v>1</v>
      </c>
      <c r="W9" s="24" t="s">
        <v>1</v>
      </c>
      <c r="X9" s="24" t="s">
        <v>1</v>
      </c>
      <c r="Y9" s="24" t="s">
        <v>1</v>
      </c>
      <c r="Z9" s="24" t="s">
        <v>1</v>
      </c>
      <c r="AA9" s="24" t="s">
        <v>1</v>
      </c>
      <c r="AB9" s="12" t="s">
        <v>6627</v>
      </c>
      <c r="AC9" s="12" t="s">
        <v>6630</v>
      </c>
      <c r="AD9" s="12" t="s">
        <v>2365</v>
      </c>
      <c r="AE9" s="25" t="s">
        <v>3939</v>
      </c>
      <c r="AF9" s="64">
        <v>1406</v>
      </c>
      <c r="AG9" s="62">
        <v>0.18194444444444444</v>
      </c>
      <c r="AH9" s="12"/>
      <c r="AM9" s="25"/>
    </row>
    <row r="10" spans="1:40" x14ac:dyDescent="0.2">
      <c r="B10" s="73" t="s">
        <v>3949</v>
      </c>
      <c r="C10" s="74" t="s">
        <v>3948</v>
      </c>
      <c r="D10" s="75">
        <v>51210</v>
      </c>
      <c r="E10" s="73" t="s">
        <v>3796</v>
      </c>
      <c r="F10" s="75">
        <v>109</v>
      </c>
      <c r="G10" s="75" t="s">
        <v>1</v>
      </c>
      <c r="H10" s="78">
        <v>38569</v>
      </c>
      <c r="I10" s="73" t="s">
        <v>3947</v>
      </c>
      <c r="J10" s="73" t="s">
        <v>3946</v>
      </c>
      <c r="K10" s="73" t="s">
        <v>2048</v>
      </c>
      <c r="L10" s="73" t="s">
        <v>2768</v>
      </c>
      <c r="M10" s="73">
        <v>1999</v>
      </c>
      <c r="O10" s="73" t="s">
        <v>1</v>
      </c>
      <c r="P10" s="73" t="s">
        <v>1</v>
      </c>
      <c r="Q10" s="73" t="s">
        <v>1</v>
      </c>
      <c r="R10" s="73" t="s">
        <v>1</v>
      </c>
      <c r="S10" s="73" t="s">
        <v>1</v>
      </c>
      <c r="T10" s="73" t="s">
        <v>1</v>
      </c>
      <c r="U10" s="73" t="s">
        <v>1</v>
      </c>
      <c r="V10" s="73" t="s">
        <v>1</v>
      </c>
      <c r="W10" s="73" t="s">
        <v>1</v>
      </c>
      <c r="X10" s="73" t="s">
        <v>1</v>
      </c>
      <c r="Y10" s="73" t="s">
        <v>1</v>
      </c>
      <c r="Z10" s="73" t="s">
        <v>1</v>
      </c>
      <c r="AA10" s="73" t="s">
        <v>1</v>
      </c>
      <c r="AB10" s="173" t="s">
        <v>6628</v>
      </c>
      <c r="AD10" s="173" t="s">
        <v>6643</v>
      </c>
      <c r="AE10" s="25" t="s">
        <v>3945</v>
      </c>
      <c r="AF10" s="64">
        <v>4827</v>
      </c>
      <c r="AG10" s="62">
        <v>0.21319444444444444</v>
      </c>
    </row>
    <row r="11" spans="1:40" x14ac:dyDescent="0.2">
      <c r="B11" s="73" t="s">
        <v>1006</v>
      </c>
      <c r="C11" s="74" t="s">
        <v>1691</v>
      </c>
      <c r="D11" s="75">
        <v>42500</v>
      </c>
      <c r="E11" s="281" t="s">
        <v>7933</v>
      </c>
      <c r="F11" s="75">
        <v>684.6</v>
      </c>
      <c r="G11" s="75">
        <f>F11+Q11+T11+W11+Z11</f>
        <v>3934.6</v>
      </c>
      <c r="H11" s="78">
        <v>45183</v>
      </c>
      <c r="I11" s="73" t="s">
        <v>3936</v>
      </c>
      <c r="J11" s="225" t="s">
        <v>7298</v>
      </c>
      <c r="K11" s="73" t="s">
        <v>2048</v>
      </c>
      <c r="L11" s="73" t="s">
        <v>3935</v>
      </c>
      <c r="M11" s="73">
        <v>2013</v>
      </c>
      <c r="O11" s="281" t="s">
        <v>7949</v>
      </c>
      <c r="P11" s="289" t="s">
        <v>2489</v>
      </c>
      <c r="Q11" s="226">
        <v>1600</v>
      </c>
      <c r="R11" s="225" t="s">
        <v>7299</v>
      </c>
      <c r="S11" s="289" t="s">
        <v>504</v>
      </c>
      <c r="T11" s="77">
        <v>1000</v>
      </c>
      <c r="U11" s="226" t="s">
        <v>7300</v>
      </c>
      <c r="V11" s="226" t="s">
        <v>53</v>
      </c>
      <c r="W11" s="226">
        <v>400</v>
      </c>
      <c r="X11" s="226" t="s">
        <v>7301</v>
      </c>
      <c r="Y11" s="226" t="s">
        <v>9</v>
      </c>
      <c r="Z11" s="226">
        <v>250</v>
      </c>
      <c r="AA11" s="226" t="s">
        <v>7302</v>
      </c>
      <c r="AB11" s="173" t="s">
        <v>6627</v>
      </c>
      <c r="AC11" s="173" t="s">
        <v>6630</v>
      </c>
      <c r="AD11" s="73" t="s">
        <v>2365</v>
      </c>
      <c r="AE11" s="25" t="s">
        <v>4346</v>
      </c>
      <c r="AF11" s="64">
        <v>2.931</v>
      </c>
      <c r="AG11" s="62">
        <v>0.47291666666666665</v>
      </c>
    </row>
    <row r="12" spans="1:40" x14ac:dyDescent="0.2">
      <c r="B12" s="73" t="s">
        <v>3938</v>
      </c>
      <c r="C12" s="74" t="s">
        <v>3937</v>
      </c>
      <c r="D12" s="75">
        <v>32480</v>
      </c>
      <c r="E12" s="73" t="s">
        <v>3796</v>
      </c>
      <c r="F12" s="75">
        <v>444</v>
      </c>
      <c r="G12" s="75" t="s">
        <v>1</v>
      </c>
      <c r="H12" s="78">
        <v>41894</v>
      </c>
      <c r="I12" s="225" t="s">
        <v>7303</v>
      </c>
      <c r="J12" s="73" t="s">
        <v>4364</v>
      </c>
      <c r="K12" s="73" t="s">
        <v>2048</v>
      </c>
      <c r="L12" s="73" t="s">
        <v>2059</v>
      </c>
      <c r="M12" s="73">
        <v>2003</v>
      </c>
      <c r="O12" s="73" t="s">
        <v>4376</v>
      </c>
      <c r="P12" s="77" t="s">
        <v>2489</v>
      </c>
      <c r="Q12" s="77" t="s">
        <v>4374</v>
      </c>
      <c r="R12" s="77" t="s">
        <v>4375</v>
      </c>
      <c r="S12" s="77" t="s">
        <v>504</v>
      </c>
      <c r="T12" s="77">
        <v>56</v>
      </c>
      <c r="U12" s="77" t="s">
        <v>4372</v>
      </c>
      <c r="V12" s="77" t="s">
        <v>9</v>
      </c>
      <c r="W12" s="77">
        <v>50</v>
      </c>
      <c r="X12" s="77" t="s">
        <v>4370</v>
      </c>
      <c r="Y12" s="77" t="s">
        <v>8</v>
      </c>
      <c r="Z12" s="77" t="s">
        <v>4371</v>
      </c>
      <c r="AA12" s="77" t="s">
        <v>4368</v>
      </c>
      <c r="AB12" s="173" t="s">
        <v>6627</v>
      </c>
      <c r="AC12" s="173" t="s">
        <v>6632</v>
      </c>
      <c r="AD12" s="173" t="s">
        <v>6642</v>
      </c>
      <c r="AE12" s="25" t="s">
        <v>4345</v>
      </c>
      <c r="AF12" s="64">
        <v>0.39068900000000001</v>
      </c>
      <c r="AG12" s="62">
        <v>0.1173611111111111</v>
      </c>
    </row>
    <row r="13" spans="1:40" x14ac:dyDescent="0.2">
      <c r="B13" s="73" t="s">
        <v>1125</v>
      </c>
      <c r="C13" s="74" t="s">
        <v>1691</v>
      </c>
      <c r="D13" s="75">
        <v>30000</v>
      </c>
      <c r="E13" s="73" t="s">
        <v>7</v>
      </c>
      <c r="F13" s="75">
        <v>2500</v>
      </c>
      <c r="G13" s="75">
        <f>+F13+Q13</f>
        <v>5500</v>
      </c>
      <c r="H13" s="78">
        <v>44363</v>
      </c>
      <c r="I13" s="73" t="s">
        <v>3933</v>
      </c>
      <c r="J13" s="73" t="s">
        <v>3932</v>
      </c>
      <c r="K13" s="73" t="s">
        <v>2311</v>
      </c>
      <c r="L13" s="73" t="s">
        <v>3902</v>
      </c>
      <c r="M13" s="73">
        <v>2009</v>
      </c>
      <c r="N13" s="73" t="s">
        <v>3931</v>
      </c>
      <c r="O13" s="73" t="s">
        <v>3930</v>
      </c>
      <c r="P13" s="77" t="s">
        <v>5</v>
      </c>
      <c r="Q13" s="77">
        <v>3000</v>
      </c>
      <c r="R13" s="77" t="s">
        <v>3929</v>
      </c>
      <c r="S13" s="77" t="s">
        <v>1</v>
      </c>
      <c r="T13" s="77" t="s">
        <v>1</v>
      </c>
      <c r="U13" s="77" t="s">
        <v>1</v>
      </c>
      <c r="V13" s="77" t="s">
        <v>1</v>
      </c>
      <c r="W13" s="77" t="s">
        <v>1</v>
      </c>
      <c r="X13" s="77" t="s">
        <v>1</v>
      </c>
      <c r="Y13" s="77" t="s">
        <v>1</v>
      </c>
      <c r="Z13" s="77" t="s">
        <v>1</v>
      </c>
      <c r="AA13" s="77" t="s">
        <v>1</v>
      </c>
      <c r="AB13" s="173" t="s">
        <v>6627</v>
      </c>
      <c r="AC13" s="173" t="s">
        <v>6630</v>
      </c>
      <c r="AD13" s="173" t="s">
        <v>6638</v>
      </c>
      <c r="AE13" s="25" t="s">
        <v>4348</v>
      </c>
      <c r="AF13" s="64">
        <v>0.19157099999999999</v>
      </c>
      <c r="AG13" s="62">
        <v>4.1666666666666664E-2</v>
      </c>
    </row>
    <row r="14" spans="1:40" x14ac:dyDescent="0.2">
      <c r="B14" s="73" t="s">
        <v>964</v>
      </c>
      <c r="C14" s="74" t="s">
        <v>1691</v>
      </c>
      <c r="D14" s="75">
        <v>25000</v>
      </c>
      <c r="E14" s="281" t="s">
        <v>2228</v>
      </c>
      <c r="F14" s="75">
        <v>1250</v>
      </c>
      <c r="G14" s="75">
        <f>F14+T14+W14+Z14</f>
        <v>2254</v>
      </c>
      <c r="H14" s="78">
        <v>45194</v>
      </c>
      <c r="I14" s="73" t="s">
        <v>3854</v>
      </c>
      <c r="J14" s="73" t="s">
        <v>3853</v>
      </c>
      <c r="K14" s="73" t="s">
        <v>2572</v>
      </c>
      <c r="L14" s="73" t="s">
        <v>3172</v>
      </c>
      <c r="M14" s="73">
        <v>2021</v>
      </c>
      <c r="N14" s="73" t="s">
        <v>3852</v>
      </c>
      <c r="O14" s="281" t="s">
        <v>856</v>
      </c>
      <c r="P14" s="73" t="s">
        <v>18</v>
      </c>
      <c r="Q14" s="77">
        <v>450</v>
      </c>
      <c r="R14" s="73" t="s">
        <v>3851</v>
      </c>
      <c r="S14" s="77" t="s">
        <v>1089</v>
      </c>
      <c r="T14" s="77">
        <v>300</v>
      </c>
      <c r="U14" s="77" t="s">
        <v>3850</v>
      </c>
      <c r="V14" s="77" t="s">
        <v>7</v>
      </c>
      <c r="W14" s="77">
        <v>580</v>
      </c>
      <c r="X14" s="77" t="s">
        <v>967</v>
      </c>
      <c r="Y14" s="77" t="s">
        <v>5</v>
      </c>
      <c r="Z14" s="77">
        <v>124</v>
      </c>
      <c r="AA14" s="77" t="s">
        <v>3849</v>
      </c>
      <c r="AB14" s="173" t="s">
        <v>6627</v>
      </c>
      <c r="AC14" s="173" t="s">
        <v>6630</v>
      </c>
      <c r="AD14" s="73" t="s">
        <v>2365</v>
      </c>
      <c r="AE14" s="25" t="s">
        <v>4353</v>
      </c>
      <c r="AF14" s="64">
        <v>3.4249999999999998</v>
      </c>
      <c r="AG14" s="62">
        <v>0.1173611111111111</v>
      </c>
    </row>
    <row r="15" spans="1:40" x14ac:dyDescent="0.2">
      <c r="B15" s="73" t="s">
        <v>3934</v>
      </c>
      <c r="C15" s="74" t="s">
        <v>1691</v>
      </c>
      <c r="D15" s="75">
        <v>21000</v>
      </c>
      <c r="E15" s="281" t="s">
        <v>1</v>
      </c>
      <c r="F15" s="75">
        <v>750</v>
      </c>
      <c r="G15" s="75">
        <f>+F15+Q15</f>
        <v>2750</v>
      </c>
      <c r="H15" s="78">
        <v>44301</v>
      </c>
      <c r="I15" s="73" t="s">
        <v>3933</v>
      </c>
      <c r="K15" s="73" t="s">
        <v>2311</v>
      </c>
      <c r="L15" s="73" t="s">
        <v>3902</v>
      </c>
      <c r="M15" s="73">
        <v>2013</v>
      </c>
      <c r="O15" s="281" t="s">
        <v>7950</v>
      </c>
      <c r="P15" s="289" t="s">
        <v>1</v>
      </c>
      <c r="Q15" s="77">
        <v>2000</v>
      </c>
      <c r="R15" s="289" t="s">
        <v>7951</v>
      </c>
      <c r="AB15" s="173" t="s">
        <v>6627</v>
      </c>
      <c r="AC15" s="173" t="s">
        <v>6630</v>
      </c>
      <c r="AD15" s="73" t="s">
        <v>2365</v>
      </c>
      <c r="AE15" s="25" t="s">
        <v>4347</v>
      </c>
      <c r="AF15" s="64">
        <v>0.137154</v>
      </c>
      <c r="AG15" s="62">
        <v>6.0416666666666667E-2</v>
      </c>
    </row>
    <row r="16" spans="1:40" x14ac:dyDescent="0.2">
      <c r="B16" s="73" t="s">
        <v>3928</v>
      </c>
      <c r="C16" s="74" t="s">
        <v>3927</v>
      </c>
      <c r="D16" s="75">
        <v>20000</v>
      </c>
      <c r="E16" s="73" t="s">
        <v>3796</v>
      </c>
      <c r="F16" s="75" t="s">
        <v>1</v>
      </c>
      <c r="G16" s="220" t="s">
        <v>1</v>
      </c>
      <c r="H16" s="78">
        <v>39591</v>
      </c>
      <c r="I16" s="73" t="s">
        <v>3926</v>
      </c>
      <c r="J16" s="73" t="s">
        <v>3925</v>
      </c>
      <c r="K16" s="73" t="s">
        <v>2311</v>
      </c>
      <c r="L16" s="73" t="s">
        <v>2527</v>
      </c>
      <c r="M16" s="73">
        <v>1999</v>
      </c>
      <c r="N16" s="73" t="s">
        <v>3494</v>
      </c>
      <c r="O16" s="73" t="s">
        <v>3796</v>
      </c>
      <c r="P16" s="77" t="s">
        <v>1</v>
      </c>
      <c r="Q16" s="77" t="s">
        <v>1</v>
      </c>
      <c r="R16" s="77" t="s">
        <v>1</v>
      </c>
      <c r="S16" s="77" t="s">
        <v>1</v>
      </c>
      <c r="T16" s="77" t="s">
        <v>1</v>
      </c>
      <c r="U16" s="77" t="s">
        <v>1</v>
      </c>
      <c r="V16" s="77" t="s">
        <v>1</v>
      </c>
      <c r="W16" s="77" t="s">
        <v>1</v>
      </c>
      <c r="X16" s="77" t="s">
        <v>1</v>
      </c>
      <c r="Y16" s="77" t="s">
        <v>1</v>
      </c>
      <c r="Z16" s="77" t="s">
        <v>1</v>
      </c>
      <c r="AA16" s="77" t="s">
        <v>1</v>
      </c>
      <c r="AB16" s="173" t="s">
        <v>6628</v>
      </c>
      <c r="AD16" s="173" t="s">
        <v>6641</v>
      </c>
      <c r="AE16" s="25" t="s">
        <v>4349</v>
      </c>
      <c r="AF16" s="64">
        <v>1.0269999999999999</v>
      </c>
      <c r="AG16" s="62">
        <v>0.56805555555555554</v>
      </c>
    </row>
    <row r="17" spans="2:33" x14ac:dyDescent="0.2">
      <c r="B17" s="73" t="s">
        <v>3924</v>
      </c>
      <c r="C17" s="74" t="s">
        <v>3923</v>
      </c>
      <c r="D17" s="75">
        <v>12570</v>
      </c>
      <c r="E17" s="73" t="s">
        <v>1</v>
      </c>
      <c r="F17" s="76" t="s">
        <v>1</v>
      </c>
      <c r="G17" s="220" t="s">
        <v>1</v>
      </c>
      <c r="H17" s="76" t="s">
        <v>1</v>
      </c>
      <c r="I17" s="73" t="s">
        <v>3922</v>
      </c>
      <c r="K17" s="73" t="s">
        <v>2048</v>
      </c>
      <c r="L17" s="73" t="s">
        <v>2322</v>
      </c>
      <c r="M17" s="73">
        <v>1986</v>
      </c>
      <c r="N17" s="73" t="s">
        <v>3921</v>
      </c>
      <c r="O17" s="73" t="s">
        <v>1</v>
      </c>
      <c r="P17" s="73" t="s">
        <v>1</v>
      </c>
      <c r="Q17" s="73" t="s">
        <v>1</v>
      </c>
      <c r="R17" s="73" t="s">
        <v>1</v>
      </c>
      <c r="S17" s="73" t="s">
        <v>1</v>
      </c>
      <c r="T17" s="73" t="s">
        <v>1</v>
      </c>
      <c r="U17" s="73" t="s">
        <v>1</v>
      </c>
      <c r="V17" s="73" t="s">
        <v>1</v>
      </c>
      <c r="W17" s="73" t="s">
        <v>1</v>
      </c>
      <c r="X17" s="73" t="s">
        <v>1</v>
      </c>
      <c r="Y17" s="73" t="s">
        <v>1</v>
      </c>
      <c r="Z17" s="73" t="s">
        <v>1</v>
      </c>
      <c r="AA17" s="73" t="s">
        <v>1</v>
      </c>
      <c r="AB17" s="173" t="s">
        <v>6627</v>
      </c>
      <c r="AC17" s="173" t="s">
        <v>6633</v>
      </c>
      <c r="AD17" s="173" t="s">
        <v>6640</v>
      </c>
      <c r="AE17" s="25" t="s">
        <v>3920</v>
      </c>
      <c r="AF17" s="64">
        <v>0.49878899999999998</v>
      </c>
      <c r="AG17" s="62">
        <v>7.0833333333333331E-2</v>
      </c>
    </row>
    <row r="18" spans="2:33" x14ac:dyDescent="0.2">
      <c r="B18" s="73" t="s">
        <v>3919</v>
      </c>
      <c r="C18" s="74" t="s">
        <v>3918</v>
      </c>
      <c r="D18" s="75">
        <v>11000</v>
      </c>
      <c r="E18" s="73" t="s">
        <v>3796</v>
      </c>
      <c r="F18" s="75">
        <v>740</v>
      </c>
      <c r="G18" s="220" t="s">
        <v>1</v>
      </c>
      <c r="H18" s="78">
        <v>44560</v>
      </c>
      <c r="I18" s="73" t="s">
        <v>2047</v>
      </c>
      <c r="J18" s="73" t="s">
        <v>3917</v>
      </c>
      <c r="K18" s="73" t="s">
        <v>2048</v>
      </c>
      <c r="L18" s="73" t="s">
        <v>2047</v>
      </c>
      <c r="M18" s="79">
        <v>41913</v>
      </c>
      <c r="N18" s="73" t="s">
        <v>3494</v>
      </c>
      <c r="O18" s="73" t="s">
        <v>3796</v>
      </c>
      <c r="P18" s="77" t="s">
        <v>3916</v>
      </c>
      <c r="Q18" s="77">
        <v>1000</v>
      </c>
      <c r="R18" s="77" t="s">
        <v>1149</v>
      </c>
      <c r="S18" s="77" t="s">
        <v>3915</v>
      </c>
      <c r="T18" s="77">
        <v>320</v>
      </c>
      <c r="U18" s="77" t="s">
        <v>3914</v>
      </c>
      <c r="V18" s="77" t="s">
        <v>18</v>
      </c>
      <c r="W18" s="77">
        <v>600</v>
      </c>
      <c r="X18" s="77" t="s">
        <v>3913</v>
      </c>
      <c r="Y18" s="77" t="s">
        <v>7</v>
      </c>
      <c r="Z18" s="77">
        <v>410</v>
      </c>
      <c r="AA18" s="77" t="s">
        <v>3912</v>
      </c>
      <c r="AB18" s="173" t="s">
        <v>6628</v>
      </c>
      <c r="AD18" s="73" t="s">
        <v>3911</v>
      </c>
      <c r="AE18" s="25" t="s">
        <v>4350</v>
      </c>
      <c r="AF18" s="64">
        <v>0.55719300000000005</v>
      </c>
      <c r="AG18" s="62">
        <v>0.80763888888888891</v>
      </c>
    </row>
    <row r="19" spans="2:33" x14ac:dyDescent="0.2">
      <c r="B19" s="281" t="s">
        <v>4897</v>
      </c>
      <c r="C19" s="74" t="s">
        <v>1691</v>
      </c>
      <c r="D19" s="75">
        <v>9000</v>
      </c>
      <c r="E19" s="281" t="s">
        <v>9</v>
      </c>
      <c r="F19" s="75">
        <v>118</v>
      </c>
      <c r="G19" s="75">
        <f>F19+T19+W19+Z19</f>
        <v>283</v>
      </c>
      <c r="H19" s="78">
        <v>45265</v>
      </c>
      <c r="I19" s="73" t="s">
        <v>4905</v>
      </c>
      <c r="J19" s="73" t="s">
        <v>4894</v>
      </c>
      <c r="K19" s="73" t="s">
        <v>2048</v>
      </c>
      <c r="L19" s="73" t="s">
        <v>2059</v>
      </c>
      <c r="M19" s="73">
        <v>2016</v>
      </c>
      <c r="O19" s="281" t="s">
        <v>7961</v>
      </c>
      <c r="P19" s="73" t="s">
        <v>8</v>
      </c>
      <c r="Q19" s="77">
        <v>83</v>
      </c>
      <c r="R19" s="73" t="s">
        <v>4896</v>
      </c>
      <c r="S19" s="77" t="s">
        <v>18</v>
      </c>
      <c r="T19" s="77">
        <v>100</v>
      </c>
      <c r="U19" s="77" t="s">
        <v>4902</v>
      </c>
      <c r="V19" s="77" t="s">
        <v>7</v>
      </c>
      <c r="W19" s="77">
        <v>40</v>
      </c>
      <c r="X19" s="77" t="s">
        <v>4903</v>
      </c>
      <c r="Y19" s="77" t="s">
        <v>5</v>
      </c>
      <c r="Z19" s="77">
        <v>25</v>
      </c>
      <c r="AA19" s="77" t="s">
        <v>4904</v>
      </c>
      <c r="AB19" s="173" t="s">
        <v>6627</v>
      </c>
      <c r="AC19" s="173" t="s">
        <v>6635</v>
      </c>
      <c r="AD19" s="173" t="s">
        <v>6635</v>
      </c>
      <c r="AE19" s="25" t="s">
        <v>2116</v>
      </c>
      <c r="AF19" s="64">
        <v>1.9585000000000002E-2</v>
      </c>
      <c r="AG19" s="62">
        <v>9.375E-2</v>
      </c>
    </row>
    <row r="20" spans="2:33" x14ac:dyDescent="0.2">
      <c r="B20" s="73" t="s">
        <v>161</v>
      </c>
      <c r="C20" s="74" t="s">
        <v>1691</v>
      </c>
      <c r="D20" s="75">
        <v>8500</v>
      </c>
      <c r="E20" s="73" t="s">
        <v>8</v>
      </c>
      <c r="F20" s="75">
        <v>100</v>
      </c>
      <c r="G20" s="75">
        <f>F20+Q20+T20+W20+Z20</f>
        <v>1031</v>
      </c>
      <c r="H20" s="78">
        <v>45223</v>
      </c>
      <c r="I20" s="73" t="s">
        <v>3778</v>
      </c>
      <c r="J20" s="73" t="s">
        <v>3910</v>
      </c>
      <c r="K20" s="73" t="s">
        <v>2311</v>
      </c>
      <c r="L20" s="73" t="s">
        <v>3902</v>
      </c>
      <c r="M20" s="73">
        <v>2016</v>
      </c>
      <c r="O20" s="73" t="s">
        <v>1</v>
      </c>
      <c r="P20" s="77" t="s">
        <v>18</v>
      </c>
      <c r="Q20" s="77">
        <v>100</v>
      </c>
      <c r="R20" s="77" t="s">
        <v>3909</v>
      </c>
      <c r="S20" s="77" t="s">
        <v>18</v>
      </c>
      <c r="T20" s="77">
        <v>267</v>
      </c>
      <c r="U20" s="77" t="s">
        <v>3908</v>
      </c>
      <c r="V20" s="77" t="s">
        <v>7</v>
      </c>
      <c r="W20" s="77">
        <v>462</v>
      </c>
      <c r="X20" s="77" t="s">
        <v>3907</v>
      </c>
      <c r="Y20" s="77" t="s">
        <v>5</v>
      </c>
      <c r="Z20" s="77">
        <v>102</v>
      </c>
      <c r="AA20" s="77" t="s">
        <v>3906</v>
      </c>
      <c r="AB20" s="173" t="s">
        <v>6627</v>
      </c>
      <c r="AC20" s="173" t="s">
        <v>6630</v>
      </c>
      <c r="AD20" s="173" t="s">
        <v>6639</v>
      </c>
      <c r="AE20" s="25" t="s">
        <v>3905</v>
      </c>
      <c r="AF20" s="64">
        <v>2.2433000000000002E-2</v>
      </c>
      <c r="AG20" s="62">
        <v>0.51597222222222217</v>
      </c>
    </row>
    <row r="21" spans="2:33" x14ac:dyDescent="0.2">
      <c r="B21" s="73" t="s">
        <v>253</v>
      </c>
      <c r="C21" s="74" t="s">
        <v>1691</v>
      </c>
      <c r="D21" s="75">
        <v>8000</v>
      </c>
      <c r="E21" s="73" t="s">
        <v>8</v>
      </c>
      <c r="F21" s="75">
        <v>600</v>
      </c>
      <c r="G21" s="75">
        <f>F21+Q21+T21+W21+Z21</f>
        <v>2133</v>
      </c>
      <c r="H21" s="27">
        <v>44502</v>
      </c>
      <c r="I21" s="73" t="s">
        <v>3904</v>
      </c>
      <c r="J21" s="73" t="s">
        <v>3903</v>
      </c>
      <c r="K21" s="73" t="s">
        <v>2048</v>
      </c>
      <c r="L21" s="73" t="s">
        <v>3902</v>
      </c>
      <c r="M21" s="73">
        <v>2016</v>
      </c>
      <c r="N21" s="73" t="s">
        <v>3901</v>
      </c>
      <c r="O21" s="73" t="s">
        <v>3900</v>
      </c>
      <c r="P21" s="77" t="s">
        <v>3899</v>
      </c>
      <c r="Q21" s="77">
        <v>500</v>
      </c>
      <c r="R21" s="77" t="s">
        <v>3898</v>
      </c>
      <c r="S21" s="77" t="s">
        <v>3897</v>
      </c>
      <c r="T21" s="77">
        <v>940</v>
      </c>
      <c r="U21" s="77" t="s">
        <v>3896</v>
      </c>
      <c r="V21" s="77" t="s">
        <v>5</v>
      </c>
      <c r="W21" s="77">
        <v>92</v>
      </c>
      <c r="X21" s="77" t="s">
        <v>3895</v>
      </c>
      <c r="Y21" s="77" t="s">
        <v>5</v>
      </c>
      <c r="Z21" s="77">
        <v>1</v>
      </c>
      <c r="AA21" s="77" t="s">
        <v>866</v>
      </c>
      <c r="AB21" s="173" t="s">
        <v>6627</v>
      </c>
      <c r="AC21" s="173" t="s">
        <v>6630</v>
      </c>
      <c r="AD21" s="173" t="s">
        <v>6638</v>
      </c>
      <c r="AE21" s="25" t="s">
        <v>3894</v>
      </c>
      <c r="AF21" s="64">
        <v>2.6478000000000002E-2</v>
      </c>
      <c r="AG21" s="62">
        <v>5.5555555555555552E-2</v>
      </c>
    </row>
    <row r="22" spans="2:33" x14ac:dyDescent="0.2">
      <c r="B22" s="73" t="s">
        <v>3893</v>
      </c>
      <c r="C22" s="74" t="s">
        <v>1691</v>
      </c>
      <c r="D22" s="75">
        <v>7000</v>
      </c>
      <c r="E22" s="73" t="s">
        <v>9</v>
      </c>
      <c r="F22" s="75">
        <v>325</v>
      </c>
      <c r="G22" s="75">
        <f>F22+Q22+T22+W22+Z22</f>
        <v>602.5</v>
      </c>
      <c r="H22" s="78">
        <v>44299</v>
      </c>
      <c r="I22" s="73" t="s">
        <v>3147</v>
      </c>
      <c r="J22" s="73" t="s">
        <v>3892</v>
      </c>
      <c r="K22" s="73" t="s">
        <v>2572</v>
      </c>
      <c r="L22" s="73" t="s">
        <v>2059</v>
      </c>
      <c r="M22" s="79">
        <v>42522</v>
      </c>
      <c r="N22" s="73" t="s">
        <v>3891</v>
      </c>
      <c r="O22" s="73" t="s">
        <v>3890</v>
      </c>
      <c r="P22" s="77" t="s">
        <v>3889</v>
      </c>
      <c r="Q22" s="77">
        <v>155</v>
      </c>
      <c r="R22" s="77" t="s">
        <v>3888</v>
      </c>
      <c r="S22" s="77" t="s">
        <v>18</v>
      </c>
      <c r="T22" s="77">
        <v>100</v>
      </c>
      <c r="U22" s="77" t="s">
        <v>3887</v>
      </c>
      <c r="V22" s="77" t="s">
        <v>7</v>
      </c>
      <c r="W22" s="77">
        <v>18</v>
      </c>
      <c r="X22" s="77" t="s">
        <v>3886</v>
      </c>
      <c r="Y22" s="77" t="s">
        <v>5</v>
      </c>
      <c r="Z22" s="77">
        <v>4.5</v>
      </c>
      <c r="AA22" s="77" t="s">
        <v>3885</v>
      </c>
      <c r="AB22" s="173" t="s">
        <v>6627</v>
      </c>
      <c r="AC22" s="173" t="s">
        <v>6630</v>
      </c>
      <c r="AD22" s="173" t="s">
        <v>2365</v>
      </c>
      <c r="AE22" s="25" t="s">
        <v>4351</v>
      </c>
      <c r="AF22" s="64">
        <v>0.38327699999999998</v>
      </c>
      <c r="AG22" s="62">
        <v>0.11875000000000001</v>
      </c>
    </row>
    <row r="23" spans="2:33" x14ac:dyDescent="0.2">
      <c r="B23" s="73" t="s">
        <v>3884</v>
      </c>
      <c r="C23" s="74" t="s">
        <v>1691</v>
      </c>
      <c r="D23" s="75">
        <v>7000</v>
      </c>
      <c r="E23" s="73" t="s">
        <v>9</v>
      </c>
      <c r="F23" s="75">
        <v>250</v>
      </c>
      <c r="G23" s="75">
        <f>F23+Q23+T23+W23+Z23</f>
        <v>577</v>
      </c>
      <c r="H23" s="78">
        <v>44350</v>
      </c>
      <c r="I23" s="73" t="s">
        <v>3883</v>
      </c>
      <c r="J23" s="73" t="s">
        <v>3882</v>
      </c>
      <c r="K23" s="73" t="s">
        <v>2048</v>
      </c>
      <c r="L23" s="73" t="s">
        <v>2126</v>
      </c>
      <c r="M23" s="73">
        <v>2015</v>
      </c>
      <c r="N23" s="73" t="s">
        <v>3881</v>
      </c>
      <c r="O23" s="73" t="s">
        <v>3880</v>
      </c>
      <c r="P23" s="77" t="s">
        <v>8</v>
      </c>
      <c r="Q23" s="77">
        <v>200</v>
      </c>
      <c r="R23" s="77" t="s">
        <v>3879</v>
      </c>
      <c r="S23" s="77" t="s">
        <v>18</v>
      </c>
      <c r="T23" s="77">
        <v>65</v>
      </c>
      <c r="U23" s="77" t="s">
        <v>3878</v>
      </c>
      <c r="V23" s="77" t="s">
        <v>7</v>
      </c>
      <c r="W23" s="77">
        <v>40</v>
      </c>
      <c r="X23" s="77" t="s">
        <v>3877</v>
      </c>
      <c r="Y23" s="77" t="s">
        <v>5</v>
      </c>
      <c r="Z23" s="77">
        <v>22</v>
      </c>
      <c r="AA23" s="77" t="s">
        <v>3876</v>
      </c>
      <c r="AB23" s="173" t="s">
        <v>6627</v>
      </c>
      <c r="AC23" s="173" t="s">
        <v>6630</v>
      </c>
      <c r="AD23" s="173" t="s">
        <v>2365</v>
      </c>
      <c r="AE23" s="25" t="s">
        <v>3875</v>
      </c>
      <c r="AF23" s="64">
        <v>1.0680000000000001</v>
      </c>
      <c r="AG23" s="62">
        <v>0.16180555555555556</v>
      </c>
    </row>
    <row r="24" spans="2:33" x14ac:dyDescent="0.2">
      <c r="B24" s="73" t="s">
        <v>3736</v>
      </c>
      <c r="C24" s="74" t="s">
        <v>1691</v>
      </c>
      <c r="D24" s="75">
        <v>4500</v>
      </c>
      <c r="E24" s="281" t="s">
        <v>8</v>
      </c>
      <c r="F24" s="75">
        <v>235</v>
      </c>
      <c r="G24" s="75">
        <f>F24+Q24+T24+W24+Z24</f>
        <v>394</v>
      </c>
      <c r="H24" s="78">
        <v>45161</v>
      </c>
      <c r="I24" s="281" t="s">
        <v>7959</v>
      </c>
      <c r="J24" s="73" t="s">
        <v>3735</v>
      </c>
      <c r="K24" s="73" t="s">
        <v>2572</v>
      </c>
      <c r="L24" s="73" t="s">
        <v>2059</v>
      </c>
      <c r="M24" s="73">
        <v>2016</v>
      </c>
      <c r="N24" s="25" t="s">
        <v>3734</v>
      </c>
      <c r="O24" s="281" t="s">
        <v>7958</v>
      </c>
      <c r="P24" s="289" t="s">
        <v>18</v>
      </c>
      <c r="Q24" s="77">
        <v>100</v>
      </c>
      <c r="R24" s="73" t="s">
        <v>3733</v>
      </c>
      <c r="S24" s="77" t="s">
        <v>7</v>
      </c>
      <c r="T24" s="77">
        <v>40</v>
      </c>
      <c r="U24" s="77" t="s">
        <v>3732</v>
      </c>
      <c r="V24" s="77" t="s">
        <v>5</v>
      </c>
      <c r="W24" s="77">
        <v>15</v>
      </c>
      <c r="X24" s="77" t="s">
        <v>3731</v>
      </c>
      <c r="Y24" s="77" t="s">
        <v>4</v>
      </c>
      <c r="Z24" s="77">
        <v>4</v>
      </c>
      <c r="AA24" s="77" t="s">
        <v>3730</v>
      </c>
      <c r="AB24" s="173" t="s">
        <v>6627</v>
      </c>
      <c r="AC24" s="173" t="s">
        <v>6635</v>
      </c>
      <c r="AD24" s="173" t="s">
        <v>6635</v>
      </c>
      <c r="AE24" s="25" t="s">
        <v>4360</v>
      </c>
      <c r="AF24" s="64">
        <v>20.74</v>
      </c>
      <c r="AG24" s="62">
        <v>0.17500000000000002</v>
      </c>
    </row>
    <row r="25" spans="2:33" x14ac:dyDescent="0.2">
      <c r="B25" s="73" t="s">
        <v>245</v>
      </c>
      <c r="C25" s="74" t="s">
        <v>1691</v>
      </c>
      <c r="D25" s="75">
        <v>4200</v>
      </c>
      <c r="E25" s="73" t="s">
        <v>18</v>
      </c>
      <c r="F25" s="75">
        <v>820</v>
      </c>
      <c r="G25" s="75">
        <f>F25+Q25+T25</f>
        <v>940</v>
      </c>
      <c r="H25" s="27">
        <v>43223</v>
      </c>
      <c r="I25" s="73" t="s">
        <v>3860</v>
      </c>
      <c r="J25" s="73" t="s">
        <v>3859</v>
      </c>
      <c r="K25" s="73" t="s">
        <v>2048</v>
      </c>
      <c r="L25" s="73" t="s">
        <v>2352</v>
      </c>
      <c r="M25" s="73">
        <v>2012</v>
      </c>
      <c r="O25" s="73" t="s">
        <v>3858</v>
      </c>
      <c r="P25" s="77" t="s">
        <v>3857</v>
      </c>
      <c r="Q25" s="77">
        <v>100</v>
      </c>
      <c r="R25" s="77" t="s">
        <v>3856</v>
      </c>
      <c r="S25" s="77" t="s">
        <v>5</v>
      </c>
      <c r="T25" s="77">
        <v>20</v>
      </c>
      <c r="U25" s="77" t="s">
        <v>246</v>
      </c>
      <c r="V25" s="77" t="s">
        <v>1</v>
      </c>
      <c r="W25" s="77" t="s">
        <v>1</v>
      </c>
      <c r="X25" s="77" t="s">
        <v>1</v>
      </c>
      <c r="Y25" s="77" t="s">
        <v>1</v>
      </c>
      <c r="Z25" s="77" t="s">
        <v>1</v>
      </c>
      <c r="AA25" s="77" t="s">
        <v>1</v>
      </c>
      <c r="AB25" s="173" t="s">
        <v>6628</v>
      </c>
      <c r="AD25" s="173" t="s">
        <v>3602</v>
      </c>
      <c r="AE25" s="25" t="s">
        <v>3855</v>
      </c>
      <c r="AF25" s="64">
        <v>6.6556000000000004E-2</v>
      </c>
      <c r="AG25" s="62">
        <v>0.2590277777777778</v>
      </c>
    </row>
    <row r="26" spans="2:33" x14ac:dyDescent="0.2">
      <c r="B26" s="73" t="s">
        <v>1133</v>
      </c>
      <c r="C26" s="74" t="s">
        <v>1691</v>
      </c>
      <c r="D26" s="75">
        <v>4000</v>
      </c>
      <c r="E26" s="73" t="s">
        <v>5</v>
      </c>
      <c r="F26" s="75">
        <v>1300</v>
      </c>
      <c r="G26" s="75">
        <f>F26+Q26</f>
        <v>1525</v>
      </c>
      <c r="H26" s="78">
        <v>45106</v>
      </c>
      <c r="I26" s="73" t="s">
        <v>3839</v>
      </c>
      <c r="J26" s="73" t="s">
        <v>3838</v>
      </c>
      <c r="K26" s="73" t="s">
        <v>2311</v>
      </c>
      <c r="L26" s="73" t="s">
        <v>2470</v>
      </c>
      <c r="M26" s="73">
        <v>2022</v>
      </c>
      <c r="N26" s="73" t="s">
        <v>3837</v>
      </c>
      <c r="O26" s="73" t="s">
        <v>3836</v>
      </c>
      <c r="P26" s="77" t="s">
        <v>5</v>
      </c>
      <c r="Q26" s="77">
        <v>225</v>
      </c>
      <c r="R26" s="73" t="s">
        <v>1134</v>
      </c>
      <c r="S26" s="77" t="s">
        <v>1</v>
      </c>
      <c r="T26" s="77" t="s">
        <v>1</v>
      </c>
      <c r="U26" s="77" t="s">
        <v>1</v>
      </c>
      <c r="V26" s="77" t="s">
        <v>1</v>
      </c>
      <c r="W26" s="77" t="s">
        <v>1</v>
      </c>
      <c r="X26" s="77" t="s">
        <v>1</v>
      </c>
      <c r="Y26" s="77" t="s">
        <v>1</v>
      </c>
      <c r="Z26" s="77" t="s">
        <v>1</v>
      </c>
      <c r="AA26" s="77" t="s">
        <v>1</v>
      </c>
      <c r="AB26" s="173" t="s">
        <v>6627</v>
      </c>
      <c r="AC26" s="173" t="s">
        <v>6630</v>
      </c>
      <c r="AD26" s="173" t="s">
        <v>6637</v>
      </c>
      <c r="AE26" s="25" t="s">
        <v>4354</v>
      </c>
      <c r="AF26" s="64">
        <v>1.9219999999999999</v>
      </c>
      <c r="AG26" s="62">
        <v>0.27152777777777776</v>
      </c>
    </row>
    <row r="27" spans="2:33" x14ac:dyDescent="0.2">
      <c r="B27" s="73" t="s">
        <v>74</v>
      </c>
      <c r="C27" s="74" t="s">
        <v>1691</v>
      </c>
      <c r="D27" s="75">
        <v>3800</v>
      </c>
      <c r="E27" s="73" t="s">
        <v>53</v>
      </c>
      <c r="F27" s="75">
        <v>250</v>
      </c>
      <c r="G27" s="75">
        <f>F27+Q27</f>
        <v>522</v>
      </c>
      <c r="H27" s="27">
        <v>44510</v>
      </c>
      <c r="I27" s="73" t="s">
        <v>3835</v>
      </c>
      <c r="J27" s="73" t="s">
        <v>3834</v>
      </c>
      <c r="K27" s="73" t="s">
        <v>2103</v>
      </c>
      <c r="L27" s="73" t="s">
        <v>3833</v>
      </c>
      <c r="M27" s="73">
        <v>2016</v>
      </c>
      <c r="O27" s="73" t="s">
        <v>3832</v>
      </c>
      <c r="P27" s="77" t="s">
        <v>9</v>
      </c>
      <c r="Q27" s="77">
        <v>272</v>
      </c>
      <c r="R27" s="77" t="s">
        <v>1</v>
      </c>
      <c r="S27" s="77" t="s">
        <v>8</v>
      </c>
      <c r="T27" s="77">
        <v>81</v>
      </c>
      <c r="U27" s="77" t="s">
        <v>3831</v>
      </c>
      <c r="V27" s="77" t="s">
        <v>18</v>
      </c>
      <c r="W27" s="77">
        <v>60</v>
      </c>
      <c r="X27" s="77" t="s">
        <v>3830</v>
      </c>
      <c r="Y27" s="77" t="s">
        <v>7</v>
      </c>
      <c r="Z27" s="77">
        <v>25</v>
      </c>
      <c r="AA27" s="77" t="s">
        <v>3829</v>
      </c>
      <c r="AB27" s="173" t="s">
        <v>6627</v>
      </c>
      <c r="AC27" s="173" t="s">
        <v>6630</v>
      </c>
      <c r="AD27" s="173" t="s">
        <v>6636</v>
      </c>
      <c r="AE27" s="25" t="s">
        <v>3828</v>
      </c>
      <c r="AF27" s="64">
        <v>6.4711000000000005E-2</v>
      </c>
      <c r="AG27" s="62">
        <v>5.0694444444444452E-2</v>
      </c>
    </row>
    <row r="28" spans="2:33" x14ac:dyDescent="0.2">
      <c r="B28" s="73" t="s">
        <v>3799</v>
      </c>
      <c r="C28" s="74" t="s">
        <v>3798</v>
      </c>
      <c r="D28" s="75">
        <v>3680</v>
      </c>
      <c r="E28" s="73" t="s">
        <v>3796</v>
      </c>
      <c r="F28" s="75">
        <v>651</v>
      </c>
      <c r="G28" s="283" t="s">
        <v>1</v>
      </c>
      <c r="H28" s="78">
        <v>44174</v>
      </c>
      <c r="I28" s="73" t="s">
        <v>2048</v>
      </c>
      <c r="J28" s="73" t="s">
        <v>3797</v>
      </c>
      <c r="K28" s="73" t="s">
        <v>2048</v>
      </c>
      <c r="L28" s="73" t="s">
        <v>2233</v>
      </c>
      <c r="M28" s="73">
        <v>2009</v>
      </c>
      <c r="O28" s="73" t="s">
        <v>3796</v>
      </c>
      <c r="P28" s="77" t="s">
        <v>53</v>
      </c>
      <c r="Q28" s="77">
        <v>106</v>
      </c>
      <c r="R28" s="77" t="s">
        <v>3795</v>
      </c>
      <c r="T28" s="77" t="s">
        <v>1</v>
      </c>
      <c r="U28" s="77" t="s">
        <v>1</v>
      </c>
      <c r="V28" s="77" t="s">
        <v>1</v>
      </c>
      <c r="W28" s="77" t="s">
        <v>1</v>
      </c>
      <c r="X28" s="77" t="s">
        <v>1</v>
      </c>
      <c r="Y28" s="77" t="s">
        <v>1</v>
      </c>
      <c r="Z28" s="77" t="s">
        <v>1</v>
      </c>
      <c r="AA28" s="77" t="s">
        <v>1</v>
      </c>
      <c r="AB28" s="173" t="s">
        <v>6627</v>
      </c>
      <c r="AC28" s="173" t="s">
        <v>6630</v>
      </c>
      <c r="AD28" s="173" t="s">
        <v>6647</v>
      </c>
      <c r="AE28" s="25" t="s">
        <v>4355</v>
      </c>
      <c r="AF28" s="64">
        <v>0.17391100000000001</v>
      </c>
      <c r="AG28" s="62">
        <v>6.458333333333334E-2</v>
      </c>
    </row>
    <row r="29" spans="2:33" x14ac:dyDescent="0.2">
      <c r="B29" s="73" t="s">
        <v>211</v>
      </c>
      <c r="C29" s="74" t="s">
        <v>1691</v>
      </c>
      <c r="D29" s="75">
        <v>3500</v>
      </c>
      <c r="E29" s="73" t="s">
        <v>8</v>
      </c>
      <c r="F29" s="75">
        <v>700</v>
      </c>
      <c r="G29" s="75">
        <f>F29+Q29+T29</f>
        <v>1070</v>
      </c>
      <c r="H29" s="78">
        <v>44218</v>
      </c>
      <c r="I29" s="73" t="s">
        <v>3794</v>
      </c>
      <c r="J29" s="73" t="s">
        <v>3793</v>
      </c>
      <c r="K29" s="73" t="s">
        <v>2048</v>
      </c>
      <c r="L29" s="73" t="s">
        <v>2059</v>
      </c>
      <c r="M29" s="73">
        <v>2014</v>
      </c>
      <c r="N29" s="73" t="s">
        <v>3792</v>
      </c>
      <c r="O29" s="73" t="s">
        <v>3791</v>
      </c>
      <c r="P29" s="77" t="s">
        <v>18</v>
      </c>
      <c r="Q29" s="77">
        <v>230</v>
      </c>
      <c r="R29" s="77" t="s">
        <v>3790</v>
      </c>
      <c r="S29" s="77" t="s">
        <v>18</v>
      </c>
      <c r="T29" s="77">
        <v>140</v>
      </c>
      <c r="U29" s="77" t="s">
        <v>3789</v>
      </c>
      <c r="V29" s="77" t="s">
        <v>7</v>
      </c>
      <c r="W29" s="77" t="s">
        <v>1</v>
      </c>
      <c r="X29" s="77" t="s">
        <v>3788</v>
      </c>
      <c r="Y29" s="77" t="s">
        <v>5</v>
      </c>
      <c r="Z29" s="77" t="s">
        <v>1</v>
      </c>
      <c r="AA29" s="77" t="s">
        <v>3787</v>
      </c>
      <c r="AB29" s="173" t="s">
        <v>6628</v>
      </c>
      <c r="AD29" s="173" t="s">
        <v>6643</v>
      </c>
      <c r="AE29" s="25" t="s">
        <v>3786</v>
      </c>
      <c r="AF29" s="64">
        <v>0.41541</v>
      </c>
      <c r="AG29" s="62">
        <v>0.21111111111111111</v>
      </c>
    </row>
    <row r="30" spans="2:33" x14ac:dyDescent="0.2">
      <c r="B30" s="73" t="s">
        <v>2119</v>
      </c>
      <c r="C30" s="74" t="s">
        <v>1691</v>
      </c>
      <c r="D30" s="75">
        <v>3400</v>
      </c>
      <c r="E30" s="73" t="s">
        <v>8</v>
      </c>
      <c r="F30" s="75">
        <v>175</v>
      </c>
      <c r="G30" s="75">
        <f>F30+Q30+T30+W30</f>
        <v>351.5</v>
      </c>
      <c r="H30" s="27">
        <v>44511</v>
      </c>
      <c r="I30" s="73" t="s">
        <v>4893</v>
      </c>
      <c r="J30" s="73" t="s">
        <v>4884</v>
      </c>
      <c r="K30" s="73" t="s">
        <v>2048</v>
      </c>
      <c r="L30" s="73" t="s">
        <v>2118</v>
      </c>
      <c r="M30" s="73">
        <v>2017</v>
      </c>
      <c r="O30" s="73" t="s">
        <v>4886</v>
      </c>
      <c r="P30" s="77" t="s">
        <v>18</v>
      </c>
      <c r="Q30" s="77">
        <v>125</v>
      </c>
      <c r="R30" s="77" t="s">
        <v>4889</v>
      </c>
      <c r="S30" s="77" t="s">
        <v>7</v>
      </c>
      <c r="T30" s="77">
        <v>40</v>
      </c>
      <c r="U30" s="77" t="s">
        <v>4888</v>
      </c>
      <c r="V30" s="77" t="s">
        <v>5</v>
      </c>
      <c r="W30" s="77">
        <v>11.5</v>
      </c>
      <c r="X30" s="77" t="s">
        <v>4890</v>
      </c>
      <c r="Y30" s="77" t="s">
        <v>4</v>
      </c>
      <c r="Z30" s="77" t="s">
        <v>1</v>
      </c>
      <c r="AA30" s="77" t="s">
        <v>4892</v>
      </c>
      <c r="AB30" s="173" t="s">
        <v>6627</v>
      </c>
      <c r="AC30" s="173" t="s">
        <v>6630</v>
      </c>
      <c r="AD30" s="173" t="s">
        <v>6638</v>
      </c>
      <c r="AE30" s="25" t="s">
        <v>2117</v>
      </c>
      <c r="AF30" s="64">
        <v>6.0814E-2</v>
      </c>
      <c r="AG30" s="62">
        <v>5.6250000000000001E-2</v>
      </c>
    </row>
    <row r="31" spans="2:33" x14ac:dyDescent="0.2">
      <c r="B31" s="73" t="s">
        <v>154</v>
      </c>
      <c r="C31" s="74" t="s">
        <v>1691</v>
      </c>
      <c r="D31" s="75">
        <v>3500</v>
      </c>
      <c r="E31" s="73" t="s">
        <v>53</v>
      </c>
      <c r="F31" s="75">
        <v>200</v>
      </c>
      <c r="G31" s="75">
        <f>F31+Q31+T31+W31</f>
        <v>801</v>
      </c>
      <c r="H31" s="78">
        <v>44907</v>
      </c>
      <c r="I31" s="73" t="s">
        <v>3807</v>
      </c>
      <c r="J31" s="73" t="s">
        <v>3806</v>
      </c>
      <c r="K31" s="73" t="s">
        <v>2048</v>
      </c>
      <c r="L31" s="73" t="s">
        <v>2853</v>
      </c>
      <c r="M31" s="73">
        <v>2013</v>
      </c>
      <c r="O31" s="73" t="s">
        <v>3805</v>
      </c>
      <c r="P31" s="77" t="s">
        <v>9</v>
      </c>
      <c r="Q31" s="77">
        <v>400</v>
      </c>
      <c r="R31" s="77" t="s">
        <v>3804</v>
      </c>
      <c r="S31" s="77" t="s">
        <v>8</v>
      </c>
      <c r="T31" s="77">
        <v>100</v>
      </c>
      <c r="U31" s="77" t="s">
        <v>3803</v>
      </c>
      <c r="V31" s="77" t="s">
        <v>18</v>
      </c>
      <c r="W31" s="77">
        <v>101</v>
      </c>
      <c r="X31" s="77" t="s">
        <v>3802</v>
      </c>
      <c r="Y31" s="77" t="s">
        <v>7</v>
      </c>
      <c r="Z31" s="77">
        <v>28</v>
      </c>
      <c r="AA31" s="77" t="s">
        <v>3801</v>
      </c>
      <c r="AB31" s="173" t="s">
        <v>6651</v>
      </c>
      <c r="AD31" s="173" t="s">
        <v>2148</v>
      </c>
      <c r="AE31" s="25" t="s">
        <v>3800</v>
      </c>
      <c r="AF31" s="64">
        <v>0.65510400000000002</v>
      </c>
      <c r="AG31" s="62">
        <v>6.1111111111111116E-2</v>
      </c>
    </row>
    <row r="32" spans="2:33" x14ac:dyDescent="0.2">
      <c r="B32" s="73" t="s">
        <v>232</v>
      </c>
      <c r="C32" s="74" t="s">
        <v>1691</v>
      </c>
      <c r="D32" s="75">
        <v>3300</v>
      </c>
      <c r="E32" s="73" t="s">
        <v>8</v>
      </c>
      <c r="F32" s="75">
        <v>750</v>
      </c>
      <c r="G32" s="75">
        <f>F32+Q32+T32+W32</f>
        <v>1332</v>
      </c>
      <c r="H32" s="27">
        <v>43593</v>
      </c>
      <c r="I32" s="73" t="s">
        <v>3816</v>
      </c>
      <c r="J32" s="73" t="s">
        <v>3815</v>
      </c>
      <c r="K32" s="73" t="s">
        <v>2048</v>
      </c>
      <c r="L32" s="73" t="s">
        <v>2047</v>
      </c>
      <c r="M32" s="73">
        <v>2011</v>
      </c>
      <c r="N32" s="73" t="s">
        <v>3814</v>
      </c>
      <c r="O32" s="73" t="s">
        <v>3813</v>
      </c>
      <c r="P32" s="77" t="s">
        <v>18</v>
      </c>
      <c r="Q32" s="77">
        <v>460</v>
      </c>
      <c r="R32" s="77" t="s">
        <v>3812</v>
      </c>
      <c r="S32" s="77" t="s">
        <v>18</v>
      </c>
      <c r="T32" s="77">
        <v>100</v>
      </c>
      <c r="U32" s="77" t="s">
        <v>3811</v>
      </c>
      <c r="V32" s="77" t="s">
        <v>7</v>
      </c>
      <c r="W32" s="77">
        <v>22</v>
      </c>
      <c r="X32" s="77" t="s">
        <v>3810</v>
      </c>
      <c r="Y32" s="77" t="s">
        <v>5</v>
      </c>
      <c r="Z32" s="77" t="s">
        <v>1</v>
      </c>
      <c r="AA32" s="77" t="s">
        <v>3809</v>
      </c>
      <c r="AB32" s="173" t="s">
        <v>6628</v>
      </c>
      <c r="AD32" s="173" t="s">
        <v>6643</v>
      </c>
      <c r="AE32" s="25" t="s">
        <v>3808</v>
      </c>
      <c r="AF32" s="64">
        <v>5.3029E-2</v>
      </c>
      <c r="AG32" s="62">
        <v>5.7638888888888885E-2</v>
      </c>
    </row>
    <row r="33" spans="1:34" x14ac:dyDescent="0.2">
      <c r="B33" s="73" t="s">
        <v>3785</v>
      </c>
      <c r="C33" s="74" t="s">
        <v>1691</v>
      </c>
      <c r="D33" s="75">
        <v>3000</v>
      </c>
      <c r="E33" s="73" t="s">
        <v>1</v>
      </c>
      <c r="F33" s="75" t="s">
        <v>1</v>
      </c>
      <c r="G33" s="95" t="s">
        <v>1</v>
      </c>
      <c r="H33" s="75" t="s">
        <v>1</v>
      </c>
      <c r="I33" s="73" t="s">
        <v>3784</v>
      </c>
      <c r="J33" s="73" t="s">
        <v>3783</v>
      </c>
      <c r="K33" s="73" t="s">
        <v>2048</v>
      </c>
      <c r="L33" s="73" t="s">
        <v>2074</v>
      </c>
      <c r="M33" s="73">
        <v>2017</v>
      </c>
      <c r="N33" s="73" t="s">
        <v>5031</v>
      </c>
      <c r="O33" s="73" t="s">
        <v>1</v>
      </c>
      <c r="P33" s="73" t="s">
        <v>1</v>
      </c>
      <c r="Q33" s="73" t="s">
        <v>1</v>
      </c>
      <c r="R33" s="73" t="s">
        <v>1</v>
      </c>
      <c r="S33" s="73" t="s">
        <v>1</v>
      </c>
      <c r="T33" s="73" t="s">
        <v>1</v>
      </c>
      <c r="U33" s="73" t="s">
        <v>1</v>
      </c>
      <c r="V33" s="73" t="s">
        <v>1</v>
      </c>
      <c r="W33" s="73" t="s">
        <v>1</v>
      </c>
      <c r="X33" s="73" t="s">
        <v>1</v>
      </c>
      <c r="Y33" s="73" t="s">
        <v>1</v>
      </c>
      <c r="Z33" s="73" t="s">
        <v>1</v>
      </c>
      <c r="AA33" s="73" t="s">
        <v>1</v>
      </c>
      <c r="AB33" s="173" t="s">
        <v>6627</v>
      </c>
      <c r="AC33" s="173" t="s">
        <v>6630</v>
      </c>
      <c r="AD33" s="173" t="s">
        <v>6637</v>
      </c>
      <c r="AE33" s="25" t="s">
        <v>3782</v>
      </c>
      <c r="AF33" s="64">
        <v>1.9136E-2</v>
      </c>
      <c r="AG33" s="62">
        <v>5.6250000000000001E-2</v>
      </c>
    </row>
    <row r="34" spans="1:34" s="12" customFormat="1" x14ac:dyDescent="0.2">
      <c r="A34" s="73"/>
      <c r="B34" s="73" t="s">
        <v>197</v>
      </c>
      <c r="C34" s="74" t="s">
        <v>1691</v>
      </c>
      <c r="D34" s="75">
        <v>2500</v>
      </c>
      <c r="E34" s="73" t="s">
        <v>18</v>
      </c>
      <c r="F34" s="75">
        <v>500</v>
      </c>
      <c r="G34" s="75">
        <f>F34+Q34+T34+W34</f>
        <v>698</v>
      </c>
      <c r="H34" s="27">
        <v>44274</v>
      </c>
      <c r="I34" s="73" t="s">
        <v>3778</v>
      </c>
      <c r="J34" s="73"/>
      <c r="K34" s="73" t="s">
        <v>2048</v>
      </c>
      <c r="L34" s="73" t="s">
        <v>2206</v>
      </c>
      <c r="M34" s="73">
        <v>2016</v>
      </c>
      <c r="N34" s="73"/>
      <c r="O34" s="73" t="s">
        <v>3777</v>
      </c>
      <c r="P34" s="77" t="s">
        <v>7</v>
      </c>
      <c r="Q34" s="77">
        <v>120</v>
      </c>
      <c r="R34" s="77" t="s">
        <v>3776</v>
      </c>
      <c r="S34" s="77" t="s">
        <v>7</v>
      </c>
      <c r="T34" s="77">
        <v>32</v>
      </c>
      <c r="U34" s="77" t="s">
        <v>1078</v>
      </c>
      <c r="V34" s="77" t="s">
        <v>7</v>
      </c>
      <c r="W34" s="77">
        <v>46</v>
      </c>
      <c r="X34" s="77" t="s">
        <v>3775</v>
      </c>
      <c r="Y34" s="77" t="s">
        <v>5</v>
      </c>
      <c r="Z34" s="77" t="s">
        <v>1</v>
      </c>
      <c r="AA34" s="77" t="s">
        <v>3774</v>
      </c>
      <c r="AB34" s="173" t="s">
        <v>6628</v>
      </c>
      <c r="AC34" s="73"/>
      <c r="AD34" s="173" t="s">
        <v>6643</v>
      </c>
      <c r="AE34" s="25" t="s">
        <v>3773</v>
      </c>
      <c r="AF34" s="64">
        <v>3.5132999999999998E-2</v>
      </c>
      <c r="AG34" s="62">
        <v>6.1805555555555558E-2</v>
      </c>
      <c r="AH34" s="73"/>
    </row>
    <row r="35" spans="1:34" x14ac:dyDescent="0.2">
      <c r="B35" s="73" t="s">
        <v>3</v>
      </c>
      <c r="C35" s="74" t="s">
        <v>1691</v>
      </c>
      <c r="D35" s="75">
        <v>2500</v>
      </c>
      <c r="E35" s="281" t="s">
        <v>53</v>
      </c>
      <c r="F35" s="75">
        <v>200</v>
      </c>
      <c r="G35" s="75">
        <f>F35+Q35+T35+W35+Z35</f>
        <v>595</v>
      </c>
      <c r="H35" s="78">
        <v>45230</v>
      </c>
      <c r="I35" s="73" t="s">
        <v>3763</v>
      </c>
      <c r="J35" s="73" t="s">
        <v>3762</v>
      </c>
      <c r="K35" s="73" t="s">
        <v>2187</v>
      </c>
      <c r="L35" s="73" t="s">
        <v>3761</v>
      </c>
      <c r="M35" s="73">
        <v>2015</v>
      </c>
      <c r="O35" s="281" t="s">
        <v>7966</v>
      </c>
      <c r="P35" s="289" t="s">
        <v>9</v>
      </c>
      <c r="Q35" s="77">
        <v>90</v>
      </c>
      <c r="R35" s="73" t="s">
        <v>3760</v>
      </c>
      <c r="S35" s="77" t="s">
        <v>8</v>
      </c>
      <c r="T35" s="77">
        <v>210</v>
      </c>
      <c r="U35" s="77" t="s">
        <v>3759</v>
      </c>
      <c r="V35" s="77" t="s">
        <v>18</v>
      </c>
      <c r="W35" s="77">
        <v>70</v>
      </c>
      <c r="X35" s="77" t="s">
        <v>3758</v>
      </c>
      <c r="Y35" s="77" t="s">
        <v>7</v>
      </c>
      <c r="Z35" s="77">
        <v>25</v>
      </c>
      <c r="AA35" s="77" t="s">
        <v>3757</v>
      </c>
      <c r="AB35" s="173" t="s">
        <v>6627</v>
      </c>
      <c r="AC35" s="173" t="s">
        <v>6630</v>
      </c>
      <c r="AD35" s="173" t="s">
        <v>6649</v>
      </c>
      <c r="AE35" s="25" t="s">
        <v>3756</v>
      </c>
      <c r="AF35" s="64">
        <v>2.2540000000000001E-2</v>
      </c>
      <c r="AG35" s="62">
        <v>3.888888888888889E-2</v>
      </c>
    </row>
    <row r="36" spans="1:34" x14ac:dyDescent="0.2">
      <c r="B36" s="73" t="s">
        <v>3755</v>
      </c>
      <c r="C36" s="74" t="s">
        <v>1691</v>
      </c>
      <c r="D36" s="75">
        <v>2100</v>
      </c>
      <c r="E36" s="73" t="s">
        <v>9</v>
      </c>
      <c r="F36" s="75">
        <v>400</v>
      </c>
      <c r="G36" s="75">
        <f>F36+Q36+T36+W36+Z36</f>
        <v>664.9</v>
      </c>
      <c r="H36" s="78">
        <v>44608</v>
      </c>
      <c r="I36" s="73" t="s">
        <v>3754</v>
      </c>
      <c r="J36" s="73" t="s">
        <v>3753</v>
      </c>
      <c r="K36" s="73" t="s">
        <v>2048</v>
      </c>
      <c r="L36" s="73" t="s">
        <v>2527</v>
      </c>
      <c r="M36" s="73">
        <v>2008</v>
      </c>
      <c r="O36" s="73" t="s">
        <v>3752</v>
      </c>
      <c r="P36" s="77" t="s">
        <v>8</v>
      </c>
      <c r="Q36" s="77">
        <v>140</v>
      </c>
      <c r="R36" s="77" t="s">
        <v>3751</v>
      </c>
      <c r="S36" s="77" t="s">
        <v>18</v>
      </c>
      <c r="T36" s="77">
        <v>110</v>
      </c>
      <c r="U36" s="77" t="s">
        <v>3750</v>
      </c>
      <c r="V36" s="77" t="s">
        <v>7</v>
      </c>
      <c r="W36" s="77">
        <v>9.4</v>
      </c>
      <c r="X36" s="77" t="s">
        <v>3749</v>
      </c>
      <c r="Y36" s="77" t="s">
        <v>5</v>
      </c>
      <c r="Z36" s="77">
        <v>5.5</v>
      </c>
      <c r="AA36" s="77" t="s">
        <v>3748</v>
      </c>
      <c r="AB36" s="173" t="s">
        <v>6627</v>
      </c>
      <c r="AC36" s="173" t="s">
        <v>6630</v>
      </c>
      <c r="AD36" s="173" t="s">
        <v>6637</v>
      </c>
      <c r="AE36" s="25" t="s">
        <v>4357</v>
      </c>
      <c r="AF36" s="64">
        <v>6.0018000000000002E-2</v>
      </c>
      <c r="AG36" s="62">
        <v>6.25E-2</v>
      </c>
    </row>
    <row r="37" spans="1:34" x14ac:dyDescent="0.2">
      <c r="B37" s="73" t="s">
        <v>952</v>
      </c>
      <c r="C37" s="74" t="s">
        <v>1691</v>
      </c>
      <c r="D37" s="75">
        <v>2000</v>
      </c>
      <c r="E37" s="73" t="s">
        <v>18</v>
      </c>
      <c r="F37" s="75">
        <v>270</v>
      </c>
      <c r="G37" s="75">
        <f>F37+Q37+T37</f>
        <v>440</v>
      </c>
      <c r="H37" s="78">
        <v>45048</v>
      </c>
      <c r="I37" s="73" t="s">
        <v>3742</v>
      </c>
      <c r="J37" s="73" t="s">
        <v>3741</v>
      </c>
      <c r="K37" s="73" t="s">
        <v>2572</v>
      </c>
      <c r="L37" s="73" t="s">
        <v>3172</v>
      </c>
      <c r="M37" s="73">
        <v>2019</v>
      </c>
      <c r="N37" s="73" t="s">
        <v>3740</v>
      </c>
      <c r="O37" s="73" t="s">
        <v>3739</v>
      </c>
      <c r="P37" s="77" t="s">
        <v>7</v>
      </c>
      <c r="Q37" s="77">
        <v>130</v>
      </c>
      <c r="R37" s="77" t="s">
        <v>3738</v>
      </c>
      <c r="S37" s="77" t="s">
        <v>5</v>
      </c>
      <c r="T37" s="77">
        <v>40</v>
      </c>
      <c r="U37" s="77" t="s">
        <v>3737</v>
      </c>
      <c r="V37" s="77" t="s">
        <v>1</v>
      </c>
      <c r="W37" s="77" t="s">
        <v>1</v>
      </c>
      <c r="X37" s="77" t="s">
        <v>1</v>
      </c>
      <c r="Y37" s="77" t="s">
        <v>1</v>
      </c>
      <c r="Z37" s="77" t="s">
        <v>1</v>
      </c>
      <c r="AA37" s="77" t="s">
        <v>1</v>
      </c>
      <c r="AB37" s="173" t="s">
        <v>6653</v>
      </c>
      <c r="AD37" s="173" t="s">
        <v>2907</v>
      </c>
      <c r="AE37" s="25" t="s">
        <v>4359</v>
      </c>
      <c r="AF37" s="64">
        <v>0.75510100000000002</v>
      </c>
      <c r="AG37" s="62">
        <v>7.3611111111111113E-2</v>
      </c>
    </row>
    <row r="38" spans="1:34" x14ac:dyDescent="0.2">
      <c r="B38" s="73" t="s">
        <v>39</v>
      </c>
      <c r="C38" s="74" t="s">
        <v>1691</v>
      </c>
      <c r="D38" s="75">
        <v>2000</v>
      </c>
      <c r="E38" s="73" t="s">
        <v>9</v>
      </c>
      <c r="F38" s="75">
        <v>230</v>
      </c>
      <c r="G38" s="75">
        <f>F38+Q38+T38+W38+Z38</f>
        <v>567</v>
      </c>
      <c r="H38" s="78">
        <v>44984</v>
      </c>
      <c r="I38" s="73" t="s">
        <v>3719</v>
      </c>
      <c r="J38" s="73" t="s">
        <v>3720</v>
      </c>
      <c r="K38" s="73" t="s">
        <v>2103</v>
      </c>
      <c r="L38" s="73" t="s">
        <v>3719</v>
      </c>
      <c r="M38" s="73">
        <v>2014</v>
      </c>
      <c r="N38" s="73" t="s">
        <v>3718</v>
      </c>
      <c r="O38" s="73" t="s">
        <v>3717</v>
      </c>
      <c r="P38" s="77" t="s">
        <v>8</v>
      </c>
      <c r="Q38" s="77">
        <v>170</v>
      </c>
      <c r="R38" s="77" t="s">
        <v>3716</v>
      </c>
      <c r="S38" s="77" t="s">
        <v>18</v>
      </c>
      <c r="T38" s="77">
        <v>100</v>
      </c>
      <c r="U38" s="77" t="s">
        <v>3715</v>
      </c>
      <c r="V38" s="77" t="s">
        <v>7</v>
      </c>
      <c r="W38" s="77">
        <v>42</v>
      </c>
      <c r="X38" s="77" t="s">
        <v>3714</v>
      </c>
      <c r="Y38" s="77" t="s">
        <v>5</v>
      </c>
      <c r="Z38" s="77">
        <v>25</v>
      </c>
      <c r="AA38" s="77" t="s">
        <v>3713</v>
      </c>
      <c r="AB38" s="173" t="s">
        <v>6627</v>
      </c>
      <c r="AC38" s="173" t="s">
        <v>6630</v>
      </c>
      <c r="AD38" s="173" t="s">
        <v>6647</v>
      </c>
      <c r="AE38" s="25" t="s">
        <v>3712</v>
      </c>
      <c r="AF38" s="64">
        <v>9.7415000000000002E-2</v>
      </c>
      <c r="AG38" s="62">
        <v>0.1111111111111111</v>
      </c>
    </row>
    <row r="39" spans="1:34" s="184" customFormat="1" x14ac:dyDescent="0.2">
      <c r="A39" s="73"/>
      <c r="B39" s="12" t="s">
        <v>883</v>
      </c>
      <c r="C39" s="29" t="s">
        <v>1691</v>
      </c>
      <c r="D39" s="15">
        <v>2100</v>
      </c>
      <c r="E39" s="12" t="s">
        <v>18</v>
      </c>
      <c r="F39" s="15">
        <v>200</v>
      </c>
      <c r="G39" s="15">
        <f>F39+Q39+T39</f>
        <v>305</v>
      </c>
      <c r="H39" s="33">
        <v>44377</v>
      </c>
      <c r="I39" s="12" t="s">
        <v>2697</v>
      </c>
      <c r="J39" s="12" t="s">
        <v>3747</v>
      </c>
      <c r="K39" s="12" t="s">
        <v>2048</v>
      </c>
      <c r="L39" s="12" t="s">
        <v>3746</v>
      </c>
      <c r="M39" s="12">
        <v>2016</v>
      </c>
      <c r="N39" s="12"/>
      <c r="O39" s="12" t="s">
        <v>3745</v>
      </c>
      <c r="P39" s="24" t="s">
        <v>7</v>
      </c>
      <c r="Q39" s="24">
        <v>75</v>
      </c>
      <c r="R39" s="24" t="s">
        <v>3744</v>
      </c>
      <c r="S39" s="24" t="s">
        <v>5</v>
      </c>
      <c r="T39" s="24">
        <v>30</v>
      </c>
      <c r="U39" s="24" t="s">
        <v>3743</v>
      </c>
      <c r="V39" s="24" t="s">
        <v>1</v>
      </c>
      <c r="W39" s="24" t="s">
        <v>1</v>
      </c>
      <c r="X39" s="24" t="s">
        <v>1</v>
      </c>
      <c r="Y39" s="24" t="s">
        <v>1</v>
      </c>
      <c r="Z39" s="24" t="s">
        <v>1</v>
      </c>
      <c r="AA39" s="24" t="s">
        <v>1</v>
      </c>
      <c r="AB39" s="12" t="s">
        <v>6627</v>
      </c>
      <c r="AC39" s="12" t="s">
        <v>6630</v>
      </c>
      <c r="AD39" s="12" t="s">
        <v>2365</v>
      </c>
      <c r="AE39" s="25" t="s">
        <v>4358</v>
      </c>
      <c r="AF39" s="64">
        <v>5.4670999999999997E-2</v>
      </c>
      <c r="AG39" s="62">
        <v>9.4444444444444442E-2</v>
      </c>
      <c r="AH39" s="12"/>
    </row>
    <row r="40" spans="1:34" x14ac:dyDescent="0.2">
      <c r="B40" s="12" t="s">
        <v>3658</v>
      </c>
      <c r="C40" s="29" t="s">
        <v>1691</v>
      </c>
      <c r="D40" s="15">
        <v>2000</v>
      </c>
      <c r="E40" s="12" t="s">
        <v>5</v>
      </c>
      <c r="F40" s="15">
        <v>150</v>
      </c>
      <c r="G40" s="75">
        <f>F40</f>
        <v>150</v>
      </c>
      <c r="H40" s="14">
        <v>45008</v>
      </c>
      <c r="I40" s="12" t="s">
        <v>935</v>
      </c>
      <c r="J40" s="12" t="s">
        <v>3657</v>
      </c>
      <c r="K40" s="12" t="s">
        <v>2311</v>
      </c>
      <c r="L40" s="12" t="s">
        <v>2470</v>
      </c>
      <c r="M40" s="12">
        <v>2021</v>
      </c>
      <c r="N40" s="281" t="s">
        <v>7985</v>
      </c>
      <c r="O40" s="73" t="s">
        <v>3656</v>
      </c>
      <c r="P40" s="77" t="s">
        <v>4</v>
      </c>
      <c r="Q40" s="77" t="s">
        <v>1</v>
      </c>
      <c r="R40" s="77" t="s">
        <v>3655</v>
      </c>
      <c r="S40" s="77" t="s">
        <v>1</v>
      </c>
      <c r="T40" s="77" t="s">
        <v>1</v>
      </c>
      <c r="U40" s="77" t="s">
        <v>1</v>
      </c>
      <c r="V40" s="77" t="s">
        <v>1</v>
      </c>
      <c r="W40" s="77" t="s">
        <v>1</v>
      </c>
      <c r="X40" s="77" t="s">
        <v>1</v>
      </c>
      <c r="Y40" s="77" t="s">
        <v>1</v>
      </c>
      <c r="Z40" s="77" t="s">
        <v>1</v>
      </c>
      <c r="AA40" s="77" t="s">
        <v>1</v>
      </c>
      <c r="AB40" s="281" t="s">
        <v>6627</v>
      </c>
      <c r="AC40" s="281" t="s">
        <v>6630</v>
      </c>
      <c r="AD40" s="281" t="s">
        <v>6644</v>
      </c>
      <c r="AE40" s="25" t="s">
        <v>5032</v>
      </c>
      <c r="AF40" s="63">
        <v>180.9</v>
      </c>
      <c r="AG40" s="68" t="s">
        <v>5033</v>
      </c>
    </row>
    <row r="41" spans="1:34" x14ac:dyDescent="0.2">
      <c r="B41" s="12" t="s">
        <v>3216</v>
      </c>
      <c r="C41" s="29" t="s">
        <v>1691</v>
      </c>
      <c r="D41" s="15">
        <v>2000</v>
      </c>
      <c r="E41" s="12" t="s">
        <v>1</v>
      </c>
      <c r="F41" s="15">
        <v>18.5</v>
      </c>
      <c r="G41" s="75">
        <f>+F41</f>
        <v>18.5</v>
      </c>
      <c r="H41" s="14">
        <v>45063</v>
      </c>
      <c r="I41" s="12" t="s">
        <v>3215</v>
      </c>
      <c r="J41" s="12" t="s">
        <v>3214</v>
      </c>
      <c r="K41" s="12" t="s">
        <v>2572</v>
      </c>
      <c r="L41" s="73" t="s">
        <v>2527</v>
      </c>
      <c r="M41" s="84">
        <v>44652</v>
      </c>
      <c r="N41" s="281" t="s">
        <v>7986</v>
      </c>
      <c r="O41" s="34" t="s">
        <v>5449</v>
      </c>
      <c r="P41" s="77" t="s">
        <v>4</v>
      </c>
      <c r="Q41" s="77" t="s">
        <v>1</v>
      </c>
      <c r="R41" s="77" t="s">
        <v>3213</v>
      </c>
      <c r="S41" s="77" t="s">
        <v>4</v>
      </c>
      <c r="T41" s="77">
        <v>2</v>
      </c>
      <c r="U41" s="77" t="s">
        <v>3212</v>
      </c>
      <c r="V41" s="77" t="s">
        <v>1</v>
      </c>
      <c r="W41" s="77" t="s">
        <v>1</v>
      </c>
      <c r="X41" s="77" t="s">
        <v>1</v>
      </c>
      <c r="Y41" s="77" t="s">
        <v>1</v>
      </c>
      <c r="Z41" s="77" t="s">
        <v>1</v>
      </c>
      <c r="AA41" s="77" t="s">
        <v>1</v>
      </c>
      <c r="AB41" s="73" t="s">
        <v>2058</v>
      </c>
      <c r="AE41" s="25" t="s">
        <v>5151</v>
      </c>
      <c r="AF41" s="63">
        <v>8.4960000000000004</v>
      </c>
      <c r="AG41" s="69">
        <v>0.23750000000000002</v>
      </c>
    </row>
    <row r="42" spans="1:34" x14ac:dyDescent="0.2">
      <c r="B42" s="73" t="s">
        <v>2132</v>
      </c>
      <c r="C42" s="74" t="s">
        <v>1691</v>
      </c>
      <c r="D42" s="75">
        <v>2000</v>
      </c>
      <c r="E42" s="73" t="s">
        <v>7</v>
      </c>
      <c r="F42" s="75">
        <f>147*1.2</f>
        <v>176.4</v>
      </c>
      <c r="G42" s="75">
        <f>F42+Q42+T42+W42</f>
        <v>219.4</v>
      </c>
      <c r="H42" s="78">
        <v>44578</v>
      </c>
      <c r="I42" s="73" t="s">
        <v>4396</v>
      </c>
      <c r="J42" s="73" t="s">
        <v>4393</v>
      </c>
      <c r="K42" s="73" t="s">
        <v>4395</v>
      </c>
      <c r="L42" s="73" t="s">
        <v>2118</v>
      </c>
      <c r="M42" s="73">
        <v>2017</v>
      </c>
      <c r="O42" s="73" t="s">
        <v>4397</v>
      </c>
      <c r="P42" s="77" t="s">
        <v>5</v>
      </c>
      <c r="Q42" s="77">
        <v>20</v>
      </c>
      <c r="R42" s="77" t="s">
        <v>4403</v>
      </c>
      <c r="S42" s="77" t="s">
        <v>5</v>
      </c>
      <c r="T42" s="77">
        <v>20</v>
      </c>
      <c r="U42" s="77" t="s">
        <v>4405</v>
      </c>
      <c r="V42" s="77" t="s">
        <v>4</v>
      </c>
      <c r="W42" s="77">
        <v>3</v>
      </c>
      <c r="X42" s="77" t="s">
        <v>4406</v>
      </c>
      <c r="Y42" s="77" t="s">
        <v>1</v>
      </c>
      <c r="Z42" s="77" t="s">
        <v>1</v>
      </c>
      <c r="AA42" s="77" t="s">
        <v>1</v>
      </c>
      <c r="AB42" s="173" t="s">
        <v>6652</v>
      </c>
      <c r="AD42" s="173" t="s">
        <v>2097</v>
      </c>
      <c r="AE42" s="25" t="s">
        <v>2131</v>
      </c>
      <c r="AF42" s="64">
        <v>4.0629999999999999E-2</v>
      </c>
      <c r="AG42" s="62">
        <v>0.11875000000000001</v>
      </c>
    </row>
    <row r="43" spans="1:34" x14ac:dyDescent="0.2">
      <c r="B43" s="73" t="s">
        <v>2137</v>
      </c>
      <c r="C43" s="74" t="s">
        <v>1691</v>
      </c>
      <c r="D43" s="75">
        <v>2000</v>
      </c>
      <c r="E43" s="73" t="s">
        <v>8</v>
      </c>
      <c r="F43" s="75">
        <v>220</v>
      </c>
      <c r="G43" s="75">
        <f>F43+Q43+T43</f>
        <v>520</v>
      </c>
      <c r="H43" s="27">
        <v>44287</v>
      </c>
      <c r="I43" s="73" t="s">
        <v>4327</v>
      </c>
      <c r="J43" s="73" t="s">
        <v>2136</v>
      </c>
      <c r="K43" s="73" t="s">
        <v>2103</v>
      </c>
      <c r="L43" s="73" t="s">
        <v>2118</v>
      </c>
      <c r="M43" s="73">
        <v>2016</v>
      </c>
      <c r="O43" s="73" t="s">
        <v>2135</v>
      </c>
      <c r="P43" s="77" t="s">
        <v>8</v>
      </c>
      <c r="Q43" s="77">
        <v>200</v>
      </c>
      <c r="R43" s="77" t="s">
        <v>4334</v>
      </c>
      <c r="S43" s="77" t="s">
        <v>18</v>
      </c>
      <c r="T43" s="77">
        <v>100</v>
      </c>
      <c r="U43" s="77" t="s">
        <v>4341</v>
      </c>
      <c r="V43" s="77" t="s">
        <v>5</v>
      </c>
      <c r="W43" s="77" t="s">
        <v>1</v>
      </c>
      <c r="X43" s="77" t="s">
        <v>4342</v>
      </c>
      <c r="Y43" s="77" t="s">
        <v>4</v>
      </c>
      <c r="Z43" s="77" t="s">
        <v>1</v>
      </c>
      <c r="AA43" s="77" t="s">
        <v>4343</v>
      </c>
      <c r="AB43" s="173" t="s">
        <v>6627</v>
      </c>
      <c r="AC43" s="173" t="s">
        <v>6630</v>
      </c>
      <c r="AD43" s="173" t="s">
        <v>6650</v>
      </c>
      <c r="AE43" s="25" t="s">
        <v>2134</v>
      </c>
      <c r="AF43" s="64">
        <v>1.7038000000000001E-2</v>
      </c>
      <c r="AG43" s="62">
        <v>0.13749999999999998</v>
      </c>
    </row>
    <row r="44" spans="1:34" x14ac:dyDescent="0.2">
      <c r="B44" s="73" t="s">
        <v>3729</v>
      </c>
      <c r="C44" s="74" t="s">
        <v>1691</v>
      </c>
      <c r="D44" s="75">
        <v>2000</v>
      </c>
      <c r="E44" s="73" t="s">
        <v>7</v>
      </c>
      <c r="F44" s="75">
        <v>138</v>
      </c>
      <c r="G44" s="75">
        <f>F44</f>
        <v>138</v>
      </c>
      <c r="H44" s="78">
        <v>44872</v>
      </c>
      <c r="I44" s="73" t="s">
        <v>3728</v>
      </c>
      <c r="K44" s="73" t="s">
        <v>2048</v>
      </c>
      <c r="L44" s="73" t="s">
        <v>3284</v>
      </c>
      <c r="M44" s="73">
        <v>2014</v>
      </c>
      <c r="N44" s="73" t="s">
        <v>3727</v>
      </c>
      <c r="O44" s="73" t="s">
        <v>1</v>
      </c>
      <c r="P44" s="77" t="s">
        <v>5</v>
      </c>
      <c r="Q44" s="77" t="s">
        <v>1</v>
      </c>
      <c r="R44" s="77" t="s">
        <v>3726</v>
      </c>
      <c r="AB44" s="173" t="s">
        <v>6628</v>
      </c>
      <c r="AD44" s="173" t="s">
        <v>6643</v>
      </c>
    </row>
    <row r="45" spans="1:34" s="184" customFormat="1" x14ac:dyDescent="0.2">
      <c r="A45" s="73"/>
      <c r="B45" s="73" t="s">
        <v>2095</v>
      </c>
      <c r="C45" s="74" t="s">
        <v>1691</v>
      </c>
      <c r="D45" s="75">
        <v>2000</v>
      </c>
      <c r="E45" s="73" t="s">
        <v>8</v>
      </c>
      <c r="F45" s="75">
        <v>50</v>
      </c>
      <c r="G45" s="75">
        <f>F45+Q45+T45+W45+Z45</f>
        <v>120.69999999999999</v>
      </c>
      <c r="H45" s="78">
        <v>44307</v>
      </c>
      <c r="I45" s="92" t="s">
        <v>5425</v>
      </c>
      <c r="J45" s="92" t="s">
        <v>5422</v>
      </c>
      <c r="K45" s="73" t="s">
        <v>2048</v>
      </c>
      <c r="L45" s="73" t="s">
        <v>2059</v>
      </c>
      <c r="M45" s="73">
        <v>2013</v>
      </c>
      <c r="N45" s="73"/>
      <c r="O45" s="92" t="s">
        <v>5424</v>
      </c>
      <c r="P45" s="94" t="s">
        <v>18</v>
      </c>
      <c r="Q45" s="77">
        <v>37</v>
      </c>
      <c r="R45" s="94" t="s">
        <v>5429</v>
      </c>
      <c r="S45" s="94" t="s">
        <v>7</v>
      </c>
      <c r="T45" s="77">
        <v>13.5</v>
      </c>
      <c r="U45" s="94" t="s">
        <v>5434</v>
      </c>
      <c r="V45" s="94" t="s">
        <v>5</v>
      </c>
      <c r="W45" s="77">
        <v>18.100000000000001</v>
      </c>
      <c r="X45" s="94" t="s">
        <v>5433</v>
      </c>
      <c r="Y45" s="94" t="s">
        <v>4</v>
      </c>
      <c r="Z45" s="77">
        <v>2.1</v>
      </c>
      <c r="AA45" s="94" t="s">
        <v>1130</v>
      </c>
      <c r="AB45" s="173" t="s">
        <v>6627</v>
      </c>
      <c r="AC45" s="173" t="s">
        <v>6630</v>
      </c>
      <c r="AD45" s="173" t="s">
        <v>2365</v>
      </c>
      <c r="AE45" s="25" t="s">
        <v>2094</v>
      </c>
      <c r="AF45" s="64"/>
      <c r="AG45" s="59"/>
      <c r="AH45" s="73"/>
    </row>
    <row r="46" spans="1:34" x14ac:dyDescent="0.2">
      <c r="B46" s="73" t="s">
        <v>3725</v>
      </c>
      <c r="C46" s="74" t="s">
        <v>1691</v>
      </c>
      <c r="D46" s="75">
        <v>2000</v>
      </c>
      <c r="E46" s="73" t="s">
        <v>18</v>
      </c>
      <c r="F46" s="75">
        <v>50</v>
      </c>
      <c r="G46" s="75">
        <f>F46+Q46+T46</f>
        <v>225</v>
      </c>
      <c r="H46" s="27">
        <v>44380</v>
      </c>
      <c r="J46" s="73" t="s">
        <v>3724</v>
      </c>
      <c r="K46" s="73" t="s">
        <v>2311</v>
      </c>
      <c r="L46" s="73" t="s">
        <v>2293</v>
      </c>
      <c r="M46" s="73">
        <v>2014</v>
      </c>
      <c r="O46" s="73" t="s">
        <v>3723</v>
      </c>
      <c r="P46" s="77" t="s">
        <v>7</v>
      </c>
      <c r="Q46" s="77">
        <v>150</v>
      </c>
      <c r="R46" s="77" t="s">
        <v>3722</v>
      </c>
      <c r="S46" s="77" t="s">
        <v>5</v>
      </c>
      <c r="T46" s="77">
        <f>150/6</f>
        <v>25</v>
      </c>
      <c r="U46" s="77" t="s">
        <v>3721</v>
      </c>
      <c r="V46" s="77" t="s">
        <v>1</v>
      </c>
      <c r="W46" s="77" t="s">
        <v>1</v>
      </c>
      <c r="X46" s="77" t="s">
        <v>1</v>
      </c>
      <c r="Y46" s="77" t="s">
        <v>1</v>
      </c>
      <c r="Z46" s="77" t="s">
        <v>1</v>
      </c>
      <c r="AA46" s="77" t="s">
        <v>1</v>
      </c>
      <c r="AB46" s="173" t="s">
        <v>6628</v>
      </c>
      <c r="AD46" s="173" t="s">
        <v>3490</v>
      </c>
      <c r="AE46" s="25" t="s">
        <v>5052</v>
      </c>
      <c r="AF46" s="63">
        <v>0</v>
      </c>
      <c r="AG46" s="69">
        <v>0.11805555555555557</v>
      </c>
    </row>
    <row r="47" spans="1:34" x14ac:dyDescent="0.2">
      <c r="B47" s="73" t="s">
        <v>208</v>
      </c>
      <c r="C47" s="74" t="s">
        <v>1691</v>
      </c>
      <c r="D47" s="80">
        <v>2000</v>
      </c>
      <c r="E47" s="73" t="s">
        <v>8</v>
      </c>
      <c r="F47" s="75">
        <v>676</v>
      </c>
      <c r="G47" s="75">
        <f>F47+Q47+T47</f>
        <v>1076</v>
      </c>
      <c r="H47" s="27">
        <v>44299</v>
      </c>
      <c r="I47" s="73" t="s">
        <v>3868</v>
      </c>
      <c r="J47" s="73" t="s">
        <v>3867</v>
      </c>
      <c r="K47" s="73" t="s">
        <v>2048</v>
      </c>
      <c r="L47" s="73" t="s">
        <v>2853</v>
      </c>
      <c r="M47" s="73">
        <v>2017</v>
      </c>
      <c r="N47" s="213" t="s">
        <v>7155</v>
      </c>
      <c r="O47" s="73" t="s">
        <v>3866</v>
      </c>
      <c r="P47" s="77" t="s">
        <v>3865</v>
      </c>
      <c r="Q47" s="77">
        <v>250</v>
      </c>
      <c r="R47" s="77" t="s">
        <v>3864</v>
      </c>
      <c r="S47" s="77" t="s">
        <v>7</v>
      </c>
      <c r="T47" s="77">
        <v>150</v>
      </c>
      <c r="U47" s="77" t="s">
        <v>3863</v>
      </c>
      <c r="V47" s="77" t="s">
        <v>5</v>
      </c>
      <c r="W47" s="77">
        <v>56</v>
      </c>
      <c r="X47" s="77" t="s">
        <v>3862</v>
      </c>
      <c r="Y47" s="77" t="s">
        <v>4</v>
      </c>
      <c r="Z47" s="77">
        <v>2</v>
      </c>
      <c r="AA47" s="77" t="s">
        <v>1107</v>
      </c>
      <c r="AB47" s="173" t="s">
        <v>6627</v>
      </c>
      <c r="AC47" s="173" t="s">
        <v>6630</v>
      </c>
      <c r="AD47" s="173" t="s">
        <v>6637</v>
      </c>
      <c r="AE47" s="25" t="s">
        <v>3861</v>
      </c>
      <c r="AF47" s="64">
        <v>1.1689E-2</v>
      </c>
      <c r="AG47" s="62">
        <v>0.14444444444444446</v>
      </c>
    </row>
    <row r="48" spans="1:34" x14ac:dyDescent="0.2">
      <c r="B48" s="73" t="s">
        <v>3711</v>
      </c>
      <c r="C48" s="74" t="s">
        <v>1691</v>
      </c>
      <c r="D48" s="75">
        <v>1900</v>
      </c>
      <c r="E48" s="73" t="s">
        <v>9</v>
      </c>
      <c r="F48" s="75">
        <v>220</v>
      </c>
      <c r="G48" s="75">
        <f>F48+Q48+T48+W48+Z48</f>
        <v>396.8</v>
      </c>
      <c r="H48" s="78">
        <v>44357</v>
      </c>
      <c r="I48" s="73" t="s">
        <v>3710</v>
      </c>
      <c r="J48" s="73" t="s">
        <v>3709</v>
      </c>
      <c r="K48" s="73" t="s">
        <v>2048</v>
      </c>
      <c r="L48" s="73" t="s">
        <v>2129</v>
      </c>
      <c r="M48" s="73">
        <v>2016</v>
      </c>
      <c r="O48" s="73" t="s">
        <v>3708</v>
      </c>
      <c r="P48" s="77" t="s">
        <v>8</v>
      </c>
      <c r="Q48" s="77">
        <v>125</v>
      </c>
      <c r="R48" s="77" t="s">
        <v>3707</v>
      </c>
      <c r="S48" s="77" t="s">
        <v>18</v>
      </c>
      <c r="T48" s="77">
        <v>28</v>
      </c>
      <c r="U48" s="77" t="s">
        <v>3706</v>
      </c>
      <c r="V48" s="77" t="s">
        <v>7</v>
      </c>
      <c r="W48" s="77">
        <v>18</v>
      </c>
      <c r="X48" s="77" t="s">
        <v>3705</v>
      </c>
      <c r="Y48" s="77" t="s">
        <v>5</v>
      </c>
      <c r="Z48" s="77">
        <v>5.8</v>
      </c>
      <c r="AA48" s="77" t="s">
        <v>1</v>
      </c>
      <c r="AB48" s="173" t="s">
        <v>6627</v>
      </c>
      <c r="AC48" s="173" t="s">
        <v>6630</v>
      </c>
      <c r="AD48" s="173" t="s">
        <v>6645</v>
      </c>
      <c r="AE48" s="25" t="s">
        <v>3704</v>
      </c>
      <c r="AF48" s="64">
        <v>6.0490000000000004</v>
      </c>
      <c r="AG48" s="62">
        <v>0.11319444444444444</v>
      </c>
    </row>
    <row r="49" spans="1:34" x14ac:dyDescent="0.2">
      <c r="B49" s="73" t="s">
        <v>47</v>
      </c>
      <c r="C49" s="74" t="s">
        <v>1691</v>
      </c>
      <c r="D49" s="80">
        <v>1500</v>
      </c>
      <c r="E49" s="73" t="s">
        <v>53</v>
      </c>
      <c r="F49" s="75">
        <v>100</v>
      </c>
      <c r="H49" s="27">
        <v>44515</v>
      </c>
      <c r="J49" s="73" t="s">
        <v>3848</v>
      </c>
      <c r="K49" s="73" t="s">
        <v>2048</v>
      </c>
      <c r="L49" s="73" t="s">
        <v>2074</v>
      </c>
      <c r="M49" s="73">
        <v>2012</v>
      </c>
      <c r="N49" s="213" t="s">
        <v>7156</v>
      </c>
      <c r="O49" s="73" t="s">
        <v>3847</v>
      </c>
      <c r="P49" s="77" t="s">
        <v>9</v>
      </c>
      <c r="Q49" s="77" t="s">
        <v>3846</v>
      </c>
      <c r="R49" s="77" t="s">
        <v>3845</v>
      </c>
      <c r="S49" s="77" t="s">
        <v>8</v>
      </c>
      <c r="T49" s="77" t="s">
        <v>3844</v>
      </c>
      <c r="U49" s="77" t="s">
        <v>3843</v>
      </c>
      <c r="V49" s="77" t="s">
        <v>18</v>
      </c>
      <c r="W49" s="77">
        <v>60</v>
      </c>
      <c r="X49" s="77" t="s">
        <v>3842</v>
      </c>
      <c r="Y49" s="77" t="s">
        <v>18</v>
      </c>
      <c r="Z49" s="77">
        <v>50</v>
      </c>
      <c r="AA49" s="77" t="s">
        <v>3841</v>
      </c>
      <c r="AB49" s="173" t="s">
        <v>6627</v>
      </c>
      <c r="AC49" s="173" t="s">
        <v>6630</v>
      </c>
      <c r="AD49" s="173" t="s">
        <v>6638</v>
      </c>
      <c r="AE49" s="25" t="s">
        <v>3840</v>
      </c>
      <c r="AF49" s="64">
        <v>0.24010600000000001</v>
      </c>
      <c r="AG49" s="62">
        <v>0.30833333333333335</v>
      </c>
    </row>
    <row r="50" spans="1:34" x14ac:dyDescent="0.2">
      <c r="B50" s="73" t="s">
        <v>80</v>
      </c>
      <c r="C50" s="74" t="s">
        <v>1691</v>
      </c>
      <c r="D50" s="75">
        <v>1500</v>
      </c>
      <c r="E50" s="281" t="s">
        <v>8</v>
      </c>
      <c r="F50" s="75">
        <v>333.33333333333331</v>
      </c>
      <c r="G50" s="75">
        <f>F50+T50+W50+Z50+Q50</f>
        <v>781.90476190476193</v>
      </c>
      <c r="H50" s="78">
        <v>45197</v>
      </c>
      <c r="I50" s="73" t="s">
        <v>2375</v>
      </c>
      <c r="J50" s="73" t="s">
        <v>3679</v>
      </c>
      <c r="K50" s="73" t="s">
        <v>2048</v>
      </c>
      <c r="L50" s="73" t="s">
        <v>2103</v>
      </c>
      <c r="M50" s="73">
        <v>2018</v>
      </c>
      <c r="O50" s="281" t="s">
        <v>7981</v>
      </c>
      <c r="P50" s="289" t="s">
        <v>18</v>
      </c>
      <c r="Q50" s="77">
        <v>257</v>
      </c>
      <c r="R50" s="73" t="s">
        <v>3678</v>
      </c>
      <c r="S50" s="77" t="s">
        <v>7</v>
      </c>
      <c r="T50" s="77">
        <v>100</v>
      </c>
      <c r="U50" s="77" t="s">
        <v>3677</v>
      </c>
      <c r="V50" s="77" t="s">
        <v>5</v>
      </c>
      <c r="W50" s="77">
        <v>43</v>
      </c>
      <c r="X50" s="77" t="s">
        <v>3676</v>
      </c>
      <c r="Y50" s="77" t="s">
        <v>4</v>
      </c>
      <c r="Z50" s="81">
        <f>340/7</f>
        <v>48.571428571428569</v>
      </c>
      <c r="AA50" s="77" t="s">
        <v>3675</v>
      </c>
      <c r="AB50" s="281" t="s">
        <v>6628</v>
      </c>
      <c r="AD50" s="281" t="s">
        <v>3490</v>
      </c>
      <c r="AE50" s="25" t="s">
        <v>3674</v>
      </c>
      <c r="AF50" s="64">
        <v>1.1807E-2</v>
      </c>
      <c r="AG50" s="62">
        <v>0.10486111111111111</v>
      </c>
    </row>
    <row r="51" spans="1:34" x14ac:dyDescent="0.2">
      <c r="B51" s="73" t="s">
        <v>763</v>
      </c>
      <c r="C51" s="74" t="s">
        <v>1691</v>
      </c>
      <c r="D51" s="75">
        <v>1500</v>
      </c>
      <c r="E51" s="73" t="s">
        <v>5</v>
      </c>
      <c r="F51" s="75">
        <v>125</v>
      </c>
      <c r="G51" s="75">
        <f>F51+Q51+T51</f>
        <v>132</v>
      </c>
      <c r="H51" s="78">
        <v>44852</v>
      </c>
      <c r="I51" s="73" t="s">
        <v>2559</v>
      </c>
      <c r="J51" s="73" t="s">
        <v>3703</v>
      </c>
      <c r="K51" s="73" t="s">
        <v>2311</v>
      </c>
      <c r="L51" s="73" t="s">
        <v>2701</v>
      </c>
      <c r="M51" s="73">
        <v>2021</v>
      </c>
      <c r="N51" s="281" t="s">
        <v>7974</v>
      </c>
      <c r="O51" s="73" t="s">
        <v>3702</v>
      </c>
      <c r="P51" s="77" t="s">
        <v>4</v>
      </c>
      <c r="Q51" s="77">
        <v>6</v>
      </c>
      <c r="R51" s="77" t="s">
        <v>3701</v>
      </c>
      <c r="S51" s="77" t="s">
        <v>278</v>
      </c>
      <c r="T51" s="77">
        <v>1</v>
      </c>
      <c r="U51" s="77" t="s">
        <v>3700</v>
      </c>
      <c r="V51" s="77" t="s">
        <v>1</v>
      </c>
      <c r="W51" s="77" t="s">
        <v>1</v>
      </c>
      <c r="X51" s="77" t="s">
        <v>1</v>
      </c>
      <c r="Y51" s="77" t="s">
        <v>1</v>
      </c>
      <c r="Z51" s="77" t="s">
        <v>1</v>
      </c>
      <c r="AA51" s="77" t="s">
        <v>1</v>
      </c>
      <c r="AB51" s="173" t="s">
        <v>6653</v>
      </c>
      <c r="AD51" s="173" t="s">
        <v>3699</v>
      </c>
      <c r="AE51" s="25" t="s">
        <v>5049</v>
      </c>
      <c r="AF51" s="63">
        <v>3.9180000000000001</v>
      </c>
      <c r="AG51" s="69">
        <v>0.1673611111111111</v>
      </c>
    </row>
    <row r="52" spans="1:34" x14ac:dyDescent="0.2">
      <c r="B52" s="73" t="s">
        <v>57</v>
      </c>
      <c r="C52" s="74" t="s">
        <v>1691</v>
      </c>
      <c r="D52" s="75">
        <v>1500</v>
      </c>
      <c r="E52" s="73" t="s">
        <v>8</v>
      </c>
      <c r="F52" s="75">
        <v>250</v>
      </c>
      <c r="G52" s="75">
        <f>F52+Q52</f>
        <v>350</v>
      </c>
      <c r="H52" s="78">
        <v>45069</v>
      </c>
      <c r="I52" s="73" t="s">
        <v>3698</v>
      </c>
      <c r="J52" s="73" t="s">
        <v>3697</v>
      </c>
      <c r="K52" s="73" t="s">
        <v>2048</v>
      </c>
      <c r="L52" s="73" t="s">
        <v>2240</v>
      </c>
      <c r="M52" s="73">
        <v>2016</v>
      </c>
      <c r="N52" s="73" t="s">
        <v>3696</v>
      </c>
      <c r="O52" s="73" t="s">
        <v>3695</v>
      </c>
      <c r="P52" s="77" t="s">
        <v>18</v>
      </c>
      <c r="Q52" s="77">
        <v>100</v>
      </c>
      <c r="R52" s="77" t="s">
        <v>3694</v>
      </c>
      <c r="S52" s="77" t="s">
        <v>7</v>
      </c>
      <c r="T52" s="77" t="s">
        <v>1</v>
      </c>
      <c r="U52" s="77" t="s">
        <v>3693</v>
      </c>
      <c r="V52" s="77" t="s">
        <v>5</v>
      </c>
      <c r="W52" s="77">
        <v>29.5</v>
      </c>
      <c r="X52" s="77" t="s">
        <v>3692</v>
      </c>
      <c r="Y52" s="77" t="s">
        <v>1</v>
      </c>
      <c r="Z52" s="77" t="s">
        <v>1</v>
      </c>
      <c r="AA52" s="77" t="s">
        <v>1</v>
      </c>
      <c r="AB52" s="281" t="s">
        <v>6652</v>
      </c>
      <c r="AD52" s="281" t="s">
        <v>2097</v>
      </c>
      <c r="AE52" s="25" t="s">
        <v>3691</v>
      </c>
      <c r="AF52" s="64">
        <v>0.60908600000000002</v>
      </c>
      <c r="AG52" s="62">
        <v>0.31597222222222221</v>
      </c>
    </row>
    <row r="53" spans="1:34" x14ac:dyDescent="0.2">
      <c r="B53" s="73" t="s">
        <v>957</v>
      </c>
      <c r="C53" s="74" t="s">
        <v>1691</v>
      </c>
      <c r="D53" s="75">
        <v>1400</v>
      </c>
      <c r="E53" s="281" t="s">
        <v>1040</v>
      </c>
      <c r="F53" s="75">
        <v>141</v>
      </c>
      <c r="G53" s="75">
        <f>F53+Q53+T53+W53+Z53</f>
        <v>236.5</v>
      </c>
      <c r="H53" s="78">
        <v>45106</v>
      </c>
      <c r="I53" s="73" t="s">
        <v>2306</v>
      </c>
      <c r="J53" s="73" t="s">
        <v>3690</v>
      </c>
      <c r="K53" s="73" t="s">
        <v>2311</v>
      </c>
      <c r="L53" s="73" t="s">
        <v>2305</v>
      </c>
      <c r="M53" s="79">
        <v>43101</v>
      </c>
      <c r="N53" s="73" t="s">
        <v>4279</v>
      </c>
      <c r="O53" s="281" t="s">
        <v>7967</v>
      </c>
      <c r="P53" s="77" t="s">
        <v>18</v>
      </c>
      <c r="Q53" s="77">
        <v>50</v>
      </c>
      <c r="R53" s="77" t="s">
        <v>3689</v>
      </c>
      <c r="S53" s="77" t="s">
        <v>7</v>
      </c>
      <c r="T53" s="77">
        <v>35</v>
      </c>
      <c r="U53" s="77" t="s">
        <v>3688</v>
      </c>
      <c r="V53" s="77" t="s">
        <v>5</v>
      </c>
      <c r="W53" s="77">
        <v>8.5</v>
      </c>
      <c r="X53" s="77" t="s">
        <v>3687</v>
      </c>
      <c r="Y53" s="77" t="s">
        <v>4</v>
      </c>
      <c r="Z53" s="77">
        <v>2</v>
      </c>
      <c r="AA53" s="77" t="s">
        <v>3686</v>
      </c>
      <c r="AB53" s="281" t="s">
        <v>6627</v>
      </c>
      <c r="AC53" s="281" t="s">
        <v>6635</v>
      </c>
      <c r="AD53" s="281" t="s">
        <v>6635</v>
      </c>
      <c r="AE53" s="25" t="s">
        <v>5050</v>
      </c>
      <c r="AF53" s="63">
        <v>5.6790000000000003</v>
      </c>
      <c r="AG53" s="69">
        <v>0.16666666666666666</v>
      </c>
    </row>
    <row r="54" spans="1:34" x14ac:dyDescent="0.2">
      <c r="B54" s="73" t="s">
        <v>2130</v>
      </c>
      <c r="C54" s="74" t="s">
        <v>1691</v>
      </c>
      <c r="D54" s="75">
        <v>1300</v>
      </c>
      <c r="E54" s="73" t="s">
        <v>18</v>
      </c>
      <c r="F54" s="75">
        <v>200</v>
      </c>
      <c r="G54" s="75">
        <f>F54+Q54+T54</f>
        <v>253.3</v>
      </c>
      <c r="H54" s="78">
        <v>44557</v>
      </c>
      <c r="I54" s="73" t="s">
        <v>4464</v>
      </c>
      <c r="J54" s="73" t="s">
        <v>4463</v>
      </c>
      <c r="K54" s="73" t="s">
        <v>2048</v>
      </c>
      <c r="L54" s="73" t="s">
        <v>2129</v>
      </c>
      <c r="M54" s="73">
        <v>2016</v>
      </c>
      <c r="O54" s="73" t="s">
        <v>4465</v>
      </c>
      <c r="P54" s="77" t="s">
        <v>7</v>
      </c>
      <c r="Q54" s="77">
        <v>40</v>
      </c>
      <c r="R54" s="77" t="s">
        <v>4470</v>
      </c>
      <c r="S54" s="77" t="s">
        <v>5</v>
      </c>
      <c r="T54" s="77">
        <v>13.3</v>
      </c>
      <c r="U54" s="77" t="s">
        <v>1</v>
      </c>
      <c r="V54" s="77" t="s">
        <v>1</v>
      </c>
      <c r="W54" s="77" t="s">
        <v>1</v>
      </c>
      <c r="X54" s="77" t="s">
        <v>1</v>
      </c>
      <c r="Y54" s="77" t="s">
        <v>1</v>
      </c>
      <c r="Z54" s="77" t="s">
        <v>1</v>
      </c>
      <c r="AA54" s="77" t="s">
        <v>1</v>
      </c>
      <c r="AB54" s="281" t="s">
        <v>6627</v>
      </c>
      <c r="AC54" s="281" t="s">
        <v>7968</v>
      </c>
      <c r="AD54" s="281" t="s">
        <v>7969</v>
      </c>
      <c r="AE54" s="25" t="s">
        <v>2128</v>
      </c>
      <c r="AF54" s="64">
        <v>4.1040000000000001</v>
      </c>
      <c r="AG54" s="62">
        <v>0.13541666666666666</v>
      </c>
    </row>
    <row r="55" spans="1:34" x14ac:dyDescent="0.2">
      <c r="B55" s="73" t="s">
        <v>3532</v>
      </c>
      <c r="C55" s="74" t="s">
        <v>1691</v>
      </c>
      <c r="D55" s="75">
        <v>1300</v>
      </c>
      <c r="E55" s="281" t="s">
        <v>18</v>
      </c>
      <c r="F55" s="75">
        <v>53</v>
      </c>
      <c r="G55" s="75">
        <f>F55+Q55+T55+W55</f>
        <v>171.5</v>
      </c>
      <c r="H55" s="78">
        <v>45251</v>
      </c>
      <c r="I55" s="73" t="s">
        <v>3531</v>
      </c>
      <c r="J55" s="73" t="s">
        <v>3530</v>
      </c>
      <c r="K55" s="73" t="s">
        <v>2572</v>
      </c>
      <c r="L55" s="73" t="s">
        <v>3172</v>
      </c>
      <c r="M55" s="73">
        <v>2017</v>
      </c>
      <c r="N55" s="25" t="s">
        <v>3529</v>
      </c>
      <c r="O55" s="281" t="s">
        <v>7987</v>
      </c>
      <c r="P55" s="73" t="s">
        <v>7</v>
      </c>
      <c r="Q55" s="77">
        <v>64</v>
      </c>
      <c r="R55" s="34" t="s">
        <v>3528</v>
      </c>
      <c r="S55" s="77" t="s">
        <v>7</v>
      </c>
      <c r="T55" s="77">
        <v>20</v>
      </c>
      <c r="U55" s="77" t="s">
        <v>3527</v>
      </c>
      <c r="V55" s="77" t="s">
        <v>5</v>
      </c>
      <c r="W55" s="77">
        <v>34.5</v>
      </c>
      <c r="X55" s="77" t="s">
        <v>3526</v>
      </c>
      <c r="Y55" s="77" t="s">
        <v>4</v>
      </c>
      <c r="Z55" s="77" t="s">
        <v>1</v>
      </c>
      <c r="AA55" s="77" t="s">
        <v>3526</v>
      </c>
      <c r="AB55" s="281" t="s">
        <v>6787</v>
      </c>
      <c r="AD55" s="281" t="s">
        <v>2854</v>
      </c>
      <c r="AE55" s="25" t="s">
        <v>5074</v>
      </c>
      <c r="AF55" s="63">
        <v>0.31137399999999998</v>
      </c>
      <c r="AG55" s="69">
        <v>5.7638888888888885E-2</v>
      </c>
    </row>
    <row r="56" spans="1:34" s="12" customFormat="1" x14ac:dyDescent="0.2">
      <c r="A56" s="73"/>
      <c r="B56" s="73" t="s">
        <v>3665</v>
      </c>
      <c r="C56" s="74" t="s">
        <v>1691</v>
      </c>
      <c r="D56" s="75">
        <v>1200</v>
      </c>
      <c r="E56" s="281" t="s">
        <v>1040</v>
      </c>
      <c r="F56" s="75">
        <v>50</v>
      </c>
      <c r="G56" s="75">
        <f>F56+Q56+T56</f>
        <v>230</v>
      </c>
      <c r="H56" s="78">
        <v>45147</v>
      </c>
      <c r="I56" s="73" t="s">
        <v>3664</v>
      </c>
      <c r="J56" s="73" t="s">
        <v>3663</v>
      </c>
      <c r="K56" s="73" t="s">
        <v>2572</v>
      </c>
      <c r="L56" s="73" t="s">
        <v>2059</v>
      </c>
      <c r="M56" s="73">
        <v>2017</v>
      </c>
      <c r="N56" s="73" t="s">
        <v>3662</v>
      </c>
      <c r="O56" s="281" t="s">
        <v>7982</v>
      </c>
      <c r="P56" s="281" t="s">
        <v>18</v>
      </c>
      <c r="Q56" s="77">
        <v>135</v>
      </c>
      <c r="R56" s="73" t="s">
        <v>3661</v>
      </c>
      <c r="S56" s="77" t="s">
        <v>7</v>
      </c>
      <c r="T56" s="77">
        <v>45</v>
      </c>
      <c r="U56" s="77" t="s">
        <v>3660</v>
      </c>
      <c r="V56" s="77" t="s">
        <v>5</v>
      </c>
      <c r="W56" s="77">
        <v>5</v>
      </c>
      <c r="X56" s="77" t="s">
        <v>3659</v>
      </c>
      <c r="Y56" s="77" t="s">
        <v>1</v>
      </c>
      <c r="Z56" s="77" t="s">
        <v>1</v>
      </c>
      <c r="AA56" s="77" t="s">
        <v>1</v>
      </c>
      <c r="AB56" s="281" t="s">
        <v>6627</v>
      </c>
      <c r="AC56" s="281" t="s">
        <v>6630</v>
      </c>
      <c r="AD56" s="281" t="s">
        <v>2365</v>
      </c>
      <c r="AE56" s="25" t="s">
        <v>5054</v>
      </c>
      <c r="AF56" s="63">
        <v>1.5369999999999999</v>
      </c>
      <c r="AG56" s="69">
        <v>0.31875000000000003</v>
      </c>
      <c r="AH56" s="73"/>
    </row>
    <row r="57" spans="1:34" x14ac:dyDescent="0.2">
      <c r="B57" s="73" t="s">
        <v>606</v>
      </c>
      <c r="C57" s="74" t="s">
        <v>1691</v>
      </c>
      <c r="D57" s="75">
        <v>1000</v>
      </c>
      <c r="E57" s="281" t="s">
        <v>7978</v>
      </c>
      <c r="F57" s="75">
        <v>59</v>
      </c>
      <c r="G57" s="75">
        <f>F57+Q57+T57+W57+Z57</f>
        <v>306</v>
      </c>
      <c r="H57" s="78">
        <v>45124</v>
      </c>
      <c r="I57" s="73" t="s">
        <v>3685</v>
      </c>
      <c r="J57" s="73" t="s">
        <v>3684</v>
      </c>
      <c r="K57" s="73" t="s">
        <v>2311</v>
      </c>
      <c r="L57" s="73" t="s">
        <v>2065</v>
      </c>
      <c r="M57" s="73">
        <v>2016</v>
      </c>
      <c r="O57" s="281" t="s">
        <v>7979</v>
      </c>
      <c r="P57" s="289" t="s">
        <v>9</v>
      </c>
      <c r="Q57" s="77">
        <v>132</v>
      </c>
      <c r="R57" s="73" t="s">
        <v>3683</v>
      </c>
      <c r="S57" s="77" t="s">
        <v>8</v>
      </c>
      <c r="T57" s="77">
        <v>42</v>
      </c>
      <c r="U57" s="77" t="s">
        <v>3682</v>
      </c>
      <c r="V57" s="77" t="s">
        <v>18</v>
      </c>
      <c r="W57" s="77">
        <v>48</v>
      </c>
      <c r="X57" s="77" t="s">
        <v>3681</v>
      </c>
      <c r="Y57" s="77" t="s">
        <v>7</v>
      </c>
      <c r="Z57" s="77">
        <v>25</v>
      </c>
      <c r="AA57" s="77" t="s">
        <v>3680</v>
      </c>
      <c r="AB57" s="281" t="s">
        <v>6627</v>
      </c>
      <c r="AC57" s="281" t="s">
        <v>6635</v>
      </c>
      <c r="AD57" s="281" t="s">
        <v>6635</v>
      </c>
      <c r="AE57" s="25" t="s">
        <v>5051</v>
      </c>
      <c r="AF57" s="63">
        <v>2.2080000000000002</v>
      </c>
      <c r="AG57" s="69">
        <v>7.2222222222222229E-2</v>
      </c>
    </row>
    <row r="58" spans="1:34" x14ac:dyDescent="0.2">
      <c r="B58" s="73" t="s">
        <v>2133</v>
      </c>
      <c r="C58" s="74" t="s">
        <v>1691</v>
      </c>
      <c r="D58" s="75">
        <f>7700/7</f>
        <v>1100</v>
      </c>
      <c r="E58" s="73" t="s">
        <v>7</v>
      </c>
      <c r="F58" s="75">
        <f>1300/7</f>
        <v>185.71428571428572</v>
      </c>
      <c r="G58" s="75">
        <f>F58</f>
        <v>185.71428571428572</v>
      </c>
      <c r="H58" s="78">
        <v>44648</v>
      </c>
      <c r="I58" s="73" t="s">
        <v>4384</v>
      </c>
      <c r="J58" s="73" t="s">
        <v>4385</v>
      </c>
      <c r="K58" s="73" t="s">
        <v>2048</v>
      </c>
      <c r="L58" s="73" t="s">
        <v>2118</v>
      </c>
      <c r="M58" s="73">
        <v>2014</v>
      </c>
      <c r="N58" s="73" t="s">
        <v>4390</v>
      </c>
      <c r="O58" s="73" t="s">
        <v>4386</v>
      </c>
      <c r="P58" s="77" t="s">
        <v>5</v>
      </c>
      <c r="Q58" s="77" t="s">
        <v>1</v>
      </c>
      <c r="R58" s="77" t="s">
        <v>4389</v>
      </c>
      <c r="S58" s="77" t="s">
        <v>1</v>
      </c>
      <c r="T58" s="77" t="s">
        <v>1</v>
      </c>
      <c r="U58" s="77" t="s">
        <v>1</v>
      </c>
      <c r="V58" s="77" t="s">
        <v>1</v>
      </c>
      <c r="W58" s="77" t="s">
        <v>1</v>
      </c>
      <c r="X58" s="77" t="s">
        <v>1</v>
      </c>
      <c r="Y58" s="77" t="s">
        <v>1</v>
      </c>
      <c r="Z58" s="77" t="s">
        <v>1</v>
      </c>
      <c r="AA58" s="77" t="s">
        <v>1</v>
      </c>
      <c r="AB58" s="281" t="s">
        <v>6628</v>
      </c>
      <c r="AD58" s="281" t="s">
        <v>7970</v>
      </c>
      <c r="AE58" s="25" t="s">
        <v>4383</v>
      </c>
      <c r="AF58" s="64">
        <v>7.4970000000000002E-3</v>
      </c>
      <c r="AG58" s="62">
        <v>0.2388888888888889</v>
      </c>
    </row>
    <row r="59" spans="1:34" x14ac:dyDescent="0.2">
      <c r="B59" s="73" t="s">
        <v>3673</v>
      </c>
      <c r="C59" s="74" t="s">
        <v>1691</v>
      </c>
      <c r="D59" s="75">
        <v>1100</v>
      </c>
      <c r="E59" s="73" t="s">
        <v>18</v>
      </c>
      <c r="F59" s="75">
        <v>130</v>
      </c>
      <c r="G59" s="75">
        <f>F59+Q59+T59+W59</f>
        <v>191.5</v>
      </c>
      <c r="H59" s="27">
        <v>44323</v>
      </c>
      <c r="I59" s="73" t="s">
        <v>3672</v>
      </c>
      <c r="J59" s="73" t="s">
        <v>3671</v>
      </c>
      <c r="K59" s="73" t="s">
        <v>2048</v>
      </c>
      <c r="L59" s="73" t="s">
        <v>2633</v>
      </c>
      <c r="M59" s="73">
        <v>2016</v>
      </c>
      <c r="O59" s="73" t="s">
        <v>3670</v>
      </c>
      <c r="P59" s="77" t="s">
        <v>7</v>
      </c>
      <c r="Q59" s="77">
        <v>44</v>
      </c>
      <c r="R59" s="77" t="s">
        <v>3669</v>
      </c>
      <c r="S59" s="77" t="s">
        <v>5</v>
      </c>
      <c r="T59" s="77">
        <v>15</v>
      </c>
      <c r="U59" s="77" t="s">
        <v>3668</v>
      </c>
      <c r="V59" s="77" t="s">
        <v>4</v>
      </c>
      <c r="W59" s="77">
        <v>2.5</v>
      </c>
      <c r="X59" s="77" t="s">
        <v>3667</v>
      </c>
      <c r="Y59" s="77" t="s">
        <v>278</v>
      </c>
      <c r="Z59" s="77" t="s">
        <v>1</v>
      </c>
      <c r="AA59" s="77" t="s">
        <v>3666</v>
      </c>
      <c r="AB59" s="281" t="s">
        <v>6653</v>
      </c>
      <c r="AD59" s="281" t="s">
        <v>2907</v>
      </c>
      <c r="AE59" s="25" t="s">
        <v>5053</v>
      </c>
      <c r="AF59" s="63">
        <v>0.26639200000000002</v>
      </c>
      <c r="AG59" s="69">
        <v>7.9166666666666663E-2</v>
      </c>
    </row>
    <row r="60" spans="1:34" x14ac:dyDescent="0.2">
      <c r="B60" s="73" t="s">
        <v>403</v>
      </c>
      <c r="C60" s="74" t="s">
        <v>1691</v>
      </c>
      <c r="D60" s="75">
        <v>1000</v>
      </c>
      <c r="E60" s="73" t="s">
        <v>18</v>
      </c>
      <c r="F60" s="75">
        <v>90</v>
      </c>
      <c r="G60" s="75">
        <f>F60+Q60+T60+W60+Z60</f>
        <v>156.6</v>
      </c>
      <c r="H60" s="78">
        <v>45090</v>
      </c>
      <c r="I60" s="281" t="s">
        <v>2306</v>
      </c>
      <c r="J60" s="73" t="s">
        <v>3595</v>
      </c>
      <c r="K60" s="73" t="s">
        <v>2048</v>
      </c>
      <c r="L60" s="73" t="s">
        <v>2305</v>
      </c>
      <c r="M60" s="73">
        <v>2017</v>
      </c>
      <c r="O60" s="73" t="s">
        <v>3594</v>
      </c>
      <c r="P60" s="77" t="s">
        <v>7</v>
      </c>
      <c r="Q60" s="77">
        <v>50</v>
      </c>
      <c r="R60" s="77" t="s">
        <v>3593</v>
      </c>
      <c r="S60" s="77" t="s">
        <v>5</v>
      </c>
      <c r="T60" s="77">
        <v>12.5</v>
      </c>
      <c r="U60" s="77" t="s">
        <v>3592</v>
      </c>
      <c r="V60" s="77" t="s">
        <v>4</v>
      </c>
      <c r="W60" s="77">
        <v>3.1</v>
      </c>
      <c r="X60" s="77" t="s">
        <v>3591</v>
      </c>
      <c r="Y60" s="77" t="s">
        <v>278</v>
      </c>
      <c r="Z60" s="77">
        <v>1</v>
      </c>
      <c r="AA60" s="77" t="s">
        <v>3590</v>
      </c>
      <c r="AB60" s="281" t="s">
        <v>6652</v>
      </c>
      <c r="AD60" s="281" t="s">
        <v>2097</v>
      </c>
      <c r="AE60" s="25" t="s">
        <v>5065</v>
      </c>
      <c r="AF60" s="63">
        <v>3.3330000000000002</v>
      </c>
      <c r="AG60" s="69">
        <v>0.1361111111111111</v>
      </c>
    </row>
    <row r="61" spans="1:34" x14ac:dyDescent="0.2">
      <c r="B61" s="73" t="s">
        <v>936</v>
      </c>
      <c r="C61" s="74" t="s">
        <v>1691</v>
      </c>
      <c r="D61" s="75">
        <v>1000</v>
      </c>
      <c r="E61" s="73" t="s">
        <v>4</v>
      </c>
      <c r="F61" s="75">
        <v>75</v>
      </c>
      <c r="G61" s="75">
        <f>F61+Q61</f>
        <v>175</v>
      </c>
      <c r="H61" s="78">
        <v>45239</v>
      </c>
      <c r="I61" s="73" t="s">
        <v>3781</v>
      </c>
      <c r="J61" s="73" t="s">
        <v>3780</v>
      </c>
      <c r="K61" s="73" t="s">
        <v>2311</v>
      </c>
      <c r="L61" s="73" t="s">
        <v>2701</v>
      </c>
      <c r="M61" s="73">
        <v>2019</v>
      </c>
      <c r="N61" s="281" t="s">
        <v>7962</v>
      </c>
      <c r="O61" s="281" t="s">
        <v>7965</v>
      </c>
      <c r="P61" s="289" t="s">
        <v>5</v>
      </c>
      <c r="Q61" s="77">
        <v>100</v>
      </c>
      <c r="R61" s="73" t="s">
        <v>3779</v>
      </c>
      <c r="S61" s="77" t="s">
        <v>1</v>
      </c>
      <c r="T61" s="77" t="s">
        <v>1</v>
      </c>
      <c r="U61" s="77" t="s">
        <v>1</v>
      </c>
      <c r="V61" s="77" t="s">
        <v>1</v>
      </c>
      <c r="W61" s="77" t="s">
        <v>1</v>
      </c>
      <c r="X61" s="77" t="s">
        <v>1</v>
      </c>
      <c r="Y61" s="77" t="s">
        <v>1</v>
      </c>
      <c r="Z61" s="77" t="s">
        <v>1</v>
      </c>
      <c r="AA61" s="77" t="s">
        <v>1</v>
      </c>
      <c r="AB61" s="173" t="s">
        <v>6652</v>
      </c>
      <c r="AD61" s="173" t="s">
        <v>2097</v>
      </c>
      <c r="AE61" s="25" t="s">
        <v>4356</v>
      </c>
      <c r="AF61" s="64">
        <v>2.9129999999999998</v>
      </c>
      <c r="AG61" s="62">
        <v>8.1944444444444445E-2</v>
      </c>
    </row>
    <row r="62" spans="1:34" x14ac:dyDescent="0.2">
      <c r="B62" s="73" t="s">
        <v>3650</v>
      </c>
      <c r="C62" s="74" t="s">
        <v>1691</v>
      </c>
      <c r="D62" s="75">
        <v>1000</v>
      </c>
      <c r="E62" s="73" t="s">
        <v>3649</v>
      </c>
      <c r="F62" s="75">
        <v>0</v>
      </c>
      <c r="G62" s="75">
        <v>0</v>
      </c>
      <c r="H62" s="76" t="s">
        <v>1</v>
      </c>
      <c r="I62" s="73" t="s">
        <v>3648</v>
      </c>
      <c r="J62" s="73" t="s">
        <v>3647</v>
      </c>
      <c r="K62" s="73" t="s">
        <v>2311</v>
      </c>
      <c r="L62" s="73" t="s">
        <v>2701</v>
      </c>
      <c r="M62" s="79">
        <v>44754</v>
      </c>
      <c r="N62" s="73" t="s">
        <v>3646</v>
      </c>
      <c r="O62" s="73" t="s">
        <v>1</v>
      </c>
      <c r="P62" s="77" t="s">
        <v>1</v>
      </c>
      <c r="Q62" s="77" t="s">
        <v>1</v>
      </c>
      <c r="R62" s="77" t="s">
        <v>1</v>
      </c>
      <c r="S62" s="77" t="s">
        <v>1</v>
      </c>
      <c r="T62" s="77" t="s">
        <v>1</v>
      </c>
      <c r="U62" s="77" t="s">
        <v>1</v>
      </c>
      <c r="V62" s="77" t="s">
        <v>1</v>
      </c>
      <c r="W62" s="77" t="s">
        <v>1</v>
      </c>
      <c r="X62" s="77" t="s">
        <v>1</v>
      </c>
      <c r="Y62" s="77" t="s">
        <v>1</v>
      </c>
      <c r="Z62" s="77" t="s">
        <v>1</v>
      </c>
      <c r="AA62" s="77" t="s">
        <v>1</v>
      </c>
      <c r="AB62" s="281" t="s">
        <v>6627</v>
      </c>
      <c r="AC62" s="281" t="s">
        <v>6630</v>
      </c>
      <c r="AD62" s="281" t="s">
        <v>2775</v>
      </c>
      <c r="AE62" s="25" t="s">
        <v>5056</v>
      </c>
      <c r="AF62" s="63">
        <v>25.69</v>
      </c>
      <c r="AG62" s="69">
        <v>0.28194444444444444</v>
      </c>
    </row>
    <row r="63" spans="1:34" x14ac:dyDescent="0.2">
      <c r="B63" s="73" t="s">
        <v>949</v>
      </c>
      <c r="C63" s="74" t="s">
        <v>1691</v>
      </c>
      <c r="D63" s="75">
        <v>1000</v>
      </c>
      <c r="E63" s="73" t="s">
        <v>7</v>
      </c>
      <c r="F63" s="75">
        <v>350</v>
      </c>
      <c r="G63" s="75">
        <f>F63+Q63</f>
        <v>415</v>
      </c>
      <c r="H63" s="78">
        <v>44999</v>
      </c>
      <c r="I63" s="73" t="s">
        <v>1</v>
      </c>
      <c r="J63" s="73" t="s">
        <v>3654</v>
      </c>
      <c r="K63" s="34" t="s">
        <v>2048</v>
      </c>
      <c r="L63" s="34" t="s">
        <v>2736</v>
      </c>
      <c r="M63" s="73">
        <v>2022</v>
      </c>
      <c r="N63" s="73" t="s">
        <v>3653</v>
      </c>
      <c r="O63" s="73" t="s">
        <v>3652</v>
      </c>
      <c r="P63" s="77" t="s">
        <v>5</v>
      </c>
      <c r="Q63" s="77">
        <v>65</v>
      </c>
      <c r="R63" s="77" t="s">
        <v>3651</v>
      </c>
      <c r="S63" s="77" t="s">
        <v>1</v>
      </c>
      <c r="T63" s="77" t="s">
        <v>1</v>
      </c>
      <c r="U63" s="77" t="s">
        <v>1</v>
      </c>
      <c r="V63" s="77" t="s">
        <v>1</v>
      </c>
      <c r="W63" s="77" t="s">
        <v>1</v>
      </c>
      <c r="X63" s="77" t="s">
        <v>1</v>
      </c>
      <c r="Y63" s="77" t="s">
        <v>1</v>
      </c>
      <c r="Z63" s="77" t="s">
        <v>1</v>
      </c>
      <c r="AA63" s="77" t="s">
        <v>1</v>
      </c>
      <c r="AB63" s="281" t="s">
        <v>6627</v>
      </c>
      <c r="AC63" s="281" t="s">
        <v>6630</v>
      </c>
      <c r="AD63" s="281" t="s">
        <v>2365</v>
      </c>
      <c r="AE63" s="25" t="s">
        <v>5055</v>
      </c>
      <c r="AF63" s="63">
        <v>0.10972999999999999</v>
      </c>
      <c r="AG63" s="69">
        <v>4.8611111111111112E-2</v>
      </c>
    </row>
    <row r="64" spans="1:34" x14ac:dyDescent="0.2">
      <c r="B64" s="73" t="s">
        <v>832</v>
      </c>
      <c r="C64" s="74" t="s">
        <v>1691</v>
      </c>
      <c r="D64" s="75">
        <v>1000</v>
      </c>
      <c r="E64" s="73" t="s">
        <v>18</v>
      </c>
      <c r="F64" s="75">
        <v>99</v>
      </c>
      <c r="G64" s="75">
        <f>F64+Q64+T64+W64</f>
        <v>259</v>
      </c>
      <c r="H64" s="78">
        <v>44796</v>
      </c>
      <c r="I64" s="73" t="s">
        <v>2853</v>
      </c>
      <c r="J64" s="73" t="s">
        <v>3601</v>
      </c>
      <c r="K64" s="73" t="s">
        <v>2572</v>
      </c>
      <c r="L64" s="73" t="s">
        <v>2059</v>
      </c>
      <c r="M64" s="73">
        <v>2019</v>
      </c>
      <c r="N64" s="73" t="s">
        <v>3600</v>
      </c>
      <c r="O64" s="73" t="s">
        <v>3599</v>
      </c>
      <c r="P64" s="77" t="s">
        <v>1116</v>
      </c>
      <c r="Q64" s="77">
        <v>100</v>
      </c>
      <c r="R64" s="77" t="s">
        <v>3598</v>
      </c>
      <c r="S64" s="77" t="s">
        <v>7</v>
      </c>
      <c r="T64" s="77">
        <v>40</v>
      </c>
      <c r="U64" s="77" t="s">
        <v>3597</v>
      </c>
      <c r="V64" s="77" t="s">
        <v>5</v>
      </c>
      <c r="W64" s="77">
        <v>20</v>
      </c>
      <c r="X64" s="77" t="s">
        <v>3596</v>
      </c>
      <c r="Y64" s="77" t="s">
        <v>1</v>
      </c>
      <c r="Z64" s="77" t="s">
        <v>1</v>
      </c>
      <c r="AA64" s="77" t="s">
        <v>1</v>
      </c>
      <c r="AB64" s="281" t="s">
        <v>6627</v>
      </c>
      <c r="AC64" s="281" t="s">
        <v>6630</v>
      </c>
      <c r="AD64" s="281" t="s">
        <v>2365</v>
      </c>
      <c r="AE64" s="25" t="s">
        <v>5063</v>
      </c>
      <c r="AF64" s="63">
        <v>9.9955000000000002E-2</v>
      </c>
      <c r="AG64" s="69">
        <v>5.5555555555555552E-2</v>
      </c>
    </row>
    <row r="65" spans="1:34" x14ac:dyDescent="0.2">
      <c r="B65" s="73" t="s">
        <v>1063</v>
      </c>
      <c r="C65" s="74" t="s">
        <v>1691</v>
      </c>
      <c r="D65" s="75">
        <v>1000</v>
      </c>
      <c r="E65" s="73" t="s">
        <v>7</v>
      </c>
      <c r="F65" s="75">
        <v>100</v>
      </c>
      <c r="G65" s="75">
        <f>F65+Q65</f>
        <v>165</v>
      </c>
      <c r="H65" s="78">
        <v>45106</v>
      </c>
      <c r="J65" s="73" t="s">
        <v>3582</v>
      </c>
      <c r="K65" s="73" t="s">
        <v>2048</v>
      </c>
      <c r="L65" s="73" t="s">
        <v>2701</v>
      </c>
      <c r="M65" s="73">
        <v>2022</v>
      </c>
      <c r="O65" s="73" t="s">
        <v>3581</v>
      </c>
      <c r="P65" s="77" t="s">
        <v>5</v>
      </c>
      <c r="Q65" s="77">
        <v>65</v>
      </c>
      <c r="R65" s="281" t="s">
        <v>7984</v>
      </c>
      <c r="S65" s="77" t="s">
        <v>1</v>
      </c>
      <c r="T65" s="77" t="s">
        <v>1</v>
      </c>
      <c r="U65" s="77" t="s">
        <v>1</v>
      </c>
      <c r="V65" s="77" t="s">
        <v>1</v>
      </c>
      <c r="W65" s="77" t="s">
        <v>1</v>
      </c>
      <c r="X65" s="77" t="s">
        <v>1</v>
      </c>
      <c r="Y65" s="77" t="s">
        <v>1</v>
      </c>
      <c r="Z65" s="77" t="s">
        <v>1</v>
      </c>
      <c r="AA65" s="77" t="s">
        <v>1</v>
      </c>
      <c r="AB65" s="281" t="s">
        <v>6627</v>
      </c>
      <c r="AC65" s="281" t="s">
        <v>6630</v>
      </c>
      <c r="AD65" s="281" t="s">
        <v>2365</v>
      </c>
      <c r="AE65" s="25" t="s">
        <v>5067</v>
      </c>
      <c r="AF65" s="63">
        <v>9.4228999999999993E-2</v>
      </c>
      <c r="AG65" s="69">
        <v>0.14305555555555557</v>
      </c>
    </row>
    <row r="66" spans="1:34" x14ac:dyDescent="0.2">
      <c r="B66" s="73" t="s">
        <v>520</v>
      </c>
      <c r="C66" s="74" t="s">
        <v>1691</v>
      </c>
      <c r="D66" s="75">
        <v>1000</v>
      </c>
      <c r="E66" s="73" t="s">
        <v>8</v>
      </c>
      <c r="F66" s="75">
        <v>100</v>
      </c>
      <c r="G66" s="75">
        <f>F66+Q66+T66+W66+Z66</f>
        <v>200</v>
      </c>
      <c r="H66" s="78">
        <v>44419</v>
      </c>
      <c r="I66" s="73" t="s">
        <v>3622</v>
      </c>
      <c r="J66" s="73" t="s">
        <v>3621</v>
      </c>
      <c r="K66" s="73" t="s">
        <v>2048</v>
      </c>
      <c r="L66" s="73" t="s">
        <v>2258</v>
      </c>
      <c r="M66" s="73">
        <v>2016</v>
      </c>
      <c r="O66" s="73" t="s">
        <v>3620</v>
      </c>
      <c r="P66" s="77" t="s">
        <v>18</v>
      </c>
      <c r="Q66" s="77">
        <v>60</v>
      </c>
      <c r="R66" s="77" t="s">
        <v>3619</v>
      </c>
      <c r="S66" s="77" t="s">
        <v>7</v>
      </c>
      <c r="T66" s="77">
        <v>30</v>
      </c>
      <c r="U66" s="77" t="s">
        <v>3618</v>
      </c>
      <c r="V66" s="77" t="s">
        <v>5</v>
      </c>
      <c r="W66" s="77">
        <v>7</v>
      </c>
      <c r="X66" s="77" t="s">
        <v>3617</v>
      </c>
      <c r="Y66" s="77" t="s">
        <v>4</v>
      </c>
      <c r="Z66" s="77">
        <v>3</v>
      </c>
      <c r="AA66" s="77" t="s">
        <v>3616</v>
      </c>
      <c r="AB66" s="281" t="s">
        <v>6627</v>
      </c>
      <c r="AC66" s="281" t="s">
        <v>6630</v>
      </c>
      <c r="AD66" s="281" t="s">
        <v>2365</v>
      </c>
      <c r="AE66" s="25" t="s">
        <v>5061</v>
      </c>
      <c r="AF66" s="63">
        <v>8.3721000000000004E-2</v>
      </c>
      <c r="AG66" s="69">
        <v>0.17083333333333331</v>
      </c>
    </row>
    <row r="67" spans="1:34" x14ac:dyDescent="0.2">
      <c r="B67" s="73" t="s">
        <v>1043</v>
      </c>
      <c r="C67" s="74" t="s">
        <v>1691</v>
      </c>
      <c r="D67" s="75">
        <v>1000</v>
      </c>
      <c r="E67" s="73" t="s">
        <v>18</v>
      </c>
      <c r="F67" s="75">
        <v>100</v>
      </c>
      <c r="G67" s="75">
        <f>F67+Q67+T67</f>
        <v>155</v>
      </c>
      <c r="H67" s="78">
        <v>44699</v>
      </c>
      <c r="I67" s="73" t="s">
        <v>3628</v>
      </c>
      <c r="J67" s="73" t="s">
        <v>3627</v>
      </c>
      <c r="K67" s="73" t="s">
        <v>2048</v>
      </c>
      <c r="L67" s="73" t="s">
        <v>2233</v>
      </c>
      <c r="M67" s="73">
        <v>2019</v>
      </c>
      <c r="N67" s="73" t="s">
        <v>3626</v>
      </c>
      <c r="O67" s="73" t="s">
        <v>3625</v>
      </c>
      <c r="P67" s="77" t="s">
        <v>7</v>
      </c>
      <c r="Q67" s="77">
        <v>40</v>
      </c>
      <c r="R67" s="77" t="s">
        <v>3624</v>
      </c>
      <c r="S67" s="77" t="s">
        <v>5</v>
      </c>
      <c r="T67" s="77">
        <v>15</v>
      </c>
      <c r="U67" s="77" t="s">
        <v>3623</v>
      </c>
      <c r="V67" s="77" t="s">
        <v>1</v>
      </c>
      <c r="W67" s="77" t="s">
        <v>1</v>
      </c>
      <c r="X67" s="77" t="s">
        <v>1</v>
      </c>
      <c r="Y67" s="77" t="s">
        <v>1</v>
      </c>
      <c r="Z67" s="77" t="s">
        <v>1</v>
      </c>
      <c r="AA67" s="77" t="s">
        <v>1</v>
      </c>
      <c r="AB67" s="281" t="s">
        <v>6627</v>
      </c>
      <c r="AC67" s="281" t="s">
        <v>6630</v>
      </c>
      <c r="AD67" s="281" t="s">
        <v>6637</v>
      </c>
      <c r="AE67" s="25" t="s">
        <v>5060</v>
      </c>
      <c r="AF67" s="63">
        <v>3.1140999999999999E-2</v>
      </c>
      <c r="AG67" s="69">
        <v>7.6388888888888886E-3</v>
      </c>
    </row>
    <row r="68" spans="1:34" x14ac:dyDescent="0.2">
      <c r="B68" s="73" t="s">
        <v>877</v>
      </c>
      <c r="C68" s="74" t="s">
        <v>1691</v>
      </c>
      <c r="D68" s="75">
        <v>1000</v>
      </c>
      <c r="E68" s="73" t="s">
        <v>18</v>
      </c>
      <c r="F68" s="75">
        <v>85</v>
      </c>
      <c r="G68" s="75">
        <f>F68+Q68+T68+W68</f>
        <v>135.30000000000001</v>
      </c>
      <c r="H68" s="78">
        <v>44417</v>
      </c>
      <c r="I68" s="73" t="s">
        <v>3589</v>
      </c>
      <c r="J68" s="73" t="s">
        <v>3588</v>
      </c>
      <c r="K68" s="73" t="s">
        <v>2048</v>
      </c>
      <c r="L68" s="73" t="s">
        <v>2059</v>
      </c>
      <c r="M68" s="73">
        <v>2019</v>
      </c>
      <c r="N68" s="73" t="s">
        <v>3587</v>
      </c>
      <c r="O68" s="73" t="s">
        <v>3586</v>
      </c>
      <c r="P68" s="77" t="s">
        <v>7</v>
      </c>
      <c r="Q68" s="77">
        <v>35</v>
      </c>
      <c r="R68" s="77" t="s">
        <v>3585</v>
      </c>
      <c r="S68" s="77" t="s">
        <v>5</v>
      </c>
      <c r="T68" s="77">
        <v>12</v>
      </c>
      <c r="U68" s="77" t="s">
        <v>3584</v>
      </c>
      <c r="V68" s="77" t="s">
        <v>4</v>
      </c>
      <c r="W68" s="77">
        <v>3.3</v>
      </c>
      <c r="X68" s="77" t="s">
        <v>3583</v>
      </c>
      <c r="Y68" s="77" t="s">
        <v>1</v>
      </c>
      <c r="Z68" s="77" t="s">
        <v>1</v>
      </c>
      <c r="AA68" s="77" t="s">
        <v>1</v>
      </c>
      <c r="AB68" s="281" t="s">
        <v>6627</v>
      </c>
      <c r="AC68" s="281" t="s">
        <v>6630</v>
      </c>
      <c r="AD68" s="281" t="s">
        <v>6647</v>
      </c>
      <c r="AE68" s="25" t="s">
        <v>5066</v>
      </c>
      <c r="AF68" s="63">
        <v>2.9928E-2</v>
      </c>
      <c r="AG68" s="69">
        <v>9.5833333333333326E-2</v>
      </c>
    </row>
    <row r="69" spans="1:34" x14ac:dyDescent="0.2">
      <c r="B69" s="73" t="s">
        <v>1005</v>
      </c>
      <c r="C69" s="74" t="s">
        <v>1691</v>
      </c>
      <c r="D69" s="75">
        <v>1000</v>
      </c>
      <c r="E69" s="73" t="s">
        <v>18</v>
      </c>
      <c r="F69" s="75">
        <v>100</v>
      </c>
      <c r="G69" s="75">
        <f>F69+Q69+T69+W69</f>
        <v>160</v>
      </c>
      <c r="H69" s="78">
        <v>44754</v>
      </c>
      <c r="I69" s="73" t="s">
        <v>3615</v>
      </c>
      <c r="J69" s="73" t="s">
        <v>3614</v>
      </c>
      <c r="K69" s="73" t="s">
        <v>2572</v>
      </c>
      <c r="L69" s="73" t="s">
        <v>2059</v>
      </c>
      <c r="M69" s="73">
        <v>2019</v>
      </c>
      <c r="N69" s="73" t="s">
        <v>3613</v>
      </c>
      <c r="O69" s="73" t="s">
        <v>3612</v>
      </c>
      <c r="P69" s="77" t="s">
        <v>7</v>
      </c>
      <c r="Q69" s="77">
        <v>35</v>
      </c>
      <c r="R69" s="77" t="s">
        <v>3611</v>
      </c>
      <c r="S69" s="77" t="s">
        <v>5</v>
      </c>
      <c r="T69" s="77">
        <v>20</v>
      </c>
      <c r="U69" s="77" t="s">
        <v>3610</v>
      </c>
      <c r="V69" s="77" t="s">
        <v>4</v>
      </c>
      <c r="W69" s="77">
        <v>5</v>
      </c>
      <c r="X69" s="77" t="s">
        <v>3609</v>
      </c>
      <c r="Y69" s="77" t="s">
        <v>1</v>
      </c>
      <c r="Z69" s="77" t="s">
        <v>1</v>
      </c>
      <c r="AA69" s="77" t="s">
        <v>1</v>
      </c>
      <c r="AB69" s="281" t="s">
        <v>6627</v>
      </c>
      <c r="AC69" s="281" t="s">
        <v>6630</v>
      </c>
      <c r="AD69" s="281" t="s">
        <v>2365</v>
      </c>
      <c r="AE69" s="25" t="s">
        <v>5062</v>
      </c>
      <c r="AF69" s="63">
        <v>2.9766999999999998E-2</v>
      </c>
      <c r="AG69" s="69">
        <v>0.32569444444444445</v>
      </c>
    </row>
    <row r="70" spans="1:34" x14ac:dyDescent="0.2">
      <c r="B70" s="73" t="s">
        <v>3645</v>
      </c>
      <c r="C70" s="74" t="s">
        <v>1691</v>
      </c>
      <c r="D70" s="75">
        <v>1000</v>
      </c>
      <c r="E70" s="73" t="s">
        <v>7</v>
      </c>
      <c r="F70" s="75">
        <v>300</v>
      </c>
      <c r="G70" s="75">
        <f>F70</f>
        <v>300</v>
      </c>
      <c r="H70" s="78">
        <v>44453</v>
      </c>
      <c r="I70" s="73" t="s">
        <v>3644</v>
      </c>
      <c r="J70" s="73" t="s">
        <v>3643</v>
      </c>
      <c r="K70" s="73" t="s">
        <v>2311</v>
      </c>
      <c r="L70" s="73" t="s">
        <v>3494</v>
      </c>
      <c r="M70" s="79">
        <v>43817</v>
      </c>
      <c r="N70" s="73" t="s">
        <v>3494</v>
      </c>
      <c r="O70" s="73" t="s">
        <v>3642</v>
      </c>
      <c r="P70" s="77" t="s">
        <v>1</v>
      </c>
      <c r="Q70" s="77" t="s">
        <v>1</v>
      </c>
      <c r="R70" s="77" t="s">
        <v>1</v>
      </c>
      <c r="S70" s="77" t="s">
        <v>1</v>
      </c>
      <c r="T70" s="77" t="s">
        <v>1</v>
      </c>
      <c r="U70" s="77" t="s">
        <v>1</v>
      </c>
      <c r="V70" s="77" t="s">
        <v>1</v>
      </c>
      <c r="W70" s="77" t="s">
        <v>1</v>
      </c>
      <c r="X70" s="77" t="s">
        <v>1</v>
      </c>
      <c r="Y70" s="77" t="s">
        <v>1</v>
      </c>
      <c r="Z70" s="77" t="s">
        <v>1</v>
      </c>
      <c r="AA70" s="77" t="s">
        <v>1</v>
      </c>
      <c r="AB70" s="281" t="s">
        <v>6628</v>
      </c>
      <c r="AD70" s="281" t="s">
        <v>3602</v>
      </c>
      <c r="AE70" s="25" t="s">
        <v>5057</v>
      </c>
      <c r="AF70" s="63">
        <v>3.4018E-2</v>
      </c>
      <c r="AG70" s="69">
        <v>0.75416666666666676</v>
      </c>
    </row>
    <row r="71" spans="1:34" x14ac:dyDescent="0.2">
      <c r="B71" s="73" t="s">
        <v>5058</v>
      </c>
      <c r="C71" s="74" t="s">
        <v>1691</v>
      </c>
      <c r="D71" s="75">
        <v>1000</v>
      </c>
      <c r="E71" s="73" t="s">
        <v>18</v>
      </c>
      <c r="F71" s="75">
        <v>235</v>
      </c>
      <c r="G71" s="75">
        <f>F71+Q71+T71+W71+Z71</f>
        <v>352</v>
      </c>
      <c r="H71" s="78">
        <v>44384</v>
      </c>
      <c r="I71" s="73" t="s">
        <v>3634</v>
      </c>
      <c r="J71" s="73" t="s">
        <v>3633</v>
      </c>
      <c r="K71" s="73" t="s">
        <v>2048</v>
      </c>
      <c r="L71" s="73" t="s">
        <v>2047</v>
      </c>
      <c r="M71" s="73">
        <v>2015</v>
      </c>
      <c r="O71" s="73" t="s">
        <v>3632</v>
      </c>
      <c r="P71" s="77" t="s">
        <v>7</v>
      </c>
      <c r="Q71" s="77">
        <v>43</v>
      </c>
      <c r="R71" s="77" t="s">
        <v>3631</v>
      </c>
      <c r="S71" s="77" t="s">
        <v>5</v>
      </c>
      <c r="T71" s="77">
        <v>31</v>
      </c>
      <c r="U71" s="77" t="s">
        <v>493</v>
      </c>
      <c r="V71" s="77" t="s">
        <v>5</v>
      </c>
      <c r="W71" s="77">
        <v>15</v>
      </c>
      <c r="X71" s="77" t="s">
        <v>3630</v>
      </c>
      <c r="Y71" s="77" t="s">
        <v>5</v>
      </c>
      <c r="Z71" s="77">
        <v>28</v>
      </c>
      <c r="AA71" s="77" t="s">
        <v>3629</v>
      </c>
      <c r="AB71" s="281" t="s">
        <v>6787</v>
      </c>
      <c r="AD71" s="281" t="s">
        <v>2854</v>
      </c>
      <c r="AE71" s="25" t="s">
        <v>5059</v>
      </c>
      <c r="AF71" s="64">
        <v>0</v>
      </c>
      <c r="AG71" s="62">
        <v>2.9861111111111113E-2</v>
      </c>
    </row>
    <row r="72" spans="1:34" s="184" customFormat="1" x14ac:dyDescent="0.2">
      <c r="A72" s="73"/>
      <c r="B72" s="12" t="s">
        <v>3608</v>
      </c>
      <c r="C72" s="29" t="s">
        <v>1691</v>
      </c>
      <c r="D72" s="15">
        <v>1000</v>
      </c>
      <c r="E72" s="12" t="s">
        <v>7</v>
      </c>
      <c r="F72" s="15">
        <v>100</v>
      </c>
      <c r="G72" s="75">
        <f>F72+Q72</f>
        <v>130</v>
      </c>
      <c r="H72" s="14">
        <v>44565</v>
      </c>
      <c r="I72" s="12" t="s">
        <v>3607</v>
      </c>
      <c r="J72" s="12" t="s">
        <v>3606</v>
      </c>
      <c r="K72" s="12" t="s">
        <v>2311</v>
      </c>
      <c r="L72" s="12" t="s">
        <v>3605</v>
      </c>
      <c r="M72" s="79">
        <v>43466</v>
      </c>
      <c r="N72" s="73" t="s">
        <v>3494</v>
      </c>
      <c r="O72" s="34" t="s">
        <v>3604</v>
      </c>
      <c r="P72" s="77" t="s">
        <v>5</v>
      </c>
      <c r="Q72" s="77">
        <v>30</v>
      </c>
      <c r="R72" s="77" t="s">
        <v>3603</v>
      </c>
      <c r="S72" s="77" t="s">
        <v>1</v>
      </c>
      <c r="T72" s="77" t="s">
        <v>1</v>
      </c>
      <c r="U72" s="77" t="s">
        <v>1</v>
      </c>
      <c r="V72" s="77" t="s">
        <v>1</v>
      </c>
      <c r="W72" s="77" t="s">
        <v>1</v>
      </c>
      <c r="X72" s="77" t="s">
        <v>1</v>
      </c>
      <c r="Y72" s="77" t="s">
        <v>1</v>
      </c>
      <c r="Z72" s="77" t="s">
        <v>1</v>
      </c>
      <c r="AA72" s="77" t="s">
        <v>1</v>
      </c>
      <c r="AB72" s="281" t="s">
        <v>6628</v>
      </c>
      <c r="AC72" s="73"/>
      <c r="AD72" s="281" t="s">
        <v>3602</v>
      </c>
      <c r="AE72" s="73"/>
      <c r="AF72" s="63"/>
      <c r="AG72" s="58"/>
      <c r="AH72" s="73"/>
    </row>
    <row r="73" spans="1:34" x14ac:dyDescent="0.2">
      <c r="B73" s="73" t="s">
        <v>64</v>
      </c>
      <c r="C73" s="74" t="s">
        <v>1691</v>
      </c>
      <c r="D73" s="75">
        <v>1000</v>
      </c>
      <c r="E73" s="73" t="s">
        <v>7</v>
      </c>
      <c r="F73" s="75">
        <f>1600/7</f>
        <v>228.57142857142858</v>
      </c>
      <c r="G73" s="75">
        <f>F73+Q73+T73</f>
        <v>350</v>
      </c>
      <c r="H73" s="78">
        <v>44550</v>
      </c>
      <c r="I73" s="73" t="s">
        <v>3641</v>
      </c>
      <c r="J73" s="73" t="s">
        <v>3640</v>
      </c>
      <c r="K73" s="73" t="s">
        <v>2103</v>
      </c>
      <c r="L73" s="73" t="s">
        <v>3639</v>
      </c>
      <c r="M73" s="73">
        <v>2018</v>
      </c>
      <c r="O73" s="73" t="s">
        <v>3638</v>
      </c>
      <c r="P73" s="77" t="s">
        <v>5</v>
      </c>
      <c r="Q73" s="82">
        <f>500/7</f>
        <v>71.428571428571431</v>
      </c>
      <c r="R73" s="77" t="s">
        <v>3637</v>
      </c>
      <c r="S73" s="77" t="s">
        <v>5</v>
      </c>
      <c r="T73" s="77">
        <v>50</v>
      </c>
      <c r="U73" s="77" t="s">
        <v>3636</v>
      </c>
      <c r="V73" s="77" t="s">
        <v>1</v>
      </c>
      <c r="W73" s="77" t="s">
        <v>1</v>
      </c>
      <c r="X73" s="77" t="s">
        <v>1</v>
      </c>
      <c r="Y73" s="77" t="s">
        <v>1</v>
      </c>
      <c r="Z73" s="77" t="s">
        <v>1</v>
      </c>
      <c r="AA73" s="77" t="s">
        <v>1</v>
      </c>
      <c r="AB73" s="281" t="s">
        <v>6628</v>
      </c>
      <c r="AD73" s="281" t="s">
        <v>3490</v>
      </c>
      <c r="AE73" s="25" t="s">
        <v>3635</v>
      </c>
      <c r="AF73" s="64">
        <v>1.5021E-2</v>
      </c>
      <c r="AG73" s="62">
        <v>0.25694444444444448</v>
      </c>
    </row>
    <row r="74" spans="1:34" s="184" customFormat="1" x14ac:dyDescent="0.2">
      <c r="A74" s="73"/>
      <c r="B74" s="73" t="s">
        <v>2079</v>
      </c>
      <c r="C74" s="74" t="s">
        <v>1691</v>
      </c>
      <c r="D74" s="75">
        <v>900</v>
      </c>
      <c r="E74" s="92" t="s">
        <v>7</v>
      </c>
      <c r="F74" s="75">
        <v>100</v>
      </c>
      <c r="G74" s="75">
        <f>F74</f>
        <v>100</v>
      </c>
      <c r="H74" s="78">
        <v>44937</v>
      </c>
      <c r="I74" s="92" t="s">
        <v>5912</v>
      </c>
      <c r="J74" s="92" t="s">
        <v>5913</v>
      </c>
      <c r="K74" s="73" t="s">
        <v>2048</v>
      </c>
      <c r="L74" s="73" t="s">
        <v>2078</v>
      </c>
      <c r="M74" s="73">
        <v>2009</v>
      </c>
      <c r="N74" s="73"/>
      <c r="O74" s="92" t="s">
        <v>5914</v>
      </c>
      <c r="P74" s="94" t="s">
        <v>5</v>
      </c>
      <c r="Q74" s="94" t="s">
        <v>1</v>
      </c>
      <c r="R74" s="94" t="s">
        <v>5915</v>
      </c>
      <c r="S74" s="94" t="s">
        <v>4</v>
      </c>
      <c r="T74" s="94" t="s">
        <v>1</v>
      </c>
      <c r="U74" s="94" t="s">
        <v>643</v>
      </c>
      <c r="V74" s="94" t="s">
        <v>5916</v>
      </c>
      <c r="W74" s="94" t="s">
        <v>1</v>
      </c>
      <c r="X74" s="94" t="s">
        <v>643</v>
      </c>
      <c r="Y74" s="94" t="s">
        <v>1</v>
      </c>
      <c r="Z74" s="94" t="s">
        <v>1</v>
      </c>
      <c r="AA74" s="94" t="s">
        <v>1</v>
      </c>
      <c r="AB74" s="73" t="s">
        <v>2077</v>
      </c>
      <c r="AC74" s="73"/>
      <c r="AD74" s="73"/>
      <c r="AE74" s="25" t="s">
        <v>2076</v>
      </c>
      <c r="AF74" s="64"/>
      <c r="AG74" s="59"/>
      <c r="AH74" s="73"/>
    </row>
    <row r="75" spans="1:34" x14ac:dyDescent="0.2">
      <c r="B75" s="73" t="s">
        <v>599</v>
      </c>
      <c r="C75" s="74" t="s">
        <v>1691</v>
      </c>
      <c r="D75" s="75">
        <v>800</v>
      </c>
      <c r="E75" s="73" t="s">
        <v>18</v>
      </c>
      <c r="F75" s="75">
        <v>125</v>
      </c>
      <c r="G75" s="75">
        <f>F75+Q75+T75+W75+Z75</f>
        <v>239</v>
      </c>
      <c r="H75" s="78">
        <v>44663</v>
      </c>
      <c r="I75" s="73" t="s">
        <v>3580</v>
      </c>
      <c r="J75" s="73" t="s">
        <v>3579</v>
      </c>
      <c r="K75" s="73" t="s">
        <v>2048</v>
      </c>
      <c r="L75" s="73" t="s">
        <v>3578</v>
      </c>
      <c r="M75" s="73">
        <v>2017</v>
      </c>
      <c r="O75" s="73" t="s">
        <v>3577</v>
      </c>
      <c r="P75" s="77" t="s">
        <v>7</v>
      </c>
      <c r="Q75" s="77">
        <v>54</v>
      </c>
      <c r="R75" s="77" t="s">
        <v>3576</v>
      </c>
      <c r="S75" s="77" t="s">
        <v>5</v>
      </c>
      <c r="T75" s="77">
        <v>26</v>
      </c>
      <c r="U75" s="77" t="s">
        <v>3575</v>
      </c>
      <c r="V75" s="77" t="s">
        <v>5</v>
      </c>
      <c r="W75" s="77">
        <v>8</v>
      </c>
      <c r="X75" s="77" t="s">
        <v>3574</v>
      </c>
      <c r="Y75" s="77" t="s">
        <v>5</v>
      </c>
      <c r="Z75" s="77">
        <v>26</v>
      </c>
      <c r="AA75" s="77" t="s">
        <v>3573</v>
      </c>
      <c r="AB75" s="281" t="s">
        <v>6627</v>
      </c>
      <c r="AC75" s="281" t="s">
        <v>6630</v>
      </c>
      <c r="AD75" s="281" t="s">
        <v>2365</v>
      </c>
      <c r="AE75" s="25" t="s">
        <v>5068</v>
      </c>
      <c r="AF75" s="63">
        <v>3.8109999999999998E-2</v>
      </c>
      <c r="AG75" s="69">
        <v>6.8749999999999992E-2</v>
      </c>
    </row>
    <row r="76" spans="1:34" x14ac:dyDescent="0.2">
      <c r="B76" s="73" t="s">
        <v>258</v>
      </c>
      <c r="C76" s="74" t="s">
        <v>1691</v>
      </c>
      <c r="D76" s="75">
        <v>800</v>
      </c>
      <c r="E76" s="73" t="s">
        <v>8</v>
      </c>
      <c r="F76" s="75">
        <v>111</v>
      </c>
      <c r="G76" s="75">
        <f>F76+Q76+T76+W76+Z76</f>
        <v>199.5</v>
      </c>
      <c r="H76" s="78">
        <v>44782</v>
      </c>
      <c r="I76" s="73" t="s">
        <v>3572</v>
      </c>
      <c r="J76" s="73" t="s">
        <v>3571</v>
      </c>
      <c r="K76" s="73" t="s">
        <v>2048</v>
      </c>
      <c r="L76" s="73" t="s">
        <v>2172</v>
      </c>
      <c r="M76" s="73">
        <v>2017</v>
      </c>
      <c r="O76" s="73" t="s">
        <v>3570</v>
      </c>
      <c r="P76" s="77" t="s">
        <v>18</v>
      </c>
      <c r="Q76" s="77">
        <v>55</v>
      </c>
      <c r="R76" s="77" t="s">
        <v>3569</v>
      </c>
      <c r="S76" s="77" t="s">
        <v>7</v>
      </c>
      <c r="T76" s="77">
        <v>16</v>
      </c>
      <c r="U76" s="77" t="s">
        <v>3568</v>
      </c>
      <c r="V76" s="77" t="s">
        <v>5</v>
      </c>
      <c r="W76" s="77">
        <v>14</v>
      </c>
      <c r="X76" s="77" t="s">
        <v>3567</v>
      </c>
      <c r="Y76" s="77" t="s">
        <v>4</v>
      </c>
      <c r="Z76" s="77">
        <v>3.5</v>
      </c>
      <c r="AA76" s="77" t="s">
        <v>3566</v>
      </c>
      <c r="AB76" s="281" t="s">
        <v>6627</v>
      </c>
      <c r="AC76" s="281" t="s">
        <v>6630</v>
      </c>
      <c r="AD76" s="281" t="s">
        <v>2365</v>
      </c>
      <c r="AE76" s="25" t="s">
        <v>3565</v>
      </c>
      <c r="AF76" s="64">
        <v>9.5690999999999998E-2</v>
      </c>
      <c r="AG76" s="62">
        <v>8.4722222222222213E-2</v>
      </c>
    </row>
    <row r="77" spans="1:34" s="184" customFormat="1" x14ac:dyDescent="0.2">
      <c r="A77" s="73"/>
      <c r="B77" s="73" t="s">
        <v>15</v>
      </c>
      <c r="C77" s="74" t="s">
        <v>1691</v>
      </c>
      <c r="D77" s="75">
        <v>794</v>
      </c>
      <c r="E77" s="73" t="s">
        <v>8</v>
      </c>
      <c r="F77" s="75">
        <v>220</v>
      </c>
      <c r="G77" s="75">
        <f>F77+Q77+T77+W77+Z77</f>
        <v>538</v>
      </c>
      <c r="H77" s="78">
        <v>44502</v>
      </c>
      <c r="I77" s="73" t="s">
        <v>3564</v>
      </c>
      <c r="J77" s="73" t="s">
        <v>3563</v>
      </c>
      <c r="K77" s="73" t="s">
        <v>2048</v>
      </c>
      <c r="L77" s="73" t="s">
        <v>2335</v>
      </c>
      <c r="M77" s="73">
        <v>2013</v>
      </c>
      <c r="N77" s="73"/>
      <c r="O77" s="73" t="s">
        <v>3562</v>
      </c>
      <c r="P77" s="77" t="s">
        <v>8</v>
      </c>
      <c r="Q77" s="77">
        <v>220</v>
      </c>
      <c r="R77" s="77" t="s">
        <v>3561</v>
      </c>
      <c r="S77" s="77" t="s">
        <v>18</v>
      </c>
      <c r="T77" s="77">
        <v>60</v>
      </c>
      <c r="U77" s="77" t="s">
        <v>3560</v>
      </c>
      <c r="V77" s="77" t="s">
        <v>7</v>
      </c>
      <c r="W77" s="77">
        <v>28</v>
      </c>
      <c r="X77" s="77" t="s">
        <v>3559</v>
      </c>
      <c r="Y77" s="77" t="s">
        <v>5</v>
      </c>
      <c r="Z77" s="77">
        <v>10</v>
      </c>
      <c r="AA77" s="77" t="s">
        <v>3558</v>
      </c>
      <c r="AB77" s="281" t="s">
        <v>6651</v>
      </c>
      <c r="AC77" s="73"/>
      <c r="AD77" s="281" t="s">
        <v>2148</v>
      </c>
      <c r="AE77" s="25" t="s">
        <v>3557</v>
      </c>
      <c r="AF77" s="64">
        <v>5.6721000000000001E-2</v>
      </c>
      <c r="AG77" s="62">
        <v>0.14722222222222223</v>
      </c>
      <c r="AH77" s="73"/>
    </row>
    <row r="78" spans="1:34" x14ac:dyDescent="0.2">
      <c r="B78" s="73" t="s">
        <v>2112</v>
      </c>
      <c r="C78" s="74" t="s">
        <v>1691</v>
      </c>
      <c r="D78" s="75">
        <v>790</v>
      </c>
      <c r="E78" s="73" t="s">
        <v>8</v>
      </c>
      <c r="F78" s="75">
        <v>110</v>
      </c>
      <c r="G78" s="75">
        <f>F78+Q78+T78+W78+Z78</f>
        <v>188.9</v>
      </c>
      <c r="H78" s="78">
        <v>44567</v>
      </c>
      <c r="I78" s="73" t="s">
        <v>5025</v>
      </c>
      <c r="J78" s="73" t="s">
        <v>5024</v>
      </c>
      <c r="K78" s="73" t="s">
        <v>2048</v>
      </c>
      <c r="L78" s="73" t="s">
        <v>2059</v>
      </c>
      <c r="M78" s="73">
        <v>2018</v>
      </c>
      <c r="O78" s="73" t="s">
        <v>5027</v>
      </c>
      <c r="P78" s="77" t="s">
        <v>18</v>
      </c>
      <c r="Q78" s="77">
        <v>40</v>
      </c>
      <c r="R78" s="77" t="s">
        <v>5045</v>
      </c>
      <c r="S78" s="77" t="s">
        <v>7</v>
      </c>
      <c r="T78" s="77">
        <v>25</v>
      </c>
      <c r="U78" s="77" t="s">
        <v>5046</v>
      </c>
      <c r="V78" s="77" t="s">
        <v>5</v>
      </c>
      <c r="W78" s="77">
        <v>10</v>
      </c>
      <c r="X78" s="77" t="s">
        <v>5047</v>
      </c>
      <c r="Y78" s="77" t="s">
        <v>4</v>
      </c>
      <c r="Z78" s="77">
        <v>3.9</v>
      </c>
      <c r="AA78" s="77" t="s">
        <v>5048</v>
      </c>
      <c r="AB78" s="281" t="s">
        <v>6627</v>
      </c>
      <c r="AC78" s="281" t="s">
        <v>6630</v>
      </c>
      <c r="AD78" s="281" t="s">
        <v>2365</v>
      </c>
      <c r="AE78" s="227" t="s">
        <v>2111</v>
      </c>
      <c r="AF78" s="228">
        <v>0.18307699999999999</v>
      </c>
      <c r="AG78" s="229">
        <v>0.33124999999999999</v>
      </c>
    </row>
    <row r="79" spans="1:34" x14ac:dyDescent="0.2">
      <c r="B79" s="73" t="s">
        <v>32</v>
      </c>
      <c r="C79" s="74" t="s">
        <v>1691</v>
      </c>
      <c r="D79" s="75">
        <v>770</v>
      </c>
      <c r="E79" s="73" t="s">
        <v>18</v>
      </c>
      <c r="F79" s="75">
        <v>230</v>
      </c>
      <c r="G79" s="75">
        <f>F79+Q79+T79</f>
        <v>293</v>
      </c>
      <c r="H79" s="78">
        <v>43634</v>
      </c>
      <c r="I79" s="73" t="s">
        <v>2691</v>
      </c>
      <c r="J79" s="73" t="s">
        <v>3556</v>
      </c>
      <c r="K79" s="73" t="s">
        <v>2048</v>
      </c>
      <c r="L79" s="73" t="s">
        <v>3223</v>
      </c>
      <c r="M79" s="73">
        <v>2016</v>
      </c>
      <c r="O79" s="73" t="s">
        <v>3555</v>
      </c>
      <c r="P79" s="77" t="s">
        <v>7</v>
      </c>
      <c r="Q79" s="77">
        <v>45</v>
      </c>
      <c r="R79" s="77" t="s">
        <v>3554</v>
      </c>
      <c r="S79" s="77" t="s">
        <v>5</v>
      </c>
      <c r="T79" s="77">
        <v>18</v>
      </c>
      <c r="U79" s="77" t="s">
        <v>3553</v>
      </c>
      <c r="V79" s="77" t="s">
        <v>4</v>
      </c>
      <c r="W79" s="77" t="s">
        <v>1</v>
      </c>
      <c r="X79" s="77" t="s">
        <v>3552</v>
      </c>
      <c r="Y79" s="77" t="s">
        <v>278</v>
      </c>
      <c r="Z79" s="77">
        <v>0.5</v>
      </c>
      <c r="AA79" s="83">
        <v>42430</v>
      </c>
      <c r="AB79" s="281" t="s">
        <v>6651</v>
      </c>
      <c r="AD79" s="281" t="s">
        <v>2148</v>
      </c>
      <c r="AE79" s="25" t="s">
        <v>3551</v>
      </c>
      <c r="AF79" s="64">
        <v>3.2729000000000001E-2</v>
      </c>
      <c r="AG79" s="62">
        <v>2.5694444444444447E-2</v>
      </c>
    </row>
    <row r="80" spans="1:34" x14ac:dyDescent="0.2">
      <c r="B80" s="73" t="s">
        <v>1064</v>
      </c>
      <c r="C80" s="74" t="s">
        <v>1691</v>
      </c>
      <c r="D80" s="75">
        <v>750</v>
      </c>
      <c r="E80" s="73" t="s">
        <v>18</v>
      </c>
      <c r="F80" s="75">
        <v>85</v>
      </c>
      <c r="G80" s="75">
        <f>F80+Q80+T80+W80</f>
        <v>131.9</v>
      </c>
      <c r="H80" s="78">
        <v>44501</v>
      </c>
      <c r="I80" s="73" t="s">
        <v>2880</v>
      </c>
      <c r="J80" s="73" t="s">
        <v>3545</v>
      </c>
      <c r="K80" s="73" t="s">
        <v>2572</v>
      </c>
      <c r="L80" s="73" t="s">
        <v>2059</v>
      </c>
      <c r="M80" s="79">
        <v>43670</v>
      </c>
      <c r="N80" s="73" t="s">
        <v>3544</v>
      </c>
      <c r="O80" s="73" t="s">
        <v>3543</v>
      </c>
      <c r="P80" s="77" t="s">
        <v>7</v>
      </c>
      <c r="Q80" s="77">
        <v>28</v>
      </c>
      <c r="R80" s="77" t="s">
        <v>3542</v>
      </c>
      <c r="S80" s="77" t="s">
        <v>5</v>
      </c>
      <c r="T80" s="77">
        <v>15</v>
      </c>
      <c r="U80" s="77" t="s">
        <v>3541</v>
      </c>
      <c r="V80" s="77" t="s">
        <v>4</v>
      </c>
      <c r="W80" s="77">
        <v>3.9</v>
      </c>
      <c r="X80" s="77" t="s">
        <v>3540</v>
      </c>
      <c r="Y80" s="77" t="s">
        <v>1</v>
      </c>
      <c r="Z80" s="77" t="s">
        <v>1</v>
      </c>
      <c r="AA80" s="77" t="s">
        <v>1</v>
      </c>
      <c r="AB80" s="281" t="s">
        <v>6627</v>
      </c>
      <c r="AC80" s="281" t="s">
        <v>6629</v>
      </c>
      <c r="AD80" s="281" t="s">
        <v>2903</v>
      </c>
      <c r="AE80" s="25" t="s">
        <v>5072</v>
      </c>
      <c r="AF80" s="63">
        <v>3.8234999999999998E-2</v>
      </c>
      <c r="AG80" s="69">
        <v>2.4305555555555556E-2</v>
      </c>
    </row>
    <row r="81" spans="1:34" x14ac:dyDescent="0.2">
      <c r="B81" s="73" t="s">
        <v>1086</v>
      </c>
      <c r="C81" s="74" t="s">
        <v>1691</v>
      </c>
      <c r="D81" s="75">
        <v>750</v>
      </c>
      <c r="E81" s="73" t="s">
        <v>7</v>
      </c>
      <c r="F81" s="75">
        <v>100</v>
      </c>
      <c r="G81" s="75">
        <f>F81+Q81+T81</f>
        <v>138</v>
      </c>
      <c r="H81" s="78">
        <v>45042</v>
      </c>
      <c r="I81" s="73" t="s">
        <v>3356</v>
      </c>
      <c r="J81" s="73" t="s">
        <v>3550</v>
      </c>
      <c r="K81" s="73" t="s">
        <v>2572</v>
      </c>
      <c r="L81" s="73" t="s">
        <v>3355</v>
      </c>
      <c r="M81" s="73">
        <v>2019</v>
      </c>
      <c r="N81" s="73" t="s">
        <v>3549</v>
      </c>
      <c r="O81" s="73" t="s">
        <v>3548</v>
      </c>
      <c r="P81" s="77" t="s">
        <v>5</v>
      </c>
      <c r="Q81" s="77">
        <v>28</v>
      </c>
      <c r="R81" s="77" t="s">
        <v>3547</v>
      </c>
      <c r="S81" s="77" t="s">
        <v>4</v>
      </c>
      <c r="T81" s="77">
        <v>10</v>
      </c>
      <c r="U81" s="77" t="s">
        <v>3546</v>
      </c>
      <c r="V81" s="77" t="s">
        <v>1</v>
      </c>
      <c r="W81" s="77" t="s">
        <v>1</v>
      </c>
      <c r="X81" s="77" t="s">
        <v>1</v>
      </c>
      <c r="Y81" s="77" t="s">
        <v>1</v>
      </c>
      <c r="Z81" s="77" t="s">
        <v>1</v>
      </c>
      <c r="AA81" s="77" t="s">
        <v>1</v>
      </c>
      <c r="AB81" s="281" t="s">
        <v>6627</v>
      </c>
      <c r="AC81" s="281" t="s">
        <v>6635</v>
      </c>
      <c r="AD81" s="281" t="s">
        <v>6635</v>
      </c>
      <c r="AE81" s="25" t="s">
        <v>5071</v>
      </c>
      <c r="AF81" s="63">
        <v>0.80319799999999997</v>
      </c>
      <c r="AG81" s="69">
        <v>0.17986111111111111</v>
      </c>
    </row>
    <row r="82" spans="1:34" x14ac:dyDescent="0.2">
      <c r="B82" s="73" t="s">
        <v>2121</v>
      </c>
      <c r="C82" s="74" t="s">
        <v>1691</v>
      </c>
      <c r="D82" s="75">
        <v>700</v>
      </c>
      <c r="E82" s="73" t="s">
        <v>18</v>
      </c>
      <c r="F82" s="75">
        <v>300</v>
      </c>
      <c r="G82" s="75">
        <f>F82+T82+W82</f>
        <v>362.6</v>
      </c>
      <c r="H82" s="78">
        <v>44300</v>
      </c>
      <c r="I82" s="73" t="s">
        <v>4854</v>
      </c>
      <c r="J82" s="73" t="s">
        <v>4852</v>
      </c>
      <c r="K82" s="73" t="s">
        <v>2048</v>
      </c>
      <c r="L82" s="73" t="s">
        <v>2103</v>
      </c>
      <c r="M82" s="73">
        <v>2016</v>
      </c>
      <c r="N82" s="73" t="s">
        <v>5073</v>
      </c>
      <c r="O82" s="73" t="s">
        <v>4855</v>
      </c>
      <c r="P82" s="77" t="s">
        <v>7</v>
      </c>
      <c r="Q82" s="77" t="s">
        <v>1</v>
      </c>
      <c r="R82" s="77" t="s">
        <v>4865</v>
      </c>
      <c r="S82" s="77" t="s">
        <v>5</v>
      </c>
      <c r="T82" s="77">
        <v>52.3</v>
      </c>
      <c r="U82" s="77" t="s">
        <v>4866</v>
      </c>
      <c r="V82" s="77" t="s">
        <v>4</v>
      </c>
      <c r="W82" s="77">
        <v>10.3</v>
      </c>
      <c r="X82" s="77" t="s">
        <v>4885</v>
      </c>
      <c r="Y82" s="77" t="s">
        <v>1</v>
      </c>
      <c r="Z82" s="77" t="s">
        <v>1</v>
      </c>
      <c r="AA82" s="77" t="s">
        <v>1</v>
      </c>
      <c r="AB82" s="281" t="s">
        <v>6627</v>
      </c>
      <c r="AC82" s="281" t="s">
        <v>6630</v>
      </c>
      <c r="AD82" s="281" t="s">
        <v>6638</v>
      </c>
      <c r="AE82" s="25" t="s">
        <v>2120</v>
      </c>
      <c r="AF82" s="64">
        <v>2.3448E-2</v>
      </c>
      <c r="AG82" s="62">
        <v>3.8194444444444441E-2</v>
      </c>
    </row>
    <row r="83" spans="1:34" x14ac:dyDescent="0.2">
      <c r="B83" s="73" t="s">
        <v>3539</v>
      </c>
      <c r="C83" s="74" t="s">
        <v>1691</v>
      </c>
      <c r="D83" s="75">
        <v>615</v>
      </c>
      <c r="E83" s="73" t="s">
        <v>8</v>
      </c>
      <c r="F83" s="75">
        <v>135</v>
      </c>
      <c r="G83" s="75">
        <f>F83+Q83+T83</f>
        <v>240</v>
      </c>
      <c r="H83" s="78">
        <v>44880</v>
      </c>
      <c r="I83" s="73" t="s">
        <v>3538</v>
      </c>
      <c r="J83" s="73" t="s">
        <v>3537</v>
      </c>
      <c r="K83" s="73" t="s">
        <v>2048</v>
      </c>
      <c r="L83" s="73" t="s">
        <v>2059</v>
      </c>
      <c r="M83" s="73">
        <v>2013</v>
      </c>
      <c r="O83" s="73" t="s">
        <v>3536</v>
      </c>
      <c r="P83" s="77" t="s">
        <v>18</v>
      </c>
      <c r="Q83" s="77">
        <v>73</v>
      </c>
      <c r="R83" s="77" t="s">
        <v>3535</v>
      </c>
      <c r="S83" s="77" t="s">
        <v>7</v>
      </c>
      <c r="T83" s="77">
        <v>32</v>
      </c>
      <c r="U83" s="77" t="s">
        <v>3534</v>
      </c>
      <c r="V83" s="77" t="s">
        <v>1</v>
      </c>
      <c r="W83" s="77" t="s">
        <v>1</v>
      </c>
      <c r="X83" s="77" t="s">
        <v>1</v>
      </c>
      <c r="Y83" s="77" t="s">
        <v>1</v>
      </c>
      <c r="Z83" s="77" t="s">
        <v>1</v>
      </c>
      <c r="AA83" s="77" t="s">
        <v>1</v>
      </c>
      <c r="AB83" s="281" t="s">
        <v>6627</v>
      </c>
      <c r="AC83" s="281" t="s">
        <v>6630</v>
      </c>
      <c r="AD83" s="281" t="s">
        <v>7971</v>
      </c>
      <c r="AE83" s="25" t="s">
        <v>3533</v>
      </c>
      <c r="AF83" s="64">
        <v>5.7549999999999997E-2</v>
      </c>
      <c r="AG83" s="62">
        <v>8.1944444444444445E-2</v>
      </c>
    </row>
    <row r="84" spans="1:34" x14ac:dyDescent="0.2">
      <c r="B84" s="73" t="s">
        <v>176</v>
      </c>
      <c r="C84" s="74" t="s">
        <v>1691</v>
      </c>
      <c r="D84" s="80">
        <v>600</v>
      </c>
      <c r="E84" s="73" t="s">
        <v>53</v>
      </c>
      <c r="F84" s="75">
        <v>475</v>
      </c>
      <c r="H84" s="78">
        <v>44278</v>
      </c>
      <c r="I84" s="73" t="s">
        <v>3827</v>
      </c>
      <c r="J84" s="73" t="s">
        <v>3826</v>
      </c>
      <c r="K84" s="73" t="s">
        <v>2048</v>
      </c>
      <c r="L84" s="73" t="s">
        <v>3825</v>
      </c>
      <c r="M84" s="73">
        <v>2009</v>
      </c>
      <c r="N84" s="213" t="s">
        <v>7160</v>
      </c>
      <c r="O84" s="73" t="s">
        <v>3824</v>
      </c>
      <c r="P84" s="77" t="s">
        <v>3823</v>
      </c>
      <c r="Q84" s="77">
        <v>392</v>
      </c>
      <c r="R84" s="77" t="s">
        <v>3822</v>
      </c>
      <c r="S84" s="77" t="s">
        <v>3821</v>
      </c>
      <c r="T84" s="77">
        <v>130</v>
      </c>
      <c r="U84" s="77" t="s">
        <v>3820</v>
      </c>
      <c r="V84" s="77" t="s">
        <v>18</v>
      </c>
      <c r="W84" s="77">
        <v>34</v>
      </c>
      <c r="X84" s="77" t="s">
        <v>3819</v>
      </c>
      <c r="Y84" s="77" t="s">
        <v>7</v>
      </c>
      <c r="Z84" s="77">
        <v>16.5</v>
      </c>
      <c r="AA84" s="77" t="s">
        <v>3818</v>
      </c>
      <c r="AB84" s="173" t="s">
        <v>6627</v>
      </c>
      <c r="AC84" s="173" t="s">
        <v>6635</v>
      </c>
      <c r="AD84" s="173" t="s">
        <v>6635</v>
      </c>
      <c r="AE84" s="25" t="s">
        <v>3817</v>
      </c>
      <c r="AF84" s="64">
        <v>8.6777999999999994E-2</v>
      </c>
      <c r="AG84" s="62">
        <v>0.11666666666666665</v>
      </c>
    </row>
    <row r="85" spans="1:34" x14ac:dyDescent="0.2">
      <c r="B85" s="73" t="s">
        <v>3525</v>
      </c>
      <c r="C85" s="74" t="s">
        <v>1691</v>
      </c>
      <c r="D85" s="75">
        <v>550</v>
      </c>
      <c r="E85" s="73" t="s">
        <v>18</v>
      </c>
      <c r="F85" s="75">
        <v>50</v>
      </c>
      <c r="G85" s="75">
        <f>F85+Q85+T85+W85</f>
        <v>100</v>
      </c>
      <c r="H85" s="78">
        <v>44861</v>
      </c>
      <c r="I85" s="73" t="s">
        <v>3524</v>
      </c>
      <c r="J85" s="73" t="s">
        <v>3523</v>
      </c>
      <c r="K85" s="73" t="s">
        <v>2311</v>
      </c>
      <c r="L85" s="73" t="s">
        <v>2305</v>
      </c>
      <c r="M85" s="73">
        <v>2017</v>
      </c>
      <c r="N85" s="73" t="s">
        <v>3522</v>
      </c>
      <c r="O85" s="73" t="s">
        <v>3521</v>
      </c>
      <c r="P85" s="77" t="s">
        <v>7</v>
      </c>
      <c r="Q85" s="77">
        <v>30</v>
      </c>
      <c r="R85" s="77" t="s">
        <v>3520</v>
      </c>
      <c r="S85" s="77" t="s">
        <v>5</v>
      </c>
      <c r="T85" s="77">
        <v>15</v>
      </c>
      <c r="U85" s="77" t="s">
        <v>3519</v>
      </c>
      <c r="V85" s="77" t="s">
        <v>4</v>
      </c>
      <c r="W85" s="77">
        <v>5</v>
      </c>
      <c r="X85" s="77" t="s">
        <v>1146</v>
      </c>
      <c r="Y85" s="77" t="s">
        <v>1</v>
      </c>
      <c r="Z85" s="77" t="s">
        <v>1</v>
      </c>
      <c r="AA85" s="77" t="s">
        <v>1</v>
      </c>
      <c r="AB85" s="281" t="s">
        <v>6627</v>
      </c>
      <c r="AC85" s="281" t="s">
        <v>6630</v>
      </c>
      <c r="AD85" s="281" t="s">
        <v>2365</v>
      </c>
      <c r="AE85" s="25" t="s">
        <v>5075</v>
      </c>
      <c r="AF85" s="63">
        <v>1.9610000000000001</v>
      </c>
      <c r="AG85" s="69">
        <v>0.1013888888888889</v>
      </c>
    </row>
    <row r="86" spans="1:34" x14ac:dyDescent="0.2">
      <c r="B86" s="73" t="s">
        <v>448</v>
      </c>
      <c r="C86" s="74" t="s">
        <v>1691</v>
      </c>
      <c r="D86" s="75">
        <v>500</v>
      </c>
      <c r="E86" s="73" t="s">
        <v>8</v>
      </c>
      <c r="F86" s="75">
        <v>90</v>
      </c>
      <c r="G86" s="75">
        <f>+F86+Q86+T86+W86</f>
        <v>164.5</v>
      </c>
      <c r="H86" s="78">
        <v>44776</v>
      </c>
      <c r="I86" s="73" t="s">
        <v>3501</v>
      </c>
      <c r="J86" s="73" t="s">
        <v>3500</v>
      </c>
      <c r="K86" s="73" t="s">
        <v>2048</v>
      </c>
      <c r="L86" s="73" t="s">
        <v>2092</v>
      </c>
      <c r="M86" s="73">
        <v>2017</v>
      </c>
      <c r="O86" s="73" t="s">
        <v>3499</v>
      </c>
      <c r="P86" s="77" t="s">
        <v>18</v>
      </c>
      <c r="Q86" s="77">
        <v>40</v>
      </c>
      <c r="R86" s="77" t="s">
        <v>3498</v>
      </c>
      <c r="S86" s="77" t="s">
        <v>7</v>
      </c>
      <c r="T86" s="77">
        <v>20</v>
      </c>
      <c r="U86" s="77" t="s">
        <v>3497</v>
      </c>
      <c r="V86" s="77" t="s">
        <v>7</v>
      </c>
      <c r="W86" s="77">
        <v>14.5</v>
      </c>
      <c r="X86" s="77" t="s">
        <v>1085</v>
      </c>
      <c r="Y86" s="77" t="s">
        <v>1</v>
      </c>
      <c r="Z86" s="77" t="s">
        <v>1</v>
      </c>
      <c r="AA86" s="77" t="s">
        <v>1</v>
      </c>
      <c r="AB86" s="281" t="s">
        <v>6627</v>
      </c>
      <c r="AC86" s="281" t="s">
        <v>6630</v>
      </c>
      <c r="AD86" s="281" t="s">
        <v>2365</v>
      </c>
      <c r="AE86" s="25" t="s">
        <v>5080</v>
      </c>
      <c r="AF86" s="63">
        <v>4.3948000000000001E-2</v>
      </c>
      <c r="AG86" s="69">
        <v>0.23333333333333331</v>
      </c>
    </row>
    <row r="87" spans="1:34" x14ac:dyDescent="0.2">
      <c r="B87" s="12" t="s">
        <v>1004</v>
      </c>
      <c r="C87" s="29" t="s">
        <v>1691</v>
      </c>
      <c r="D87" s="15">
        <v>500</v>
      </c>
      <c r="E87" s="12" t="s">
        <v>5</v>
      </c>
      <c r="F87" s="15">
        <v>26</v>
      </c>
      <c r="G87" s="75">
        <f>+F87+Q87</f>
        <v>29.1</v>
      </c>
      <c r="H87" s="14">
        <v>45013</v>
      </c>
      <c r="I87" s="12" t="s">
        <v>3315</v>
      </c>
      <c r="J87" s="12" t="s">
        <v>3359</v>
      </c>
      <c r="K87" s="32" t="s">
        <v>2311</v>
      </c>
      <c r="L87" s="32" t="s">
        <v>2768</v>
      </c>
      <c r="M87" s="12">
        <v>2022</v>
      </c>
      <c r="N87" s="12" t="s">
        <v>1900</v>
      </c>
      <c r="O87" s="12" t="s">
        <v>3358</v>
      </c>
      <c r="P87" s="24" t="s">
        <v>4</v>
      </c>
      <c r="Q87" s="24">
        <v>3.1</v>
      </c>
      <c r="R87" s="24" t="s">
        <v>3357</v>
      </c>
      <c r="S87" s="24" t="s">
        <v>1</v>
      </c>
      <c r="T87" s="24" t="s">
        <v>1</v>
      </c>
      <c r="U87" s="24" t="s">
        <v>1</v>
      </c>
      <c r="V87" s="24" t="s">
        <v>1</v>
      </c>
      <c r="W87" s="24" t="s">
        <v>1</v>
      </c>
      <c r="X87" s="24" t="s">
        <v>1</v>
      </c>
      <c r="Y87" s="24" t="s">
        <v>1</v>
      </c>
      <c r="Z87" s="24" t="s">
        <v>1</v>
      </c>
      <c r="AA87" s="24" t="s">
        <v>1</v>
      </c>
      <c r="AB87" s="12" t="s">
        <v>6627</v>
      </c>
      <c r="AC87" s="12" t="s">
        <v>6630</v>
      </c>
      <c r="AD87" s="12" t="s">
        <v>2365</v>
      </c>
      <c r="AE87" s="25" t="s">
        <v>5111</v>
      </c>
      <c r="AF87" s="63">
        <v>21.07</v>
      </c>
      <c r="AG87" s="69">
        <v>0.33333333333333331</v>
      </c>
    </row>
    <row r="88" spans="1:34" x14ac:dyDescent="0.2">
      <c r="B88" s="12" t="s">
        <v>3874</v>
      </c>
      <c r="C88" s="74" t="s">
        <v>1691</v>
      </c>
      <c r="D88" s="80">
        <v>500</v>
      </c>
      <c r="E88" s="73" t="s">
        <v>504</v>
      </c>
      <c r="F88" s="75">
        <v>250</v>
      </c>
      <c r="H88" s="78">
        <v>44376</v>
      </c>
      <c r="I88" s="73" t="s">
        <v>2880</v>
      </c>
      <c r="J88" s="73" t="s">
        <v>3873</v>
      </c>
      <c r="K88" s="73" t="s">
        <v>2048</v>
      </c>
      <c r="L88" s="73" t="s">
        <v>2059</v>
      </c>
      <c r="M88" s="73">
        <v>2012</v>
      </c>
      <c r="N88" s="213" t="s">
        <v>7154</v>
      </c>
      <c r="O88" s="213" t="s">
        <v>7153</v>
      </c>
      <c r="P88" s="77" t="s">
        <v>53</v>
      </c>
      <c r="Q88" s="77">
        <v>270</v>
      </c>
      <c r="R88" s="77" t="s">
        <v>3872</v>
      </c>
      <c r="S88" s="77" t="s">
        <v>9</v>
      </c>
      <c r="T88" s="77">
        <v>206</v>
      </c>
      <c r="U88" s="77" t="s">
        <v>3871</v>
      </c>
      <c r="V88" s="77" t="s">
        <v>8</v>
      </c>
      <c r="W88" s="77">
        <v>100</v>
      </c>
      <c r="X88" s="77" t="s">
        <v>3870</v>
      </c>
      <c r="Y88" s="77" t="s">
        <v>18</v>
      </c>
      <c r="Z88" s="77">
        <v>67.2</v>
      </c>
      <c r="AA88" s="77" t="s">
        <v>3869</v>
      </c>
      <c r="AB88" s="173" t="s">
        <v>6627</v>
      </c>
      <c r="AC88" s="173" t="s">
        <v>6634</v>
      </c>
      <c r="AD88" s="173" t="s">
        <v>2355</v>
      </c>
      <c r="AE88" s="25" t="s">
        <v>4352</v>
      </c>
      <c r="AF88" s="64">
        <v>0.221168</v>
      </c>
      <c r="AG88" s="62">
        <v>0.15</v>
      </c>
    </row>
    <row r="89" spans="1:34" x14ac:dyDescent="0.2">
      <c r="B89" s="73" t="s">
        <v>5013</v>
      </c>
      <c r="C89" s="74" t="s">
        <v>1691</v>
      </c>
      <c r="D89" s="80">
        <v>500</v>
      </c>
      <c r="E89" s="73" t="s">
        <v>53</v>
      </c>
      <c r="F89" s="75">
        <v>100</v>
      </c>
      <c r="G89" s="75">
        <f>F89+Q89+T89+W89+Z89</f>
        <v>220.5</v>
      </c>
      <c r="H89" s="78">
        <v>44474</v>
      </c>
      <c r="I89" s="73" t="s">
        <v>5015</v>
      </c>
      <c r="J89" s="73" t="s">
        <v>5014</v>
      </c>
      <c r="K89" s="73" t="s">
        <v>2048</v>
      </c>
      <c r="L89" s="73" t="s">
        <v>2059</v>
      </c>
      <c r="M89" s="73">
        <v>2013</v>
      </c>
      <c r="N89" s="213" t="s">
        <v>7157</v>
      </c>
      <c r="O89" s="73" t="s">
        <v>5016</v>
      </c>
      <c r="P89" s="77" t="s">
        <v>9</v>
      </c>
      <c r="Q89" s="77">
        <v>43</v>
      </c>
      <c r="R89" s="77" t="s">
        <v>5019</v>
      </c>
      <c r="S89" s="77" t="s">
        <v>8</v>
      </c>
      <c r="T89" s="77">
        <v>40</v>
      </c>
      <c r="U89" s="77" t="s">
        <v>5020</v>
      </c>
      <c r="V89" s="77" t="s">
        <v>18</v>
      </c>
      <c r="W89" s="77">
        <v>27</v>
      </c>
      <c r="X89" s="77" t="s">
        <v>5021</v>
      </c>
      <c r="Y89" s="77" t="s">
        <v>7</v>
      </c>
      <c r="Z89" s="77">
        <v>10.5</v>
      </c>
      <c r="AA89" s="77" t="s">
        <v>1128</v>
      </c>
      <c r="AB89" s="173" t="s">
        <v>6627</v>
      </c>
      <c r="AC89" s="173" t="s">
        <v>6630</v>
      </c>
      <c r="AD89" s="173" t="s">
        <v>2365</v>
      </c>
      <c r="AE89" s="25" t="s">
        <v>2113</v>
      </c>
      <c r="AF89" s="64">
        <v>6.9675000000000001E-2</v>
      </c>
      <c r="AG89" s="62">
        <v>2.8472222222222222E-2</v>
      </c>
    </row>
    <row r="90" spans="1:34" s="184" customFormat="1" x14ac:dyDescent="0.2">
      <c r="A90" s="73"/>
      <c r="B90" s="73" t="s">
        <v>2104</v>
      </c>
      <c r="C90" s="74" t="s">
        <v>1691</v>
      </c>
      <c r="D90" s="75">
        <v>500</v>
      </c>
      <c r="E90" s="73" t="s">
        <v>18</v>
      </c>
      <c r="F90" s="75">
        <v>100</v>
      </c>
      <c r="G90" s="75">
        <f>+F90+Q90+T90+W90</f>
        <v>171</v>
      </c>
      <c r="H90" s="78">
        <v>44397</v>
      </c>
      <c r="I90" s="92" t="s">
        <v>5237</v>
      </c>
      <c r="J90" s="92" t="s">
        <v>5236</v>
      </c>
      <c r="K90" s="73" t="s">
        <v>2103</v>
      </c>
      <c r="L90" s="73" t="s">
        <v>2102</v>
      </c>
      <c r="M90" s="73">
        <v>2014</v>
      </c>
      <c r="N90" s="73"/>
      <c r="O90" s="92" t="s">
        <v>5238</v>
      </c>
      <c r="P90" s="94" t="s">
        <v>7</v>
      </c>
      <c r="Q90" s="77">
        <v>56</v>
      </c>
      <c r="R90" s="94" t="s">
        <v>5239</v>
      </c>
      <c r="S90" s="94" t="s">
        <v>5</v>
      </c>
      <c r="T90" s="77">
        <v>12.5</v>
      </c>
      <c r="U90" s="94" t="s">
        <v>5242</v>
      </c>
      <c r="V90" s="94" t="s">
        <v>4</v>
      </c>
      <c r="W90" s="77">
        <v>2.5</v>
      </c>
      <c r="X90" s="94" t="s">
        <v>5244</v>
      </c>
      <c r="Y90" s="94" t="s">
        <v>1</v>
      </c>
      <c r="Z90" s="94" t="s">
        <v>1</v>
      </c>
      <c r="AA90" s="94" t="s">
        <v>1</v>
      </c>
      <c r="AB90" s="281" t="s">
        <v>6627</v>
      </c>
      <c r="AC90" s="281" t="s">
        <v>2892</v>
      </c>
      <c r="AD90" s="281" t="s">
        <v>7973</v>
      </c>
      <c r="AE90" s="25" t="s">
        <v>2100</v>
      </c>
      <c r="AF90" s="64"/>
      <c r="AG90" s="59"/>
      <c r="AH90" s="73"/>
    </row>
    <row r="91" spans="1:34" s="184" customFormat="1" x14ac:dyDescent="0.2">
      <c r="A91" s="73"/>
      <c r="B91" s="73" t="s">
        <v>2099</v>
      </c>
      <c r="C91" s="74" t="s">
        <v>1691</v>
      </c>
      <c r="D91" s="75">
        <v>500</v>
      </c>
      <c r="E91" s="73" t="s">
        <v>18</v>
      </c>
      <c r="F91" s="75">
        <v>115</v>
      </c>
      <c r="G91" s="75">
        <f>+F91+Q91</f>
        <v>170</v>
      </c>
      <c r="H91" s="78">
        <v>44469</v>
      </c>
      <c r="I91" s="92" t="s">
        <v>5251</v>
      </c>
      <c r="J91" s="92" t="s">
        <v>5245</v>
      </c>
      <c r="K91" s="73" t="s">
        <v>2048</v>
      </c>
      <c r="L91" s="73" t="s">
        <v>2098</v>
      </c>
      <c r="M91" s="73">
        <v>2012</v>
      </c>
      <c r="N91" s="73"/>
      <c r="O91" s="92" t="s">
        <v>5247</v>
      </c>
      <c r="P91" s="94" t="s">
        <v>7</v>
      </c>
      <c r="Q91" s="77">
        <v>55</v>
      </c>
      <c r="R91" s="94" t="s">
        <v>1124</v>
      </c>
      <c r="S91" s="94" t="s">
        <v>5</v>
      </c>
      <c r="T91" s="94" t="s">
        <v>1</v>
      </c>
      <c r="U91" s="94" t="s">
        <v>1</v>
      </c>
      <c r="V91" s="94" t="s">
        <v>1</v>
      </c>
      <c r="W91" s="94" t="s">
        <v>1</v>
      </c>
      <c r="X91" s="94" t="s">
        <v>1</v>
      </c>
      <c r="Y91" s="94" t="s">
        <v>1</v>
      </c>
      <c r="Z91" s="94" t="s">
        <v>1</v>
      </c>
      <c r="AA91" s="94" t="s">
        <v>1</v>
      </c>
      <c r="AB91" s="281" t="s">
        <v>6652</v>
      </c>
      <c r="AC91" s="73"/>
      <c r="AD91" s="281" t="s">
        <v>2097</v>
      </c>
      <c r="AE91" s="25" t="s">
        <v>2096</v>
      </c>
      <c r="AF91" s="64"/>
      <c r="AG91" s="59"/>
      <c r="AH91" s="73"/>
    </row>
    <row r="92" spans="1:34" x14ac:dyDescent="0.2">
      <c r="B92" s="73" t="s">
        <v>310</v>
      </c>
      <c r="C92" s="74" t="s">
        <v>1691</v>
      </c>
      <c r="D92" s="75">
        <v>500</v>
      </c>
      <c r="E92" s="73" t="s">
        <v>8</v>
      </c>
      <c r="F92" s="75">
        <v>69</v>
      </c>
      <c r="G92" s="75">
        <f>+F92+Q92+T92+W92</f>
        <v>233.7</v>
      </c>
      <c r="H92" s="78">
        <v>45091</v>
      </c>
      <c r="I92" s="73" t="s">
        <v>3479</v>
      </c>
      <c r="J92" s="73" t="s">
        <v>3478</v>
      </c>
      <c r="K92" s="73" t="s">
        <v>2048</v>
      </c>
      <c r="L92" s="73" t="s">
        <v>2403</v>
      </c>
      <c r="M92" s="73">
        <v>2015</v>
      </c>
      <c r="O92" s="73" t="s">
        <v>3477</v>
      </c>
      <c r="P92" s="77" t="s">
        <v>18</v>
      </c>
      <c r="Q92" s="77">
        <v>110</v>
      </c>
      <c r="R92" s="77" t="s">
        <v>3476</v>
      </c>
      <c r="S92" s="77" t="s">
        <v>7</v>
      </c>
      <c r="T92" s="77">
        <v>40</v>
      </c>
      <c r="U92" s="77" t="s">
        <v>3475</v>
      </c>
      <c r="V92" s="77" t="s">
        <v>5</v>
      </c>
      <c r="W92" s="77">
        <v>14.7</v>
      </c>
      <c r="X92" s="77" t="s">
        <v>3474</v>
      </c>
      <c r="Y92" s="77" t="s">
        <v>4</v>
      </c>
      <c r="Z92" s="77" t="s">
        <v>1</v>
      </c>
      <c r="AA92" s="77" t="s">
        <v>3473</v>
      </c>
      <c r="AB92" s="281" t="s">
        <v>6627</v>
      </c>
      <c r="AC92" s="281" t="s">
        <v>6630</v>
      </c>
      <c r="AD92" s="281" t="s">
        <v>2365</v>
      </c>
      <c r="AE92" s="25" t="s">
        <v>5086</v>
      </c>
      <c r="AF92" s="63">
        <v>9.9089999999999994E-3</v>
      </c>
      <c r="AG92" s="69">
        <v>0.11319444444444444</v>
      </c>
    </row>
    <row r="93" spans="1:34" s="184" customFormat="1" x14ac:dyDescent="0.2">
      <c r="A93" s="73"/>
      <c r="B93" s="73" t="s">
        <v>2075</v>
      </c>
      <c r="C93" s="74" t="s">
        <v>1691</v>
      </c>
      <c r="D93" s="75">
        <v>500</v>
      </c>
      <c r="E93" s="73" t="s">
        <v>18</v>
      </c>
      <c r="F93" s="75">
        <v>65</v>
      </c>
      <c r="G93" s="75">
        <f>F93+Q93+T93</f>
        <v>97.5</v>
      </c>
      <c r="H93" s="78">
        <v>44644</v>
      </c>
      <c r="I93" s="92" t="s">
        <v>5920</v>
      </c>
      <c r="J93" s="92" t="s">
        <v>5917</v>
      </c>
      <c r="K93" s="73" t="s">
        <v>2048</v>
      </c>
      <c r="L93" s="73" t="s">
        <v>2074</v>
      </c>
      <c r="M93" s="73">
        <v>2018</v>
      </c>
      <c r="N93" s="73"/>
      <c r="O93" s="92" t="s">
        <v>5918</v>
      </c>
      <c r="P93" s="94" t="s">
        <v>7</v>
      </c>
      <c r="Q93" s="77">
        <v>22</v>
      </c>
      <c r="R93" s="94" t="s">
        <v>5921</v>
      </c>
      <c r="S93" s="94" t="s">
        <v>5</v>
      </c>
      <c r="T93" s="77">
        <v>10.5</v>
      </c>
      <c r="U93" s="94" t="s">
        <v>5922</v>
      </c>
      <c r="V93" s="94" t="s">
        <v>1</v>
      </c>
      <c r="W93" s="94" t="s">
        <v>1</v>
      </c>
      <c r="X93" s="94" t="s">
        <v>1</v>
      </c>
      <c r="Y93" s="94" t="s">
        <v>1</v>
      </c>
      <c r="Z93" s="94" t="s">
        <v>1</v>
      </c>
      <c r="AA93" s="94" t="s">
        <v>1</v>
      </c>
      <c r="AB93" s="281" t="s">
        <v>6627</v>
      </c>
      <c r="AC93" s="281" t="s">
        <v>6630</v>
      </c>
      <c r="AD93" s="281" t="s">
        <v>2365</v>
      </c>
      <c r="AE93" s="227" t="s">
        <v>2073</v>
      </c>
      <c r="AF93" s="228"/>
      <c r="AG93" s="233"/>
      <c r="AH93" s="73"/>
    </row>
    <row r="94" spans="1:34" x14ac:dyDescent="0.2">
      <c r="B94" s="73" t="s">
        <v>424</v>
      </c>
      <c r="C94" s="74" t="s">
        <v>1691</v>
      </c>
      <c r="D94" s="75">
        <v>500</v>
      </c>
      <c r="E94" s="73" t="s">
        <v>18</v>
      </c>
      <c r="F94" s="75">
        <v>75</v>
      </c>
      <c r="G94" s="75">
        <f>+F94+Q94+T94+W94+Z94</f>
        <v>222</v>
      </c>
      <c r="H94" s="78">
        <v>45020</v>
      </c>
      <c r="I94" s="73" t="s">
        <v>3486</v>
      </c>
      <c r="J94" s="73" t="s">
        <v>3485</v>
      </c>
      <c r="K94" s="73" t="s">
        <v>2048</v>
      </c>
      <c r="L94" s="73" t="s">
        <v>2352</v>
      </c>
      <c r="M94" s="73">
        <v>2017</v>
      </c>
      <c r="O94" s="73" t="s">
        <v>3484</v>
      </c>
      <c r="P94" s="77" t="s">
        <v>18</v>
      </c>
      <c r="Q94" s="77">
        <v>80</v>
      </c>
      <c r="R94" s="77" t="s">
        <v>3483</v>
      </c>
      <c r="S94" s="77" t="s">
        <v>7</v>
      </c>
      <c r="T94" s="77">
        <v>40</v>
      </c>
      <c r="U94" s="77" t="s">
        <v>3482</v>
      </c>
      <c r="V94" s="77" t="s">
        <v>5</v>
      </c>
      <c r="W94" s="77">
        <v>20</v>
      </c>
      <c r="X94" s="77" t="s">
        <v>3481</v>
      </c>
      <c r="Y94" s="77" t="s">
        <v>4</v>
      </c>
      <c r="Z94" s="77">
        <v>7</v>
      </c>
      <c r="AA94" s="77" t="s">
        <v>3480</v>
      </c>
      <c r="AB94" s="281" t="s">
        <v>6627</v>
      </c>
      <c r="AC94" s="281" t="s">
        <v>6630</v>
      </c>
      <c r="AD94" s="281" t="s">
        <v>7972</v>
      </c>
      <c r="AE94" s="25" t="s">
        <v>5085</v>
      </c>
      <c r="AF94" s="63">
        <v>7.8969999999999995E-3</v>
      </c>
      <c r="AG94" s="69">
        <v>2.7777777777777776E-2</v>
      </c>
    </row>
    <row r="95" spans="1:34" s="225" customFormat="1" x14ac:dyDescent="0.2">
      <c r="B95" s="225" t="s">
        <v>1148</v>
      </c>
      <c r="C95" s="224" t="s">
        <v>1691</v>
      </c>
      <c r="D95" s="231">
        <v>500</v>
      </c>
      <c r="E95" s="225" t="s">
        <v>7</v>
      </c>
      <c r="F95" s="231">
        <v>140</v>
      </c>
      <c r="G95" s="231">
        <f>+F95+Q95</f>
        <v>190</v>
      </c>
      <c r="H95" s="232">
        <v>44393</v>
      </c>
      <c r="I95" s="225" t="s">
        <v>3518</v>
      </c>
      <c r="J95" s="225" t="s">
        <v>3517</v>
      </c>
      <c r="K95" s="225" t="s">
        <v>2048</v>
      </c>
      <c r="L95" s="225" t="s">
        <v>2059</v>
      </c>
      <c r="M95" s="225">
        <v>2019</v>
      </c>
      <c r="N95" s="225" t="s">
        <v>5077</v>
      </c>
      <c r="O95" s="225" t="s">
        <v>3516</v>
      </c>
      <c r="P95" s="226" t="s">
        <v>4</v>
      </c>
      <c r="Q95" s="226">
        <v>50</v>
      </c>
      <c r="R95" s="226" t="s">
        <v>1</v>
      </c>
      <c r="S95" s="226" t="s">
        <v>1</v>
      </c>
      <c r="T95" s="226" t="s">
        <v>1</v>
      </c>
      <c r="U95" s="226" t="s">
        <v>1</v>
      </c>
      <c r="V95" s="226" t="s">
        <v>1</v>
      </c>
      <c r="W95" s="226" t="s">
        <v>1</v>
      </c>
      <c r="X95" s="226" t="s">
        <v>1</v>
      </c>
      <c r="Y95" s="226" t="s">
        <v>1</v>
      </c>
      <c r="Z95" s="226" t="s">
        <v>1</v>
      </c>
      <c r="AA95" s="226" t="s">
        <v>1</v>
      </c>
      <c r="AB95" s="281" t="s">
        <v>6627</v>
      </c>
      <c r="AC95" s="281" t="s">
        <v>6630</v>
      </c>
      <c r="AD95" s="281" t="s">
        <v>6637</v>
      </c>
      <c r="AE95" s="25" t="s">
        <v>5076</v>
      </c>
      <c r="AF95" s="63">
        <v>0</v>
      </c>
      <c r="AG95" s="69">
        <v>1.3194444444444444E-2</v>
      </c>
    </row>
    <row r="96" spans="1:34" x14ac:dyDescent="0.2">
      <c r="B96" s="73" t="s">
        <v>431</v>
      </c>
      <c r="C96" s="74" t="s">
        <v>1691</v>
      </c>
      <c r="D96" s="75">
        <v>500</v>
      </c>
      <c r="E96" s="73" t="s">
        <v>7</v>
      </c>
      <c r="F96" s="75">
        <v>93</v>
      </c>
      <c r="G96" s="75">
        <f>+F96+Q96</f>
        <v>108</v>
      </c>
      <c r="H96" s="27">
        <v>43018</v>
      </c>
      <c r="I96" s="73" t="s">
        <v>3515</v>
      </c>
      <c r="J96" s="73" t="s">
        <v>3514</v>
      </c>
      <c r="K96" s="73" t="s">
        <v>2048</v>
      </c>
      <c r="L96" s="73" t="s">
        <v>2145</v>
      </c>
      <c r="M96" s="73">
        <v>2016</v>
      </c>
      <c r="N96" s="73" t="s">
        <v>3513</v>
      </c>
      <c r="O96" s="73" t="s">
        <v>3512</v>
      </c>
      <c r="P96" s="77" t="s">
        <v>5</v>
      </c>
      <c r="Q96" s="77">
        <v>15</v>
      </c>
      <c r="R96" s="77" t="s">
        <v>3511</v>
      </c>
      <c r="S96" s="77" t="s">
        <v>1</v>
      </c>
      <c r="T96" s="77" t="s">
        <v>1</v>
      </c>
      <c r="U96" s="77" t="s">
        <v>1</v>
      </c>
      <c r="V96" s="77" t="s">
        <v>1</v>
      </c>
      <c r="W96" s="77" t="s">
        <v>1</v>
      </c>
      <c r="X96" s="77" t="s">
        <v>1</v>
      </c>
      <c r="Y96" s="77" t="s">
        <v>1</v>
      </c>
      <c r="Z96" s="77" t="s">
        <v>1</v>
      </c>
      <c r="AA96" s="77" t="s">
        <v>1</v>
      </c>
      <c r="AB96" s="73" t="s">
        <v>3510</v>
      </c>
      <c r="AE96" s="25" t="s">
        <v>5078</v>
      </c>
      <c r="AF96" s="63">
        <v>0</v>
      </c>
      <c r="AG96" s="69">
        <v>6.5277777777777782E-2</v>
      </c>
    </row>
    <row r="97" spans="1:34" s="12" customFormat="1" x14ac:dyDescent="0.2">
      <c r="A97" s="73"/>
      <c r="B97" s="73" t="s">
        <v>3496</v>
      </c>
      <c r="C97" s="74" t="s">
        <v>1691</v>
      </c>
      <c r="D97" s="75">
        <v>500</v>
      </c>
      <c r="E97" s="73" t="s">
        <v>18</v>
      </c>
      <c r="F97" s="75">
        <v>80</v>
      </c>
      <c r="G97" s="75">
        <f>+F97+Q97+T97</f>
        <v>104</v>
      </c>
      <c r="H97" s="78">
        <v>44782</v>
      </c>
      <c r="I97" s="73"/>
      <c r="J97" s="73"/>
      <c r="K97" s="73" t="s">
        <v>2048</v>
      </c>
      <c r="L97" s="73" t="s">
        <v>3495</v>
      </c>
      <c r="M97" s="84">
        <v>43497</v>
      </c>
      <c r="N97" s="73" t="s">
        <v>3494</v>
      </c>
      <c r="O97" s="73" t="s">
        <v>3493</v>
      </c>
      <c r="P97" s="77" t="s">
        <v>4</v>
      </c>
      <c r="Q97" s="77">
        <v>14</v>
      </c>
      <c r="R97" s="77" t="s">
        <v>3492</v>
      </c>
      <c r="S97" s="77" t="s">
        <v>550</v>
      </c>
      <c r="T97" s="77">
        <v>10</v>
      </c>
      <c r="U97" s="77" t="s">
        <v>3491</v>
      </c>
      <c r="V97" s="77" t="s">
        <v>1</v>
      </c>
      <c r="W97" s="77" t="s">
        <v>1</v>
      </c>
      <c r="X97" s="77" t="s">
        <v>1</v>
      </c>
      <c r="Y97" s="77" t="s">
        <v>1</v>
      </c>
      <c r="Z97" s="77" t="s">
        <v>1</v>
      </c>
      <c r="AA97" s="77" t="s">
        <v>1</v>
      </c>
      <c r="AB97" s="281" t="s">
        <v>6628</v>
      </c>
      <c r="AC97" s="73"/>
      <c r="AD97" s="281" t="s">
        <v>3490</v>
      </c>
      <c r="AE97" s="25" t="s">
        <v>5083</v>
      </c>
      <c r="AF97" s="63">
        <v>0</v>
      </c>
      <c r="AG97" s="69">
        <v>5.0694444444444452E-2</v>
      </c>
      <c r="AH97" s="73"/>
    </row>
    <row r="98" spans="1:34" x14ac:dyDescent="0.2">
      <c r="B98" s="73" t="s">
        <v>3489</v>
      </c>
      <c r="C98" s="74" t="s">
        <v>1691</v>
      </c>
      <c r="D98" s="75">
        <v>500</v>
      </c>
      <c r="E98" s="73" t="s">
        <v>7</v>
      </c>
      <c r="F98" s="75" t="s">
        <v>1</v>
      </c>
      <c r="G98" s="75" t="str">
        <f>+F98</f>
        <v>N/A</v>
      </c>
      <c r="H98" s="78">
        <v>44616</v>
      </c>
      <c r="I98" s="73" t="s">
        <v>3488</v>
      </c>
      <c r="K98" s="73" t="s">
        <v>2048</v>
      </c>
      <c r="L98" s="73" t="s">
        <v>2549</v>
      </c>
      <c r="M98" s="73">
        <v>2019</v>
      </c>
      <c r="N98" s="73" t="s">
        <v>3487</v>
      </c>
      <c r="O98" s="73" t="s">
        <v>246</v>
      </c>
      <c r="P98" s="77" t="s">
        <v>1</v>
      </c>
      <c r="Q98" s="77" t="s">
        <v>1</v>
      </c>
      <c r="R98" s="77" t="s">
        <v>1</v>
      </c>
      <c r="S98" s="77" t="s">
        <v>1</v>
      </c>
      <c r="T98" s="77" t="s">
        <v>1</v>
      </c>
      <c r="U98" s="77" t="s">
        <v>1</v>
      </c>
      <c r="V98" s="77" t="s">
        <v>1</v>
      </c>
      <c r="W98" s="77" t="s">
        <v>1</v>
      </c>
      <c r="X98" s="77" t="s">
        <v>1</v>
      </c>
      <c r="Y98" s="77" t="s">
        <v>1</v>
      </c>
      <c r="Z98" s="77" t="s">
        <v>1</v>
      </c>
      <c r="AA98" s="77" t="s">
        <v>1</v>
      </c>
      <c r="AB98" s="281" t="s">
        <v>6628</v>
      </c>
      <c r="AD98" s="281" t="s">
        <v>6643</v>
      </c>
      <c r="AE98" s="25" t="s">
        <v>5084</v>
      </c>
      <c r="AF98" s="63">
        <v>0</v>
      </c>
      <c r="AG98" s="69">
        <v>2.4999999999999998E-2</v>
      </c>
    </row>
    <row r="99" spans="1:34" s="160" customFormat="1" x14ac:dyDescent="0.2">
      <c r="A99" s="73"/>
      <c r="B99" s="73" t="s">
        <v>318</v>
      </c>
      <c r="C99" s="74" t="s">
        <v>1691</v>
      </c>
      <c r="D99" s="75">
        <v>500</v>
      </c>
      <c r="E99" s="73" t="s">
        <v>18</v>
      </c>
      <c r="F99" s="75">
        <v>91</v>
      </c>
      <c r="G99" s="75">
        <f>+F99+Q99+T99+W99</f>
        <v>165.2</v>
      </c>
      <c r="H99" s="78">
        <v>44867</v>
      </c>
      <c r="I99" s="73" t="s">
        <v>3509</v>
      </c>
      <c r="J99" s="73" t="s">
        <v>3508</v>
      </c>
      <c r="K99" s="73" t="s">
        <v>2048</v>
      </c>
      <c r="L99" s="73" t="s">
        <v>3507</v>
      </c>
      <c r="M99" s="73">
        <v>2015</v>
      </c>
      <c r="N99" s="73"/>
      <c r="O99" s="73" t="s">
        <v>3506</v>
      </c>
      <c r="P99" s="77" t="s">
        <v>7</v>
      </c>
      <c r="Q99" s="77">
        <v>55</v>
      </c>
      <c r="R99" s="77" t="s">
        <v>3505</v>
      </c>
      <c r="S99" s="77" t="s">
        <v>5</v>
      </c>
      <c r="T99" s="77">
        <v>16</v>
      </c>
      <c r="U99" s="77" t="s">
        <v>3504</v>
      </c>
      <c r="V99" s="77" t="s">
        <v>4</v>
      </c>
      <c r="W99" s="77">
        <v>3.2</v>
      </c>
      <c r="X99" s="77" t="s">
        <v>3503</v>
      </c>
      <c r="Y99" s="77" t="s">
        <v>1</v>
      </c>
      <c r="Z99" s="77" t="s">
        <v>1</v>
      </c>
      <c r="AA99" s="77" t="s">
        <v>1</v>
      </c>
      <c r="AB99" s="73" t="s">
        <v>3502</v>
      </c>
      <c r="AC99" s="73"/>
      <c r="AD99" s="73"/>
      <c r="AE99" s="25" t="s">
        <v>5079</v>
      </c>
      <c r="AF99" s="63">
        <v>1.7176E-2</v>
      </c>
      <c r="AG99" s="69">
        <v>0.15833333333333333</v>
      </c>
      <c r="AH99" s="73"/>
    </row>
    <row r="100" spans="1:34" x14ac:dyDescent="0.2">
      <c r="B100" s="73" t="s">
        <v>2115</v>
      </c>
      <c r="C100" s="74" t="s">
        <v>1691</v>
      </c>
      <c r="D100" s="80">
        <v>400</v>
      </c>
      <c r="E100" s="73" t="s">
        <v>9</v>
      </c>
      <c r="F100" s="75">
        <v>100</v>
      </c>
      <c r="G100" s="75">
        <f>F100+Q100+T100+W100+Z100</f>
        <v>246.4</v>
      </c>
      <c r="H100" s="78">
        <v>44507</v>
      </c>
      <c r="I100" s="73" t="s">
        <v>4993</v>
      </c>
      <c r="J100" s="73" t="s">
        <v>4991</v>
      </c>
      <c r="K100" s="73" t="s">
        <v>2048</v>
      </c>
      <c r="L100" s="73" t="s">
        <v>2059</v>
      </c>
      <c r="M100" s="73">
        <v>2012</v>
      </c>
      <c r="N100" s="213" t="s">
        <v>7159</v>
      </c>
      <c r="O100" s="213" t="s">
        <v>4994</v>
      </c>
      <c r="P100" s="77" t="s">
        <v>8</v>
      </c>
      <c r="Q100" s="77">
        <v>72.5</v>
      </c>
      <c r="R100" s="77" t="s">
        <v>4998</v>
      </c>
      <c r="S100" s="77" t="s">
        <v>18</v>
      </c>
      <c r="T100" s="77">
        <v>40</v>
      </c>
      <c r="U100" s="77" t="s">
        <v>5001</v>
      </c>
      <c r="V100" s="77" t="s">
        <v>7</v>
      </c>
      <c r="W100" s="77">
        <v>25</v>
      </c>
      <c r="X100" s="77" t="s">
        <v>5004</v>
      </c>
      <c r="Y100" s="77" t="s">
        <v>5</v>
      </c>
      <c r="Z100" s="77">
        <v>8.9</v>
      </c>
      <c r="AA100" s="77" t="s">
        <v>5005</v>
      </c>
      <c r="AB100" s="173" t="s">
        <v>6627</v>
      </c>
      <c r="AC100" s="173" t="s">
        <v>6630</v>
      </c>
      <c r="AD100" s="173" t="s">
        <v>6638</v>
      </c>
      <c r="AE100" s="25" t="s">
        <v>2114</v>
      </c>
      <c r="AF100" s="64">
        <v>0.50777300000000003</v>
      </c>
      <c r="AG100" s="62">
        <v>0.13333333333333333</v>
      </c>
    </row>
    <row r="101" spans="1:34" x14ac:dyDescent="0.2">
      <c r="B101" s="184" t="s">
        <v>5088</v>
      </c>
      <c r="C101" s="193" t="s">
        <v>1691</v>
      </c>
      <c r="D101" s="186">
        <v>400</v>
      </c>
      <c r="E101" s="184" t="s">
        <v>5</v>
      </c>
      <c r="F101" s="186">
        <v>90</v>
      </c>
      <c r="G101" s="186">
        <f>+F101</f>
        <v>90</v>
      </c>
      <c r="H101" s="194">
        <v>45006</v>
      </c>
      <c r="I101" s="184" t="s">
        <v>3467</v>
      </c>
      <c r="J101" s="184" t="s">
        <v>3466</v>
      </c>
      <c r="K101" s="184" t="s">
        <v>2048</v>
      </c>
      <c r="L101" s="184" t="s">
        <v>2065</v>
      </c>
      <c r="M101" s="184">
        <v>2021</v>
      </c>
      <c r="N101" s="204" t="s">
        <v>4285</v>
      </c>
      <c r="O101" s="184" t="s">
        <v>3465</v>
      </c>
      <c r="P101" s="187" t="s">
        <v>1</v>
      </c>
      <c r="Q101" s="187" t="s">
        <v>1</v>
      </c>
      <c r="R101" s="187" t="s">
        <v>1</v>
      </c>
      <c r="S101" s="187" t="s">
        <v>1</v>
      </c>
      <c r="T101" s="187" t="s">
        <v>1</v>
      </c>
      <c r="U101" s="187" t="s">
        <v>1</v>
      </c>
      <c r="V101" s="187" t="s">
        <v>1</v>
      </c>
      <c r="W101" s="187" t="s">
        <v>1</v>
      </c>
      <c r="X101" s="187" t="s">
        <v>1</v>
      </c>
      <c r="Y101" s="187" t="s">
        <v>1</v>
      </c>
      <c r="Z101" s="187" t="s">
        <v>1</v>
      </c>
      <c r="AA101" s="187" t="s">
        <v>1</v>
      </c>
      <c r="AB101" s="184" t="s">
        <v>3039</v>
      </c>
      <c r="AC101" s="184"/>
      <c r="AD101" s="184"/>
      <c r="AE101" s="25" t="s">
        <v>5089</v>
      </c>
      <c r="AF101" s="63">
        <v>9.9749999999999995E-3</v>
      </c>
      <c r="AG101" s="69">
        <v>2.4305555555555556E-2</v>
      </c>
      <c r="AH101" s="184"/>
    </row>
    <row r="102" spans="1:34" x14ac:dyDescent="0.2">
      <c r="B102" s="184" t="s">
        <v>414</v>
      </c>
      <c r="C102" s="193" t="s">
        <v>1691</v>
      </c>
      <c r="D102" s="186">
        <v>400</v>
      </c>
      <c r="E102" s="184" t="s">
        <v>18</v>
      </c>
      <c r="F102" s="186">
        <v>65</v>
      </c>
      <c r="G102" s="186">
        <f>+F102+Q102+T102</f>
        <v>74.3</v>
      </c>
      <c r="H102" s="194">
        <v>43789</v>
      </c>
      <c r="I102" s="184" t="s">
        <v>3147</v>
      </c>
      <c r="J102" s="184" t="s">
        <v>3472</v>
      </c>
      <c r="K102" s="184" t="s">
        <v>2048</v>
      </c>
      <c r="L102" s="184" t="s">
        <v>3147</v>
      </c>
      <c r="M102" s="184">
        <v>2010</v>
      </c>
      <c r="N102" s="184"/>
      <c r="O102" s="184" t="s">
        <v>3471</v>
      </c>
      <c r="P102" s="187" t="s">
        <v>7</v>
      </c>
      <c r="Q102" s="187">
        <v>7.3</v>
      </c>
      <c r="R102" s="187" t="s">
        <v>3470</v>
      </c>
      <c r="S102" s="187" t="s">
        <v>5</v>
      </c>
      <c r="T102" s="187">
        <v>2</v>
      </c>
      <c r="U102" s="201" t="s">
        <v>3469</v>
      </c>
      <c r="V102" s="187" t="s">
        <v>1</v>
      </c>
      <c r="W102" s="187" t="s">
        <v>1</v>
      </c>
      <c r="X102" s="187" t="s">
        <v>1</v>
      </c>
      <c r="Y102" s="187" t="s">
        <v>1</v>
      </c>
      <c r="Z102" s="187" t="s">
        <v>1</v>
      </c>
      <c r="AA102" s="187" t="s">
        <v>1</v>
      </c>
      <c r="AB102" s="184" t="s">
        <v>3468</v>
      </c>
      <c r="AC102" s="184"/>
      <c r="AD102" s="184"/>
      <c r="AE102" s="25" t="s">
        <v>5087</v>
      </c>
      <c r="AF102" s="63">
        <v>5.3367999999999999E-2</v>
      </c>
      <c r="AG102" s="69">
        <v>8.2638888888888887E-2</v>
      </c>
      <c r="AH102" s="184"/>
    </row>
    <row r="103" spans="1:34" s="184" customFormat="1" x14ac:dyDescent="0.2">
      <c r="A103" s="73"/>
      <c r="B103" s="184" t="s">
        <v>2023</v>
      </c>
      <c r="C103" s="193" t="s">
        <v>1691</v>
      </c>
      <c r="D103" s="186">
        <v>350</v>
      </c>
      <c r="E103" s="184" t="s">
        <v>5</v>
      </c>
      <c r="F103" s="186"/>
      <c r="G103" s="186"/>
      <c r="H103" s="194">
        <v>45091</v>
      </c>
      <c r="I103" s="184" t="s">
        <v>6780</v>
      </c>
      <c r="J103" s="184" t="s">
        <v>6783</v>
      </c>
      <c r="K103" s="184" t="s">
        <v>2048</v>
      </c>
      <c r="L103" s="184" t="s">
        <v>2742</v>
      </c>
      <c r="M103" s="184">
        <v>2020</v>
      </c>
      <c r="O103" s="184" t="s">
        <v>1137</v>
      </c>
      <c r="P103" s="187" t="s">
        <v>4</v>
      </c>
      <c r="Q103" s="187">
        <v>10</v>
      </c>
      <c r="R103" s="187" t="s">
        <v>6784</v>
      </c>
      <c r="S103" s="187" t="s">
        <v>1</v>
      </c>
      <c r="T103" s="187" t="s">
        <v>1</v>
      </c>
      <c r="U103" s="187" t="s">
        <v>1</v>
      </c>
      <c r="V103" s="187" t="s">
        <v>1</v>
      </c>
      <c r="W103" s="187" t="s">
        <v>1</v>
      </c>
      <c r="X103" s="187" t="s">
        <v>1</v>
      </c>
      <c r="Y103" s="187" t="s">
        <v>1</v>
      </c>
      <c r="Z103" s="187" t="s">
        <v>1</v>
      </c>
      <c r="AA103" s="187" t="s">
        <v>1</v>
      </c>
      <c r="AB103" s="184" t="s">
        <v>6627</v>
      </c>
      <c r="AC103" s="184" t="s">
        <v>6635</v>
      </c>
      <c r="AD103" s="184" t="s">
        <v>6635</v>
      </c>
      <c r="AE103" s="25" t="s">
        <v>6785</v>
      </c>
      <c r="AF103" s="63"/>
      <c r="AG103" s="58"/>
    </row>
    <row r="104" spans="1:34" x14ac:dyDescent="0.2">
      <c r="B104" s="184" t="s">
        <v>363</v>
      </c>
      <c r="C104" s="193" t="s">
        <v>1691</v>
      </c>
      <c r="D104" s="186">
        <v>300</v>
      </c>
      <c r="E104" s="184" t="s">
        <v>7</v>
      </c>
      <c r="F104" s="186">
        <v>120</v>
      </c>
      <c r="G104" s="186">
        <f>+F104+Q104+T104</f>
        <v>190</v>
      </c>
      <c r="H104" s="194">
        <v>44602</v>
      </c>
      <c r="I104" s="184" t="s">
        <v>3464</v>
      </c>
      <c r="J104" s="184" t="s">
        <v>3463</v>
      </c>
      <c r="K104" s="184" t="s">
        <v>2048</v>
      </c>
      <c r="L104" s="184" t="s">
        <v>3036</v>
      </c>
      <c r="M104" s="184">
        <v>2011</v>
      </c>
      <c r="N104" s="184"/>
      <c r="O104" s="184" t="s">
        <v>3462</v>
      </c>
      <c r="P104" s="187" t="s">
        <v>5</v>
      </c>
      <c r="Q104" s="187">
        <v>50</v>
      </c>
      <c r="R104" s="187" t="s">
        <v>3461</v>
      </c>
      <c r="S104" s="187" t="s">
        <v>4</v>
      </c>
      <c r="T104" s="187">
        <v>20</v>
      </c>
      <c r="U104" s="187" t="s">
        <v>1</v>
      </c>
      <c r="V104" s="187" t="s">
        <v>1</v>
      </c>
      <c r="W104" s="187" t="s">
        <v>1</v>
      </c>
      <c r="X104" s="187" t="s">
        <v>1</v>
      </c>
      <c r="Y104" s="187" t="s">
        <v>1</v>
      </c>
      <c r="Z104" s="187" t="s">
        <v>1</v>
      </c>
      <c r="AA104" s="187" t="s">
        <v>1</v>
      </c>
      <c r="AB104" s="184" t="s">
        <v>2084</v>
      </c>
      <c r="AC104" s="184"/>
      <c r="AD104" s="184"/>
      <c r="AE104" s="25" t="s">
        <v>5090</v>
      </c>
      <c r="AF104" s="63">
        <v>1.8180000000000001</v>
      </c>
      <c r="AG104" s="69">
        <v>3.4722222222222224E-2</v>
      </c>
      <c r="AH104" s="184"/>
    </row>
    <row r="105" spans="1:34" s="188" customFormat="1" x14ac:dyDescent="0.2">
      <c r="A105" s="73"/>
      <c r="B105" s="73" t="s">
        <v>3324</v>
      </c>
      <c r="C105" s="74" t="s">
        <v>1691</v>
      </c>
      <c r="D105" s="75">
        <v>300</v>
      </c>
      <c r="E105" s="73" t="s">
        <v>7</v>
      </c>
      <c r="F105" s="75">
        <v>13</v>
      </c>
      <c r="G105" s="75">
        <f>+F105+Q105+T105+W105+Z105</f>
        <v>190</v>
      </c>
      <c r="H105" s="78">
        <v>45090</v>
      </c>
      <c r="I105" s="73" t="s">
        <v>3323</v>
      </c>
      <c r="J105" s="73" t="s">
        <v>3322</v>
      </c>
      <c r="K105" s="73" t="s">
        <v>2103</v>
      </c>
      <c r="L105" s="73" t="s">
        <v>2082</v>
      </c>
      <c r="M105" s="85">
        <v>43405</v>
      </c>
      <c r="N105" s="73"/>
      <c r="O105" s="73" t="s">
        <v>3321</v>
      </c>
      <c r="P105" s="77" t="s">
        <v>7</v>
      </c>
      <c r="Q105" s="77">
        <v>37</v>
      </c>
      <c r="R105" s="77" t="s">
        <v>3320</v>
      </c>
      <c r="S105" s="77" t="s">
        <v>7</v>
      </c>
      <c r="T105" s="77">
        <v>30</v>
      </c>
      <c r="U105" s="77" t="s">
        <v>3319</v>
      </c>
      <c r="V105" s="77" t="s">
        <v>7</v>
      </c>
      <c r="W105" s="77">
        <v>80</v>
      </c>
      <c r="X105" s="77" t="s">
        <v>3318</v>
      </c>
      <c r="Y105" s="77" t="s">
        <v>5</v>
      </c>
      <c r="Z105" s="77">
        <v>30</v>
      </c>
      <c r="AA105" s="77" t="s">
        <v>3317</v>
      </c>
      <c r="AB105" s="73" t="s">
        <v>2748</v>
      </c>
      <c r="AC105" s="73"/>
      <c r="AD105" s="73"/>
      <c r="AE105" s="25" t="s">
        <v>5119</v>
      </c>
      <c r="AF105" s="63">
        <v>9.1590000000000005E-3</v>
      </c>
      <c r="AG105" s="69">
        <v>8.819444444444445E-2</v>
      </c>
      <c r="AH105" s="73"/>
    </row>
    <row r="106" spans="1:34" x14ac:dyDescent="0.2">
      <c r="B106" s="73" t="s">
        <v>381</v>
      </c>
      <c r="C106" s="74" t="s">
        <v>1691</v>
      </c>
      <c r="D106" s="75">
        <v>300</v>
      </c>
      <c r="E106" s="73" t="s">
        <v>5</v>
      </c>
      <c r="F106" s="75">
        <f>72*1.2</f>
        <v>86.399999999999991</v>
      </c>
      <c r="G106" s="75">
        <f>+F106+Q106+T106</f>
        <v>95.649999999999991</v>
      </c>
      <c r="H106" s="78">
        <v>44488</v>
      </c>
      <c r="I106" s="73" t="s">
        <v>3454</v>
      </c>
      <c r="J106" s="73" t="s">
        <v>3453</v>
      </c>
      <c r="K106" s="73" t="s">
        <v>2048</v>
      </c>
      <c r="L106" s="73" t="s">
        <v>2524</v>
      </c>
      <c r="M106" s="73">
        <v>2017</v>
      </c>
      <c r="N106" s="73" t="s">
        <v>3452</v>
      </c>
      <c r="O106" s="73" t="s">
        <v>3451</v>
      </c>
      <c r="P106" s="77" t="s">
        <v>4</v>
      </c>
      <c r="Q106" s="77">
        <v>8.5</v>
      </c>
      <c r="R106" s="77" t="s">
        <v>3450</v>
      </c>
      <c r="S106" s="77" t="s">
        <v>4</v>
      </c>
      <c r="T106" s="77">
        <v>0.75</v>
      </c>
      <c r="U106" s="77" t="s">
        <v>3449</v>
      </c>
      <c r="V106" s="77" t="s">
        <v>1</v>
      </c>
      <c r="W106" s="77" t="s">
        <v>1</v>
      </c>
      <c r="X106" s="77" t="s">
        <v>1</v>
      </c>
      <c r="Y106" s="77" t="s">
        <v>1</v>
      </c>
      <c r="Z106" s="77" t="s">
        <v>1</v>
      </c>
      <c r="AA106" s="77" t="s">
        <v>1</v>
      </c>
      <c r="AB106" s="73" t="s">
        <v>2097</v>
      </c>
      <c r="AE106" s="25" t="s">
        <v>5092</v>
      </c>
      <c r="AF106" s="63">
        <v>0.11515400000000001</v>
      </c>
      <c r="AG106" s="69">
        <v>0.13263888888888889</v>
      </c>
    </row>
    <row r="107" spans="1:34" x14ac:dyDescent="0.2">
      <c r="B107" s="73" t="s">
        <v>3460</v>
      </c>
      <c r="C107" s="74" t="s">
        <v>1691</v>
      </c>
      <c r="D107" s="75">
        <v>300</v>
      </c>
      <c r="E107" s="73" t="s">
        <v>5</v>
      </c>
      <c r="F107" s="75">
        <v>100</v>
      </c>
      <c r="G107" s="75">
        <f>+F107</f>
        <v>100</v>
      </c>
      <c r="H107" s="27">
        <v>44349</v>
      </c>
      <c r="I107" s="73" t="s">
        <v>3459</v>
      </c>
      <c r="J107" s="73" t="s">
        <v>3458</v>
      </c>
      <c r="K107" s="73" t="s">
        <v>2048</v>
      </c>
      <c r="L107" s="73" t="s">
        <v>3457</v>
      </c>
      <c r="M107" s="73">
        <v>2020</v>
      </c>
      <c r="O107" s="73" t="s">
        <v>3456</v>
      </c>
      <c r="P107" s="77" t="s">
        <v>1</v>
      </c>
      <c r="Q107" s="77" t="s">
        <v>1</v>
      </c>
      <c r="R107" s="77" t="s">
        <v>1</v>
      </c>
      <c r="S107" s="77" t="s">
        <v>1</v>
      </c>
      <c r="T107" s="77" t="s">
        <v>1</v>
      </c>
      <c r="U107" s="77" t="s">
        <v>1</v>
      </c>
      <c r="V107" s="77" t="s">
        <v>1</v>
      </c>
      <c r="W107" s="77" t="s">
        <v>1</v>
      </c>
      <c r="X107" s="77" t="s">
        <v>1</v>
      </c>
      <c r="Y107" s="77" t="s">
        <v>1</v>
      </c>
      <c r="Z107" s="77" t="s">
        <v>1</v>
      </c>
      <c r="AA107" s="77" t="s">
        <v>1</v>
      </c>
      <c r="AB107" s="73" t="s">
        <v>3455</v>
      </c>
      <c r="AE107" s="25" t="s">
        <v>5091</v>
      </c>
      <c r="AF107" s="63">
        <v>0</v>
      </c>
      <c r="AG107" s="69">
        <v>8.3333333333333332E-3</v>
      </c>
    </row>
    <row r="108" spans="1:34" s="184" customFormat="1" x14ac:dyDescent="0.2">
      <c r="A108" s="73"/>
      <c r="B108" s="184" t="s">
        <v>5668</v>
      </c>
      <c r="C108" s="193" t="s">
        <v>1691</v>
      </c>
      <c r="D108" s="186">
        <v>300</v>
      </c>
      <c r="E108" s="184" t="s">
        <v>18</v>
      </c>
      <c r="F108" s="186">
        <v>75</v>
      </c>
      <c r="G108" s="186">
        <f>F108+Q108+T108+W108</f>
        <v>118</v>
      </c>
      <c r="H108" s="194">
        <v>44627</v>
      </c>
      <c r="I108" s="184" t="s">
        <v>5671</v>
      </c>
      <c r="J108" s="184" t="s">
        <v>5669</v>
      </c>
      <c r="K108" s="184" t="s">
        <v>2048</v>
      </c>
      <c r="L108" s="184" t="s">
        <v>2082</v>
      </c>
      <c r="M108" s="184">
        <v>2018</v>
      </c>
      <c r="O108" s="184" t="s">
        <v>5670</v>
      </c>
      <c r="P108" s="187" t="s">
        <v>7</v>
      </c>
      <c r="Q108" s="187">
        <v>30</v>
      </c>
      <c r="R108" s="187" t="s">
        <v>5675</v>
      </c>
      <c r="S108" s="187" t="s">
        <v>5</v>
      </c>
      <c r="T108" s="187">
        <v>10</v>
      </c>
      <c r="U108" s="187" t="s">
        <v>5676</v>
      </c>
      <c r="V108" s="187" t="s">
        <v>4</v>
      </c>
      <c r="W108" s="187">
        <v>3</v>
      </c>
      <c r="X108" s="187" t="s">
        <v>1037</v>
      </c>
      <c r="Y108" s="187" t="s">
        <v>1</v>
      </c>
      <c r="Z108" s="187" t="s">
        <v>1</v>
      </c>
      <c r="AA108" s="187" t="s">
        <v>1</v>
      </c>
      <c r="AB108" s="184" t="s">
        <v>2081</v>
      </c>
      <c r="AE108" s="25" t="s">
        <v>2080</v>
      </c>
      <c r="AF108" s="64"/>
      <c r="AG108" s="59"/>
    </row>
    <row r="109" spans="1:34" s="184" customFormat="1" x14ac:dyDescent="0.2">
      <c r="A109" s="73"/>
      <c r="B109" s="73" t="s">
        <v>2090</v>
      </c>
      <c r="C109" s="74" t="s">
        <v>1691</v>
      </c>
      <c r="D109" s="75">
        <v>300</v>
      </c>
      <c r="E109" s="92" t="s">
        <v>7</v>
      </c>
      <c r="F109" s="75">
        <v>75</v>
      </c>
      <c r="G109" s="75">
        <f>F109+Q109</f>
        <v>115</v>
      </c>
      <c r="H109" s="78">
        <v>44677</v>
      </c>
      <c r="I109" s="92" t="s">
        <v>5457</v>
      </c>
      <c r="J109" s="92" t="s">
        <v>5456</v>
      </c>
      <c r="K109" s="73" t="s">
        <v>2048</v>
      </c>
      <c r="L109" s="73" t="s">
        <v>2089</v>
      </c>
      <c r="M109" s="73">
        <v>2017</v>
      </c>
      <c r="N109" s="73"/>
      <c r="O109" s="92" t="s">
        <v>5458</v>
      </c>
      <c r="P109" s="94" t="s">
        <v>5</v>
      </c>
      <c r="Q109" s="77">
        <v>40</v>
      </c>
      <c r="R109" s="94" t="s">
        <v>1065</v>
      </c>
      <c r="S109" s="94" t="s">
        <v>1</v>
      </c>
      <c r="T109" s="94" t="s">
        <v>1</v>
      </c>
      <c r="U109" s="94" t="s">
        <v>1</v>
      </c>
      <c r="V109" s="94" t="s">
        <v>1</v>
      </c>
      <c r="W109" s="94" t="s">
        <v>1</v>
      </c>
      <c r="X109" s="94" t="s">
        <v>1</v>
      </c>
      <c r="Y109" s="94" t="s">
        <v>1</v>
      </c>
      <c r="Z109" s="94" t="s">
        <v>1</v>
      </c>
      <c r="AA109" s="94" t="s">
        <v>1</v>
      </c>
      <c r="AB109" s="73" t="s">
        <v>2088</v>
      </c>
      <c r="AC109" s="73"/>
      <c r="AD109" s="73"/>
      <c r="AE109" s="25" t="s">
        <v>2087</v>
      </c>
      <c r="AF109" s="64"/>
      <c r="AG109" s="59"/>
      <c r="AH109" s="73"/>
    </row>
    <row r="110" spans="1:34" s="184" customFormat="1" x14ac:dyDescent="0.2">
      <c r="A110" s="73"/>
      <c r="B110" s="73" t="s">
        <v>2093</v>
      </c>
      <c r="C110" s="74" t="s">
        <v>1691</v>
      </c>
      <c r="D110" s="80">
        <v>300</v>
      </c>
      <c r="E110" s="73" t="s">
        <v>18</v>
      </c>
      <c r="F110" s="75">
        <v>80</v>
      </c>
      <c r="G110" s="75">
        <f>F110+Q110+T110+W110</f>
        <v>151</v>
      </c>
      <c r="H110" s="78">
        <v>44637</v>
      </c>
      <c r="I110" s="92" t="s">
        <v>5436</v>
      </c>
      <c r="J110" s="92" t="s">
        <v>5437</v>
      </c>
      <c r="K110" s="73" t="s">
        <v>2048</v>
      </c>
      <c r="L110" s="73" t="s">
        <v>2092</v>
      </c>
      <c r="M110" s="73">
        <v>2017</v>
      </c>
      <c r="N110" s="213" t="s">
        <v>7158</v>
      </c>
      <c r="O110" s="92" t="s">
        <v>5438</v>
      </c>
      <c r="P110" s="94" t="s">
        <v>7</v>
      </c>
      <c r="Q110" s="77">
        <v>50</v>
      </c>
      <c r="R110" s="94" t="s">
        <v>5445</v>
      </c>
      <c r="S110" s="94" t="s">
        <v>5</v>
      </c>
      <c r="T110" s="77">
        <v>15</v>
      </c>
      <c r="U110" s="99" t="s">
        <v>5448</v>
      </c>
      <c r="V110" s="94" t="s">
        <v>4</v>
      </c>
      <c r="W110" s="77">
        <v>6</v>
      </c>
      <c r="X110" s="94" t="s">
        <v>1146</v>
      </c>
      <c r="Y110" s="94" t="s">
        <v>1</v>
      </c>
      <c r="Z110" s="94" t="s">
        <v>1</v>
      </c>
      <c r="AA110" s="94" t="s">
        <v>1</v>
      </c>
      <c r="AB110" s="173" t="s">
        <v>6627</v>
      </c>
      <c r="AC110" s="173" t="s">
        <v>6630</v>
      </c>
      <c r="AD110" s="173" t="s">
        <v>2365</v>
      </c>
      <c r="AE110" s="25" t="s">
        <v>2091</v>
      </c>
      <c r="AF110" s="64"/>
      <c r="AG110" s="59"/>
      <c r="AH110" s="73"/>
    </row>
    <row r="111" spans="1:34" s="184" customFormat="1" x14ac:dyDescent="0.2">
      <c r="A111" s="73"/>
      <c r="B111" s="73" t="s">
        <v>2086</v>
      </c>
      <c r="C111" s="74" t="s">
        <v>1691</v>
      </c>
      <c r="D111" s="75">
        <v>300</v>
      </c>
      <c r="E111" s="73" t="s">
        <v>5</v>
      </c>
      <c r="F111" s="75">
        <v>110</v>
      </c>
      <c r="G111" s="75">
        <f>F111</f>
        <v>110</v>
      </c>
      <c r="H111" s="78">
        <v>44509</v>
      </c>
      <c r="I111" s="92" t="s">
        <v>5662</v>
      </c>
      <c r="J111" s="73"/>
      <c r="K111" s="73" t="s">
        <v>2048</v>
      </c>
      <c r="L111" s="73" t="s">
        <v>2085</v>
      </c>
      <c r="M111" s="73">
        <v>2021</v>
      </c>
      <c r="N111" s="92" t="s">
        <v>5663</v>
      </c>
      <c r="O111" s="92" t="s">
        <v>5661</v>
      </c>
      <c r="P111" s="94" t="s">
        <v>1</v>
      </c>
      <c r="Q111" s="94" t="s">
        <v>1</v>
      </c>
      <c r="R111" s="94" t="s">
        <v>1</v>
      </c>
      <c r="S111" s="94" t="s">
        <v>1</v>
      </c>
      <c r="T111" s="94" t="s">
        <v>1</v>
      </c>
      <c r="U111" s="94" t="s">
        <v>1</v>
      </c>
      <c r="V111" s="94" t="s">
        <v>1</v>
      </c>
      <c r="W111" s="94" t="s">
        <v>1</v>
      </c>
      <c r="X111" s="94" t="s">
        <v>1</v>
      </c>
      <c r="Y111" s="94" t="s">
        <v>1</v>
      </c>
      <c r="Z111" s="94" t="s">
        <v>1</v>
      </c>
      <c r="AA111" s="94" t="s">
        <v>1</v>
      </c>
      <c r="AB111" s="73" t="s">
        <v>2084</v>
      </c>
      <c r="AC111" s="73"/>
      <c r="AD111" s="73"/>
      <c r="AE111" s="25" t="s">
        <v>2083</v>
      </c>
      <c r="AF111" s="64"/>
      <c r="AG111" s="59"/>
      <c r="AH111" s="73"/>
    </row>
    <row r="112" spans="1:34" s="184" customFormat="1" x14ac:dyDescent="0.2">
      <c r="A112" s="73"/>
      <c r="B112" s="73" t="s">
        <v>2072</v>
      </c>
      <c r="C112" s="74" t="s">
        <v>1691</v>
      </c>
      <c r="D112" s="75">
        <v>300</v>
      </c>
      <c r="E112" s="73" t="s">
        <v>7</v>
      </c>
      <c r="F112" s="75">
        <v>60</v>
      </c>
      <c r="G112" s="75">
        <f>F112+Q112+T112</f>
        <v>85</v>
      </c>
      <c r="H112" s="78">
        <v>44278</v>
      </c>
      <c r="I112" s="92" t="s">
        <v>5924</v>
      </c>
      <c r="J112" s="92" t="s">
        <v>5925</v>
      </c>
      <c r="K112" s="73" t="s">
        <v>2065</v>
      </c>
      <c r="L112" s="73" t="s">
        <v>2071</v>
      </c>
      <c r="M112" s="73">
        <v>2018</v>
      </c>
      <c r="N112" s="73"/>
      <c r="O112" s="92" t="s">
        <v>5926</v>
      </c>
      <c r="P112" s="94" t="s">
        <v>5</v>
      </c>
      <c r="Q112" s="77">
        <v>20</v>
      </c>
      <c r="R112" s="94" t="s">
        <v>5928</v>
      </c>
      <c r="S112" s="94" t="s">
        <v>4</v>
      </c>
      <c r="T112" s="77">
        <v>5</v>
      </c>
      <c r="U112" s="94" t="s">
        <v>5929</v>
      </c>
      <c r="V112" s="94" t="s">
        <v>1</v>
      </c>
      <c r="W112" s="94" t="s">
        <v>1</v>
      </c>
      <c r="X112" s="94" t="s">
        <v>1</v>
      </c>
      <c r="Y112" s="94" t="s">
        <v>1</v>
      </c>
      <c r="Z112" s="94" t="s">
        <v>1</v>
      </c>
      <c r="AA112" s="94" t="s">
        <v>1</v>
      </c>
      <c r="AB112" s="73" t="s">
        <v>2051</v>
      </c>
      <c r="AC112" s="73"/>
      <c r="AD112" s="73"/>
      <c r="AE112" s="25" t="s">
        <v>2070</v>
      </c>
      <c r="AF112" s="64"/>
      <c r="AG112" s="59"/>
      <c r="AH112" s="73"/>
    </row>
    <row r="113" spans="1:34" x14ac:dyDescent="0.2">
      <c r="B113" s="73" t="s">
        <v>542</v>
      </c>
      <c r="C113" s="74" t="s">
        <v>1691</v>
      </c>
      <c r="D113" s="75">
        <v>260</v>
      </c>
      <c r="E113" s="73" t="s">
        <v>5</v>
      </c>
      <c r="F113" s="75">
        <v>40</v>
      </c>
      <c r="G113" s="75">
        <f>+F113+Q113+T113</f>
        <v>66</v>
      </c>
      <c r="H113" s="78">
        <v>44811</v>
      </c>
      <c r="I113" s="73" t="s">
        <v>2633</v>
      </c>
      <c r="K113" s="73" t="s">
        <v>2048</v>
      </c>
      <c r="L113" s="73" t="s">
        <v>2633</v>
      </c>
      <c r="M113" s="73">
        <v>2017</v>
      </c>
      <c r="O113" s="73" t="s">
        <v>3448</v>
      </c>
      <c r="P113" s="77" t="s">
        <v>5</v>
      </c>
      <c r="Q113" s="77">
        <v>14</v>
      </c>
      <c r="R113" s="77" t="s">
        <v>3447</v>
      </c>
      <c r="S113" s="77" t="s">
        <v>5</v>
      </c>
      <c r="T113" s="77">
        <v>12</v>
      </c>
      <c r="U113" s="77" t="s">
        <v>3446</v>
      </c>
      <c r="V113" s="77" t="s">
        <v>4</v>
      </c>
      <c r="W113" s="77" t="s">
        <v>1</v>
      </c>
      <c r="X113" s="77" t="s">
        <v>544</v>
      </c>
      <c r="Y113" s="77" t="s">
        <v>1</v>
      </c>
      <c r="Z113" s="77" t="s">
        <v>1</v>
      </c>
      <c r="AA113" s="77" t="s">
        <v>1</v>
      </c>
      <c r="AB113" s="73" t="s">
        <v>2166</v>
      </c>
      <c r="AE113" s="25" t="s">
        <v>5093</v>
      </c>
      <c r="AF113" s="63">
        <v>3.8922999999999999E-2</v>
      </c>
      <c r="AG113" s="69">
        <v>5.4166666666666669E-2</v>
      </c>
    </row>
    <row r="114" spans="1:34" x14ac:dyDescent="0.2">
      <c r="B114" s="73" t="s">
        <v>1011</v>
      </c>
      <c r="C114" s="74" t="s">
        <v>1691</v>
      </c>
      <c r="D114" s="75">
        <v>257</v>
      </c>
      <c r="E114" s="73" t="s">
        <v>7</v>
      </c>
      <c r="F114" s="75">
        <v>43</v>
      </c>
      <c r="G114" s="75">
        <f>+F114+Q114</f>
        <v>69</v>
      </c>
      <c r="H114" s="78">
        <v>44978</v>
      </c>
      <c r="I114" s="73" t="s">
        <v>3445</v>
      </c>
      <c r="K114" s="73" t="s">
        <v>2048</v>
      </c>
      <c r="L114" s="73" t="s">
        <v>2701</v>
      </c>
      <c r="M114" s="85" t="s">
        <v>3132</v>
      </c>
      <c r="O114" s="73" t="s">
        <v>3444</v>
      </c>
      <c r="P114" s="77" t="s">
        <v>5</v>
      </c>
      <c r="Q114" s="77">
        <v>26</v>
      </c>
      <c r="R114" s="77" t="s">
        <v>3443</v>
      </c>
      <c r="S114" s="77" t="s">
        <v>4</v>
      </c>
      <c r="T114" s="77" t="s">
        <v>1</v>
      </c>
      <c r="U114" s="77" t="s">
        <v>3442</v>
      </c>
      <c r="V114" s="77" t="s">
        <v>1</v>
      </c>
      <c r="W114" s="77" t="s">
        <v>1</v>
      </c>
      <c r="X114" s="77" t="s">
        <v>1</v>
      </c>
      <c r="Y114" s="77" t="s">
        <v>1</v>
      </c>
      <c r="Z114" s="77" t="s">
        <v>1</v>
      </c>
      <c r="AA114" s="77" t="s">
        <v>1</v>
      </c>
      <c r="AB114" s="73" t="s">
        <v>2365</v>
      </c>
      <c r="AE114" s="25" t="s">
        <v>4324</v>
      </c>
      <c r="AF114" s="64">
        <v>13.41</v>
      </c>
      <c r="AG114" s="62">
        <v>0.16458333333333333</v>
      </c>
    </row>
    <row r="115" spans="1:34" x14ac:dyDescent="0.2">
      <c r="B115" s="73" t="s">
        <v>798</v>
      </c>
      <c r="C115" s="74" t="s">
        <v>1691</v>
      </c>
      <c r="D115" s="75">
        <v>250</v>
      </c>
      <c r="E115" s="73" t="s">
        <v>18</v>
      </c>
      <c r="F115" s="75">
        <v>50</v>
      </c>
      <c r="G115" s="75">
        <f>+F115+Q115+T115+W115</f>
        <v>90.3</v>
      </c>
      <c r="H115" s="27">
        <v>44496</v>
      </c>
      <c r="I115" s="73" t="s">
        <v>3436</v>
      </c>
      <c r="J115" s="73" t="s">
        <v>3435</v>
      </c>
      <c r="K115" s="73" t="s">
        <v>2572</v>
      </c>
      <c r="L115" s="73" t="s">
        <v>2059</v>
      </c>
      <c r="M115" s="84">
        <v>43556</v>
      </c>
      <c r="O115" s="73" t="s">
        <v>3434</v>
      </c>
      <c r="P115" s="77" t="s">
        <v>7</v>
      </c>
      <c r="Q115" s="77">
        <v>22</v>
      </c>
      <c r="R115" s="77" t="s">
        <v>3433</v>
      </c>
      <c r="S115" s="77" t="s">
        <v>3432</v>
      </c>
      <c r="T115" s="77">
        <v>13</v>
      </c>
      <c r="U115" s="77" t="s">
        <v>3431</v>
      </c>
      <c r="V115" s="77" t="s">
        <v>3430</v>
      </c>
      <c r="W115" s="77">
        <v>5.3</v>
      </c>
      <c r="X115" s="77" t="s">
        <v>3429</v>
      </c>
      <c r="Y115" s="77" t="s">
        <v>1</v>
      </c>
      <c r="Z115" s="77" t="s">
        <v>1</v>
      </c>
      <c r="AA115" s="77" t="s">
        <v>1</v>
      </c>
      <c r="AB115" s="73" t="s">
        <v>2365</v>
      </c>
      <c r="AE115" s="25" t="s">
        <v>5097</v>
      </c>
      <c r="AF115" s="63">
        <v>8.3259E-2</v>
      </c>
      <c r="AG115" s="69">
        <v>1.4583333333333332E-2</v>
      </c>
    </row>
    <row r="116" spans="1:34" s="184" customFormat="1" x14ac:dyDescent="0.2">
      <c r="A116" s="73"/>
      <c r="B116" s="73" t="s">
        <v>2069</v>
      </c>
      <c r="C116" s="74" t="s">
        <v>1691</v>
      </c>
      <c r="D116" s="75">
        <v>250</v>
      </c>
      <c r="E116" s="92" t="s">
        <v>18</v>
      </c>
      <c r="F116" s="75">
        <v>15</v>
      </c>
      <c r="G116" s="75">
        <f>F116+Z116+W116+T116+Q116</f>
        <v>84.2</v>
      </c>
      <c r="H116" s="78">
        <v>45006</v>
      </c>
      <c r="I116" s="92" t="s">
        <v>6018</v>
      </c>
      <c r="J116" s="92" t="s">
        <v>6006</v>
      </c>
      <c r="K116" s="73" t="s">
        <v>2065</v>
      </c>
      <c r="L116" s="73" t="s">
        <v>2068</v>
      </c>
      <c r="M116" s="73">
        <v>2017</v>
      </c>
      <c r="N116" s="73"/>
      <c r="O116" s="92" t="s">
        <v>6007</v>
      </c>
      <c r="P116" s="94" t="s">
        <v>7</v>
      </c>
      <c r="Q116" s="77">
        <v>50</v>
      </c>
      <c r="R116" s="94" t="s">
        <v>6011</v>
      </c>
      <c r="S116" s="94" t="s">
        <v>5</v>
      </c>
      <c r="T116" s="77">
        <v>3</v>
      </c>
      <c r="U116" s="94" t="s">
        <v>6012</v>
      </c>
      <c r="V116" s="94" t="s">
        <v>5</v>
      </c>
      <c r="W116" s="77">
        <v>12</v>
      </c>
      <c r="X116" s="94" t="s">
        <v>6016</v>
      </c>
      <c r="Y116" s="94" t="s">
        <v>4</v>
      </c>
      <c r="Z116" s="77">
        <v>4.2</v>
      </c>
      <c r="AA116" s="94" t="s">
        <v>6017</v>
      </c>
      <c r="AB116" s="73" t="s">
        <v>2051</v>
      </c>
      <c r="AC116" s="73"/>
      <c r="AD116" s="73"/>
      <c r="AE116" s="25" t="s">
        <v>2067</v>
      </c>
      <c r="AF116" s="64"/>
      <c r="AG116" s="59"/>
      <c r="AH116" s="73"/>
    </row>
    <row r="117" spans="1:34" x14ac:dyDescent="0.2">
      <c r="B117" s="73" t="s">
        <v>3428</v>
      </c>
      <c r="C117" s="74" t="s">
        <v>1691</v>
      </c>
      <c r="D117" s="75">
        <v>250</v>
      </c>
      <c r="E117" s="73" t="s">
        <v>5</v>
      </c>
      <c r="F117" s="75">
        <v>40</v>
      </c>
      <c r="G117" s="75">
        <f>+F117+Q117+T117</f>
        <v>60</v>
      </c>
      <c r="H117" s="78">
        <v>45014</v>
      </c>
      <c r="I117" s="73" t="s">
        <v>3427</v>
      </c>
      <c r="J117" s="73" t="s">
        <v>3426</v>
      </c>
      <c r="K117" s="73" t="s">
        <v>2311</v>
      </c>
      <c r="L117" s="73" t="s">
        <v>3425</v>
      </c>
      <c r="M117" s="73">
        <v>2017</v>
      </c>
      <c r="N117" s="73" t="s">
        <v>3424</v>
      </c>
      <c r="O117" s="73" t="s">
        <v>3423</v>
      </c>
      <c r="P117" s="77" t="s">
        <v>4</v>
      </c>
      <c r="Q117" s="77">
        <v>5</v>
      </c>
      <c r="R117" s="77" t="s">
        <v>3422</v>
      </c>
      <c r="S117" s="77" t="s">
        <v>4</v>
      </c>
      <c r="T117" s="77">
        <v>15</v>
      </c>
      <c r="U117" s="77" t="s">
        <v>3421</v>
      </c>
      <c r="V117" s="77" t="s">
        <v>1</v>
      </c>
      <c r="W117" s="77" t="s">
        <v>1</v>
      </c>
      <c r="X117" s="77" t="s">
        <v>1</v>
      </c>
      <c r="Y117" s="77" t="s">
        <v>1</v>
      </c>
      <c r="Z117" s="77" t="s">
        <v>1</v>
      </c>
      <c r="AA117" s="77" t="s">
        <v>1</v>
      </c>
      <c r="AB117" s="73" t="s">
        <v>2062</v>
      </c>
      <c r="AE117" s="25" t="s">
        <v>5098</v>
      </c>
      <c r="AF117" s="63">
        <v>4.2204999999999999E-2</v>
      </c>
      <c r="AG117" s="69">
        <v>0.16458333333333333</v>
      </c>
    </row>
    <row r="118" spans="1:34" x14ac:dyDescent="0.2">
      <c r="B118" s="73" t="s">
        <v>3441</v>
      </c>
      <c r="C118" s="74" t="s">
        <v>1691</v>
      </c>
      <c r="D118" s="75">
        <v>250</v>
      </c>
      <c r="E118" s="73" t="s">
        <v>5</v>
      </c>
      <c r="F118" s="75">
        <v>50</v>
      </c>
      <c r="G118" s="75">
        <f>+F118+Q118</f>
        <v>56</v>
      </c>
      <c r="H118" s="78">
        <v>44655</v>
      </c>
      <c r="K118" s="34" t="s">
        <v>2048</v>
      </c>
      <c r="L118" s="34" t="s">
        <v>3440</v>
      </c>
      <c r="M118" s="84">
        <v>44075</v>
      </c>
      <c r="N118" s="73" t="s">
        <v>5095</v>
      </c>
      <c r="O118" s="73" t="s">
        <v>3439</v>
      </c>
      <c r="P118" s="77" t="s">
        <v>4</v>
      </c>
      <c r="Q118" s="77">
        <v>6</v>
      </c>
      <c r="R118" s="77" t="s">
        <v>3438</v>
      </c>
      <c r="S118" s="77" t="s">
        <v>1</v>
      </c>
      <c r="T118" s="77" t="s">
        <v>1</v>
      </c>
      <c r="U118" s="77" t="s">
        <v>1</v>
      </c>
      <c r="V118" s="77" t="s">
        <v>1</v>
      </c>
      <c r="W118" s="77" t="s">
        <v>1</v>
      </c>
      <c r="X118" s="77" t="s">
        <v>1</v>
      </c>
      <c r="Y118" s="77" t="s">
        <v>1</v>
      </c>
      <c r="Z118" s="77" t="s">
        <v>1</v>
      </c>
      <c r="AA118" s="77" t="s">
        <v>1</v>
      </c>
      <c r="AB118" s="73" t="s">
        <v>3437</v>
      </c>
      <c r="AE118" s="25" t="s">
        <v>5096</v>
      </c>
      <c r="AF118" s="63">
        <v>8.0569999999999999E-3</v>
      </c>
      <c r="AG118" s="69">
        <v>3.4722222222222224E-2</v>
      </c>
    </row>
    <row r="119" spans="1:34" x14ac:dyDescent="0.2">
      <c r="B119" s="73" t="s">
        <v>3420</v>
      </c>
      <c r="C119" s="74" t="s">
        <v>1691</v>
      </c>
      <c r="D119" s="75">
        <v>245</v>
      </c>
      <c r="E119" s="73" t="s">
        <v>7</v>
      </c>
      <c r="F119" s="75">
        <v>30</v>
      </c>
      <c r="G119" s="75">
        <f>+F119+Q119</f>
        <v>51.4</v>
      </c>
      <c r="H119" s="27">
        <v>44510</v>
      </c>
      <c r="I119" s="73" t="s">
        <v>3419</v>
      </c>
      <c r="K119" s="73" t="s">
        <v>2048</v>
      </c>
      <c r="L119" s="32" t="s">
        <v>2065</v>
      </c>
      <c r="M119" s="38">
        <v>43497</v>
      </c>
      <c r="N119" s="34" t="s">
        <v>2065</v>
      </c>
      <c r="O119" s="73" t="s">
        <v>3418</v>
      </c>
      <c r="P119" s="77" t="s">
        <v>5</v>
      </c>
      <c r="Q119" s="77">
        <v>21.4</v>
      </c>
      <c r="R119" s="77" t="s">
        <v>3417</v>
      </c>
      <c r="S119" s="77" t="s">
        <v>3416</v>
      </c>
      <c r="T119" s="77" t="s">
        <v>1</v>
      </c>
      <c r="U119" s="77" t="s">
        <v>990</v>
      </c>
      <c r="V119" s="77" t="s">
        <v>1</v>
      </c>
      <c r="W119" s="77" t="s">
        <v>1</v>
      </c>
      <c r="X119" s="77" t="s">
        <v>1</v>
      </c>
      <c r="Y119" s="77" t="s">
        <v>1</v>
      </c>
      <c r="Z119" s="77" t="s">
        <v>1</v>
      </c>
      <c r="AA119" s="77" t="s">
        <v>1</v>
      </c>
      <c r="AB119" s="73" t="s">
        <v>2365</v>
      </c>
      <c r="AE119" s="25" t="s">
        <v>5099</v>
      </c>
      <c r="AF119" s="63">
        <v>8.9449999999999998E-3</v>
      </c>
      <c r="AG119" s="69">
        <v>2.9166666666666664E-2</v>
      </c>
    </row>
    <row r="120" spans="1:34" x14ac:dyDescent="0.2">
      <c r="B120" s="73" t="s">
        <v>705</v>
      </c>
      <c r="C120" s="74" t="s">
        <v>1691</v>
      </c>
      <c r="D120" s="75">
        <v>240</v>
      </c>
      <c r="E120" s="73" t="s">
        <v>4</v>
      </c>
      <c r="F120" s="75">
        <v>120</v>
      </c>
      <c r="G120" s="75">
        <f>+F120</f>
        <v>120</v>
      </c>
      <c r="H120" s="78">
        <v>45090</v>
      </c>
      <c r="I120" s="73" t="s">
        <v>2549</v>
      </c>
      <c r="J120" s="73" t="s">
        <v>3415</v>
      </c>
      <c r="K120" s="73" t="s">
        <v>2572</v>
      </c>
      <c r="L120" s="73" t="s">
        <v>3172</v>
      </c>
      <c r="M120" s="86" t="s">
        <v>3414</v>
      </c>
      <c r="N120" s="73" t="s">
        <v>3413</v>
      </c>
      <c r="O120" s="73" t="s">
        <v>3412</v>
      </c>
      <c r="P120" s="77" t="s">
        <v>1</v>
      </c>
      <c r="Q120" s="77" t="s">
        <v>1</v>
      </c>
      <c r="R120" s="77" t="s">
        <v>1</v>
      </c>
      <c r="S120" s="77" t="s">
        <v>1</v>
      </c>
      <c r="T120" s="77" t="s">
        <v>1</v>
      </c>
      <c r="U120" s="77" t="s">
        <v>1</v>
      </c>
      <c r="V120" s="77" t="s">
        <v>1</v>
      </c>
      <c r="W120" s="77" t="s">
        <v>1</v>
      </c>
      <c r="X120" s="77" t="s">
        <v>1</v>
      </c>
      <c r="Y120" s="77" t="s">
        <v>1</v>
      </c>
      <c r="Z120" s="77" t="s">
        <v>1</v>
      </c>
      <c r="AA120" s="77" t="s">
        <v>1</v>
      </c>
      <c r="AB120" s="73" t="s">
        <v>2148</v>
      </c>
      <c r="AE120" s="25" t="s">
        <v>5100</v>
      </c>
      <c r="AF120" s="63">
        <v>0.36059000000000002</v>
      </c>
      <c r="AG120" s="69">
        <v>7.6388888888888886E-3</v>
      </c>
    </row>
    <row r="121" spans="1:34" x14ac:dyDescent="0.2">
      <c r="B121" s="73" t="s">
        <v>665</v>
      </c>
      <c r="C121" s="74" t="s">
        <v>1691</v>
      </c>
      <c r="D121" s="75">
        <v>200</v>
      </c>
      <c r="E121" s="73" t="s">
        <v>4</v>
      </c>
      <c r="F121" s="75">
        <v>100</v>
      </c>
      <c r="G121" s="75">
        <f>+F121</f>
        <v>100</v>
      </c>
      <c r="H121" s="78">
        <v>44663</v>
      </c>
      <c r="I121" s="73" t="s">
        <v>3407</v>
      </c>
      <c r="K121" s="73" t="s">
        <v>2048</v>
      </c>
      <c r="L121" s="73" t="s">
        <v>2065</v>
      </c>
      <c r="M121" s="73">
        <v>2022</v>
      </c>
      <c r="O121" s="73" t="s">
        <v>3406</v>
      </c>
      <c r="P121" s="77" t="s">
        <v>1</v>
      </c>
      <c r="Q121" s="77" t="s">
        <v>1</v>
      </c>
      <c r="R121" s="77" t="s">
        <v>1</v>
      </c>
      <c r="S121" s="77" t="s">
        <v>1</v>
      </c>
      <c r="T121" s="77" t="s">
        <v>1</v>
      </c>
      <c r="U121" s="77" t="s">
        <v>1</v>
      </c>
      <c r="V121" s="77" t="s">
        <v>1</v>
      </c>
      <c r="W121" s="77" t="s">
        <v>1</v>
      </c>
      <c r="X121" s="77" t="s">
        <v>1</v>
      </c>
      <c r="Y121" s="77" t="s">
        <v>1</v>
      </c>
      <c r="Z121" s="77" t="s">
        <v>1</v>
      </c>
      <c r="AA121" s="77" t="s">
        <v>1</v>
      </c>
      <c r="AB121" s="73" t="s">
        <v>2058</v>
      </c>
      <c r="AE121" s="25" t="s">
        <v>5102</v>
      </c>
      <c r="AF121" s="63">
        <v>0</v>
      </c>
      <c r="AG121" s="69">
        <v>2.7777777777777779E-3</v>
      </c>
    </row>
    <row r="122" spans="1:34" s="184" customFormat="1" x14ac:dyDescent="0.2">
      <c r="A122" s="73"/>
      <c r="B122" s="73" t="s">
        <v>281</v>
      </c>
      <c r="C122" s="74" t="s">
        <v>1691</v>
      </c>
      <c r="D122" s="75">
        <v>200</v>
      </c>
      <c r="E122" s="73" t="s">
        <v>5</v>
      </c>
      <c r="F122" s="75">
        <v>32</v>
      </c>
      <c r="G122" s="75">
        <f>+F122+Q122+T122</f>
        <v>64.2</v>
      </c>
      <c r="H122" s="78">
        <v>44851</v>
      </c>
      <c r="I122" s="73" t="s">
        <v>3382</v>
      </c>
      <c r="J122" s="73" t="s">
        <v>3381</v>
      </c>
      <c r="K122" s="73" t="s">
        <v>2103</v>
      </c>
      <c r="L122" s="73" t="s">
        <v>2352</v>
      </c>
      <c r="M122" s="73">
        <v>2018</v>
      </c>
      <c r="N122" s="73"/>
      <c r="O122" s="73" t="s">
        <v>3380</v>
      </c>
      <c r="P122" s="77" t="s">
        <v>5</v>
      </c>
      <c r="Q122" s="77">
        <v>26</v>
      </c>
      <c r="R122" s="77" t="s">
        <v>3379</v>
      </c>
      <c r="S122" s="77" t="s">
        <v>4</v>
      </c>
      <c r="T122" s="77">
        <v>6.2</v>
      </c>
      <c r="U122" s="77" t="s">
        <v>3378</v>
      </c>
      <c r="V122" s="77" t="s">
        <v>278</v>
      </c>
      <c r="W122" s="77" t="s">
        <v>1</v>
      </c>
      <c r="X122" s="77" t="s">
        <v>3377</v>
      </c>
      <c r="Y122" s="77" t="s">
        <v>1</v>
      </c>
      <c r="Z122" s="77" t="s">
        <v>1</v>
      </c>
      <c r="AA122" s="77" t="s">
        <v>1</v>
      </c>
      <c r="AB122" s="73" t="s">
        <v>2088</v>
      </c>
      <c r="AC122" s="73"/>
      <c r="AD122" s="73"/>
      <c r="AE122" s="25" t="s">
        <v>5070</v>
      </c>
      <c r="AF122" s="64">
        <v>0</v>
      </c>
      <c r="AG122" s="62">
        <v>0.10277777777777779</v>
      </c>
      <c r="AH122" s="73"/>
    </row>
    <row r="123" spans="1:34" s="184" customFormat="1" x14ac:dyDescent="0.2">
      <c r="A123" s="73"/>
      <c r="B123" s="73" t="s">
        <v>2056</v>
      </c>
      <c r="C123" s="74" t="s">
        <v>1691</v>
      </c>
      <c r="D123" s="75">
        <v>200</v>
      </c>
      <c r="E123" s="135" t="s">
        <v>7</v>
      </c>
      <c r="F123" s="75">
        <v>52.2</v>
      </c>
      <c r="G123" s="75"/>
      <c r="H123" s="78">
        <v>44476</v>
      </c>
      <c r="I123" s="135" t="s">
        <v>2055</v>
      </c>
      <c r="J123" s="135" t="s">
        <v>6295</v>
      </c>
      <c r="K123" s="73" t="s">
        <v>2048</v>
      </c>
      <c r="L123" s="73" t="s">
        <v>2055</v>
      </c>
      <c r="M123" s="73">
        <v>2020</v>
      </c>
      <c r="N123" s="73"/>
      <c r="O123" s="135" t="s">
        <v>6296</v>
      </c>
      <c r="P123" s="140" t="s">
        <v>5</v>
      </c>
      <c r="Q123" s="77">
        <v>12</v>
      </c>
      <c r="R123" s="140" t="s">
        <v>6300</v>
      </c>
      <c r="S123" s="140" t="s">
        <v>4</v>
      </c>
      <c r="T123" s="140" t="s">
        <v>1</v>
      </c>
      <c r="U123" s="140" t="s">
        <v>6301</v>
      </c>
      <c r="V123" s="140" t="s">
        <v>4</v>
      </c>
      <c r="W123" s="77">
        <v>3.5</v>
      </c>
      <c r="X123" s="140" t="s">
        <v>6302</v>
      </c>
      <c r="Y123" s="140" t="s">
        <v>1</v>
      </c>
      <c r="Z123" s="140" t="s">
        <v>1</v>
      </c>
      <c r="AA123" s="140" t="s">
        <v>1</v>
      </c>
      <c r="AB123" s="73" t="s">
        <v>2054</v>
      </c>
      <c r="AC123" s="73"/>
      <c r="AD123" s="73"/>
      <c r="AE123" s="25" t="s">
        <v>2053</v>
      </c>
      <c r="AF123" s="64"/>
      <c r="AG123" s="59"/>
      <c r="AH123" s="73"/>
    </row>
    <row r="124" spans="1:34" s="184" customFormat="1" x14ac:dyDescent="0.2">
      <c r="A124" s="73"/>
      <c r="B124" s="225" t="s">
        <v>2060</v>
      </c>
      <c r="C124" s="74" t="s">
        <v>1691</v>
      </c>
      <c r="D124" s="75">
        <v>200</v>
      </c>
      <c r="E124" s="73" t="s">
        <v>7</v>
      </c>
      <c r="F124" s="75">
        <v>50</v>
      </c>
      <c r="G124" s="75">
        <f>F124+Q124+T124+W124</f>
        <v>69.8</v>
      </c>
      <c r="H124" s="78">
        <v>44518</v>
      </c>
      <c r="I124" s="135" t="s">
        <v>2880</v>
      </c>
      <c r="J124" s="135" t="s">
        <v>6226</v>
      </c>
      <c r="K124" s="73" t="s">
        <v>2048</v>
      </c>
      <c r="L124" s="73" t="s">
        <v>2059</v>
      </c>
      <c r="M124" s="73">
        <v>2017</v>
      </c>
      <c r="N124" s="73"/>
      <c r="O124" s="135" t="s">
        <v>6228</v>
      </c>
      <c r="P124" s="140" t="s">
        <v>5</v>
      </c>
      <c r="Q124" s="77">
        <v>13</v>
      </c>
      <c r="R124" s="140" t="s">
        <v>6231</v>
      </c>
      <c r="S124" s="140" t="s">
        <v>4</v>
      </c>
      <c r="T124" s="140">
        <v>4.5</v>
      </c>
      <c r="U124" s="140" t="s">
        <v>6232</v>
      </c>
      <c r="V124" s="140" t="s">
        <v>4</v>
      </c>
      <c r="W124" s="77">
        <v>2.2999999999999998</v>
      </c>
      <c r="X124" s="140" t="s">
        <v>6234</v>
      </c>
      <c r="Y124" s="140" t="s">
        <v>278</v>
      </c>
      <c r="Z124" s="140" t="s">
        <v>1</v>
      </c>
      <c r="AA124" s="140" t="s">
        <v>6236</v>
      </c>
      <c r="AB124" s="73" t="s">
        <v>2058</v>
      </c>
      <c r="AC124" s="73"/>
      <c r="AD124" s="73"/>
      <c r="AE124" s="25" t="s">
        <v>2057</v>
      </c>
      <c r="AF124" s="64"/>
      <c r="AG124" s="59"/>
      <c r="AH124" s="73"/>
    </row>
    <row r="125" spans="1:34" x14ac:dyDescent="0.2">
      <c r="B125" s="73" t="s">
        <v>3392</v>
      </c>
      <c r="C125" s="74" t="s">
        <v>1691</v>
      </c>
      <c r="D125" s="75">
        <v>200</v>
      </c>
      <c r="E125" s="73" t="s">
        <v>5</v>
      </c>
      <c r="F125" s="75">
        <v>40.799999999999997</v>
      </c>
      <c r="G125" s="75">
        <f>+F125</f>
        <v>40.799999999999997</v>
      </c>
      <c r="H125" s="78">
        <v>45112</v>
      </c>
      <c r="J125" s="73" t="s">
        <v>3391</v>
      </c>
      <c r="K125" s="73" t="s">
        <v>2048</v>
      </c>
      <c r="L125" s="73" t="s">
        <v>3390</v>
      </c>
      <c r="N125" s="73" t="s">
        <v>2699</v>
      </c>
      <c r="O125" s="73" t="s">
        <v>3389</v>
      </c>
      <c r="P125" s="77" t="s">
        <v>1</v>
      </c>
      <c r="Q125" s="77" t="s">
        <v>1</v>
      </c>
      <c r="R125" s="77" t="s">
        <v>1</v>
      </c>
      <c r="S125" s="77" t="s">
        <v>1</v>
      </c>
      <c r="T125" s="77" t="s">
        <v>1</v>
      </c>
      <c r="U125" s="77" t="s">
        <v>1</v>
      </c>
      <c r="V125" s="77" t="s">
        <v>1</v>
      </c>
      <c r="W125" s="77" t="s">
        <v>1</v>
      </c>
      <c r="X125" s="77" t="s">
        <v>1</v>
      </c>
      <c r="Y125" s="77" t="s">
        <v>1</v>
      </c>
      <c r="Z125" s="77" t="s">
        <v>1</v>
      </c>
      <c r="AA125" s="77" t="s">
        <v>1</v>
      </c>
      <c r="AE125" s="25" t="s">
        <v>5105</v>
      </c>
      <c r="AF125" s="63">
        <v>7.4489999999999998</v>
      </c>
      <c r="AG125" s="69">
        <v>0.3527777777777778</v>
      </c>
    </row>
    <row r="126" spans="1:34" x14ac:dyDescent="0.2">
      <c r="B126" s="73" t="s">
        <v>3364</v>
      </c>
      <c r="C126" s="74" t="s">
        <v>1691</v>
      </c>
      <c r="D126" s="75">
        <v>200</v>
      </c>
      <c r="E126" s="73" t="s">
        <v>4</v>
      </c>
      <c r="F126" s="75">
        <v>10</v>
      </c>
      <c r="G126" s="75">
        <f>+F126</f>
        <v>10</v>
      </c>
      <c r="H126" s="78">
        <v>45005</v>
      </c>
      <c r="I126" s="73" t="s">
        <v>3363</v>
      </c>
      <c r="J126" s="73" t="s">
        <v>3362</v>
      </c>
      <c r="K126" s="73" t="s">
        <v>2572</v>
      </c>
      <c r="L126" s="73" t="s">
        <v>3361</v>
      </c>
      <c r="M126" s="79">
        <v>41275</v>
      </c>
      <c r="N126" s="73" t="s">
        <v>3360</v>
      </c>
      <c r="O126" s="225" t="s">
        <v>75</v>
      </c>
      <c r="P126" s="77" t="s">
        <v>1</v>
      </c>
      <c r="Q126" s="77" t="s">
        <v>1</v>
      </c>
      <c r="R126" s="77" t="s">
        <v>1</v>
      </c>
      <c r="S126" s="77" t="s">
        <v>1</v>
      </c>
      <c r="T126" s="77" t="s">
        <v>1</v>
      </c>
      <c r="U126" s="77" t="s">
        <v>1</v>
      </c>
      <c r="V126" s="77" t="s">
        <v>1</v>
      </c>
      <c r="W126" s="77" t="s">
        <v>1</v>
      </c>
      <c r="X126" s="77" t="s">
        <v>1</v>
      </c>
      <c r="Y126" s="77" t="s">
        <v>1</v>
      </c>
      <c r="Z126" s="77" t="s">
        <v>1</v>
      </c>
      <c r="AA126" s="77" t="s">
        <v>1</v>
      </c>
      <c r="AB126" s="73" t="s">
        <v>2365</v>
      </c>
      <c r="AE126" s="25" t="s">
        <v>5110</v>
      </c>
      <c r="AF126" s="63">
        <v>3.855</v>
      </c>
      <c r="AG126" s="69">
        <v>0.26458333333333334</v>
      </c>
    </row>
    <row r="127" spans="1:34" x14ac:dyDescent="0.2">
      <c r="A127" s="184"/>
      <c r="B127" s="184" t="s">
        <v>2535</v>
      </c>
      <c r="C127" s="193" t="s">
        <v>1691</v>
      </c>
      <c r="D127" s="186">
        <v>200</v>
      </c>
      <c r="E127" s="198" t="s">
        <v>1</v>
      </c>
      <c r="F127" s="186" t="s">
        <v>1</v>
      </c>
      <c r="G127" s="186">
        <v>0</v>
      </c>
      <c r="H127" s="186" t="s">
        <v>1</v>
      </c>
      <c r="I127" s="184" t="s">
        <v>2470</v>
      </c>
      <c r="J127" s="184"/>
      <c r="K127" s="184" t="s">
        <v>2311</v>
      </c>
      <c r="L127" s="184" t="s">
        <v>2534</v>
      </c>
      <c r="M127" s="186" t="s">
        <v>1</v>
      </c>
      <c r="N127" s="184" t="s">
        <v>4478</v>
      </c>
      <c r="O127" s="198" t="s">
        <v>1</v>
      </c>
      <c r="P127" s="198" t="s">
        <v>1</v>
      </c>
      <c r="Q127" s="198" t="s">
        <v>1</v>
      </c>
      <c r="R127" s="198" t="s">
        <v>1</v>
      </c>
      <c r="S127" s="198" t="s">
        <v>1</v>
      </c>
      <c r="T127" s="198" t="s">
        <v>1</v>
      </c>
      <c r="U127" s="198" t="s">
        <v>1</v>
      </c>
      <c r="V127" s="198" t="s">
        <v>1</v>
      </c>
      <c r="W127" s="198" t="s">
        <v>1</v>
      </c>
      <c r="X127" s="198" t="s">
        <v>1</v>
      </c>
      <c r="Y127" s="198" t="s">
        <v>1</v>
      </c>
      <c r="Z127" s="198" t="s">
        <v>1</v>
      </c>
      <c r="AA127" s="198" t="s">
        <v>1</v>
      </c>
      <c r="AB127" s="198" t="s">
        <v>6627</v>
      </c>
      <c r="AC127" s="198" t="s">
        <v>6630</v>
      </c>
      <c r="AD127" s="198" t="s">
        <v>2365</v>
      </c>
      <c r="AE127" s="25" t="s">
        <v>4479</v>
      </c>
      <c r="AF127" s="64">
        <v>19.43</v>
      </c>
      <c r="AG127" s="70" t="s">
        <v>5042</v>
      </c>
      <c r="AH127" s="184"/>
    </row>
    <row r="128" spans="1:34" x14ac:dyDescent="0.2">
      <c r="B128" s="12" t="s">
        <v>3376</v>
      </c>
      <c r="C128" s="29" t="s">
        <v>1691</v>
      </c>
      <c r="D128" s="15">
        <v>200</v>
      </c>
      <c r="E128" s="12" t="s">
        <v>7</v>
      </c>
      <c r="F128" s="15">
        <v>25</v>
      </c>
      <c r="G128" s="75">
        <f>+F128+Q128+T128+W128</f>
        <v>47.8</v>
      </c>
      <c r="H128" s="14">
        <v>44642</v>
      </c>
      <c r="I128" s="12" t="s">
        <v>2306</v>
      </c>
      <c r="J128" s="12" t="s">
        <v>3375</v>
      </c>
      <c r="K128" s="12" t="s">
        <v>2048</v>
      </c>
      <c r="L128" s="12" t="s">
        <v>2470</v>
      </c>
      <c r="M128" s="12">
        <v>2017</v>
      </c>
      <c r="N128" s="12" t="s">
        <v>3374</v>
      </c>
      <c r="O128" s="12" t="s">
        <v>3373</v>
      </c>
      <c r="P128" s="24" t="s">
        <v>5</v>
      </c>
      <c r="Q128" s="24">
        <v>13.5</v>
      </c>
      <c r="R128" s="24" t="s">
        <v>3372</v>
      </c>
      <c r="S128" s="24" t="s">
        <v>4</v>
      </c>
      <c r="T128" s="24">
        <v>5.3</v>
      </c>
      <c r="U128" s="24" t="s">
        <v>3371</v>
      </c>
      <c r="V128" s="24" t="s">
        <v>4</v>
      </c>
      <c r="W128" s="24">
        <v>4</v>
      </c>
      <c r="X128" s="24" t="s">
        <v>3370</v>
      </c>
      <c r="Y128" s="24" t="s">
        <v>1</v>
      </c>
      <c r="Z128" s="24" t="s">
        <v>1</v>
      </c>
      <c r="AA128" s="24" t="s">
        <v>1</v>
      </c>
      <c r="AB128" s="12" t="s">
        <v>2081</v>
      </c>
      <c r="AC128" s="12"/>
      <c r="AD128" s="12"/>
      <c r="AE128" s="37" t="s">
        <v>3369</v>
      </c>
      <c r="AF128" s="66">
        <v>7.0490000000000004</v>
      </c>
      <c r="AG128" s="72">
        <v>0.36944444444444446</v>
      </c>
      <c r="AH128" s="12"/>
    </row>
    <row r="129" spans="1:34" x14ac:dyDescent="0.2">
      <c r="B129" s="73" t="s">
        <v>3405</v>
      </c>
      <c r="C129" s="74" t="s">
        <v>1691</v>
      </c>
      <c r="D129" s="75">
        <v>200</v>
      </c>
      <c r="E129" s="73" t="s">
        <v>5</v>
      </c>
      <c r="F129" s="75">
        <v>58</v>
      </c>
      <c r="G129" s="75">
        <f>+F129</f>
        <v>58</v>
      </c>
      <c r="H129" s="78">
        <v>45104</v>
      </c>
      <c r="I129" s="73" t="s">
        <v>3404</v>
      </c>
      <c r="K129" s="73" t="s">
        <v>2048</v>
      </c>
      <c r="L129" s="73" t="s">
        <v>3172</v>
      </c>
      <c r="M129" s="76" t="s">
        <v>3403</v>
      </c>
      <c r="O129" s="73" t="s">
        <v>3402</v>
      </c>
      <c r="P129" s="77" t="s">
        <v>1</v>
      </c>
      <c r="Q129" s="77" t="s">
        <v>1</v>
      </c>
      <c r="R129" s="77" t="s">
        <v>1</v>
      </c>
      <c r="S129" s="77" t="s">
        <v>1</v>
      </c>
      <c r="T129" s="77" t="s">
        <v>1</v>
      </c>
      <c r="U129" s="77" t="s">
        <v>1</v>
      </c>
      <c r="V129" s="77" t="s">
        <v>1</v>
      </c>
      <c r="W129" s="77" t="s">
        <v>1</v>
      </c>
      <c r="X129" s="77" t="s">
        <v>1</v>
      </c>
      <c r="Y129" s="77" t="s">
        <v>1</v>
      </c>
      <c r="Z129" s="77" t="s">
        <v>1</v>
      </c>
      <c r="AA129" s="77" t="s">
        <v>1</v>
      </c>
      <c r="AB129" s="73" t="s">
        <v>2194</v>
      </c>
      <c r="AE129" s="25" t="s">
        <v>5103</v>
      </c>
      <c r="AF129" s="63">
        <v>7.7016000000000001E-2</v>
      </c>
      <c r="AG129" s="69">
        <v>4.5833333333333337E-2</v>
      </c>
    </row>
    <row r="130" spans="1:34" x14ac:dyDescent="0.2">
      <c r="B130" s="12" t="s">
        <v>475</v>
      </c>
      <c r="C130" s="29" t="s">
        <v>1691</v>
      </c>
      <c r="D130" s="15">
        <v>200</v>
      </c>
      <c r="E130" s="12" t="s">
        <v>7</v>
      </c>
      <c r="F130" s="15">
        <v>90</v>
      </c>
      <c r="G130" s="75">
        <f>+F130</f>
        <v>90</v>
      </c>
      <c r="H130" s="14">
        <v>44398</v>
      </c>
      <c r="I130" s="12" t="s">
        <v>2592</v>
      </c>
      <c r="J130" s="12" t="s">
        <v>3411</v>
      </c>
      <c r="K130" s="12" t="s">
        <v>2311</v>
      </c>
      <c r="L130" s="12" t="s">
        <v>2065</v>
      </c>
      <c r="M130" s="12">
        <v>2017</v>
      </c>
      <c r="N130" s="12"/>
      <c r="O130" s="12" t="s">
        <v>3410</v>
      </c>
      <c r="P130" s="24" t="s">
        <v>2228</v>
      </c>
      <c r="Q130" s="24">
        <v>9.5</v>
      </c>
      <c r="R130" s="24" t="s">
        <v>3409</v>
      </c>
      <c r="S130" s="24" t="s">
        <v>5</v>
      </c>
      <c r="T130" s="24">
        <v>22.8</v>
      </c>
      <c r="U130" s="24" t="s">
        <v>3408</v>
      </c>
      <c r="V130" s="24" t="s">
        <v>1</v>
      </c>
      <c r="W130" s="24" t="s">
        <v>1</v>
      </c>
      <c r="X130" s="24" t="s">
        <v>1</v>
      </c>
      <c r="Y130" s="24" t="s">
        <v>1</v>
      </c>
      <c r="Z130" s="24" t="s">
        <v>1</v>
      </c>
      <c r="AA130" s="24" t="s">
        <v>1</v>
      </c>
      <c r="AB130" s="12" t="s">
        <v>2051</v>
      </c>
      <c r="AC130" s="12"/>
      <c r="AD130" s="12"/>
      <c r="AE130" s="25" t="s">
        <v>5101</v>
      </c>
      <c r="AF130" s="65">
        <v>6.1334E-2</v>
      </c>
      <c r="AG130" s="71">
        <v>6.6666666666666666E-2</v>
      </c>
      <c r="AH130" s="12"/>
    </row>
    <row r="131" spans="1:34" x14ac:dyDescent="0.2">
      <c r="B131" s="73" t="s">
        <v>1056</v>
      </c>
      <c r="C131" s="74" t="s">
        <v>1691</v>
      </c>
      <c r="D131" s="75">
        <v>200</v>
      </c>
      <c r="E131" s="73" t="s">
        <v>18</v>
      </c>
      <c r="F131" s="75">
        <v>40</v>
      </c>
      <c r="G131" s="75">
        <f>+F131+Q131+T131+V131</f>
        <v>82</v>
      </c>
      <c r="H131" s="76">
        <v>2016</v>
      </c>
      <c r="I131" s="73" t="s">
        <v>3388</v>
      </c>
      <c r="J131" s="73" t="s">
        <v>3387</v>
      </c>
      <c r="K131" s="73" t="s">
        <v>2048</v>
      </c>
      <c r="L131" s="73" t="s">
        <v>2065</v>
      </c>
      <c r="M131" s="73">
        <v>2016</v>
      </c>
      <c r="N131" s="73" t="s">
        <v>2167</v>
      </c>
      <c r="O131" s="73" t="s">
        <v>3386</v>
      </c>
      <c r="P131" s="77" t="s">
        <v>7</v>
      </c>
      <c r="Q131" s="77">
        <v>28</v>
      </c>
      <c r="R131" s="77" t="s">
        <v>3385</v>
      </c>
      <c r="S131" s="77" t="s">
        <v>5</v>
      </c>
      <c r="T131" s="77">
        <v>9.6999999999999993</v>
      </c>
      <c r="U131" s="77" t="s">
        <v>4</v>
      </c>
      <c r="V131" s="77">
        <v>4.3</v>
      </c>
      <c r="W131" s="77" t="s">
        <v>3384</v>
      </c>
      <c r="X131" s="77" t="s">
        <v>1</v>
      </c>
      <c r="Y131" s="77" t="s">
        <v>1</v>
      </c>
      <c r="Z131" s="77" t="s">
        <v>1</v>
      </c>
      <c r="AA131" s="77" t="s">
        <v>1</v>
      </c>
      <c r="AB131" s="73" t="s">
        <v>2194</v>
      </c>
      <c r="AE131" s="25" t="s">
        <v>3383</v>
      </c>
      <c r="AF131" s="64">
        <v>1.6847000000000001E-2</v>
      </c>
      <c r="AG131" s="62">
        <v>1.3888888888888889E-3</v>
      </c>
    </row>
    <row r="132" spans="1:34" x14ac:dyDescent="0.2">
      <c r="B132" s="73" t="s">
        <v>707</v>
      </c>
      <c r="C132" s="74" t="s">
        <v>1691</v>
      </c>
      <c r="D132" s="39">
        <v>250</v>
      </c>
      <c r="E132" s="73" t="s">
        <v>9</v>
      </c>
      <c r="F132" s="75">
        <v>222</v>
      </c>
      <c r="G132" s="75">
        <f>F132+Q132+T132+W132+Z132</f>
        <v>652</v>
      </c>
      <c r="H132" s="78">
        <v>44194</v>
      </c>
      <c r="I132" s="73" t="s">
        <v>3771</v>
      </c>
      <c r="J132" s="73" t="s">
        <v>3772</v>
      </c>
      <c r="K132" s="73" t="s">
        <v>2103</v>
      </c>
      <c r="L132" s="73" t="s">
        <v>3771</v>
      </c>
      <c r="M132" s="73">
        <v>2016</v>
      </c>
      <c r="N132" s="73" t="s">
        <v>3770</v>
      </c>
      <c r="O132" s="73" t="s">
        <v>3769</v>
      </c>
      <c r="P132" s="77" t="s">
        <v>8</v>
      </c>
      <c r="Q132" s="77">
        <v>150</v>
      </c>
      <c r="R132" s="77" t="s">
        <v>3768</v>
      </c>
      <c r="S132" s="77" t="s">
        <v>8</v>
      </c>
      <c r="T132" s="77">
        <v>200</v>
      </c>
      <c r="U132" s="77" t="s">
        <v>3767</v>
      </c>
      <c r="V132" s="77" t="s">
        <v>18</v>
      </c>
      <c r="W132" s="77">
        <v>50</v>
      </c>
      <c r="X132" s="77" t="s">
        <v>3766</v>
      </c>
      <c r="Y132" s="77" t="s">
        <v>5</v>
      </c>
      <c r="Z132" s="77">
        <v>30</v>
      </c>
      <c r="AA132" s="77" t="s">
        <v>3765</v>
      </c>
      <c r="AB132" s="173" t="s">
        <v>6652</v>
      </c>
      <c r="AD132" s="173" t="s">
        <v>6648</v>
      </c>
      <c r="AE132" s="25" t="s">
        <v>3764</v>
      </c>
      <c r="AF132" s="64">
        <v>3.8457999999999999E-2</v>
      </c>
      <c r="AG132" s="62">
        <v>0.11388888888888889</v>
      </c>
    </row>
    <row r="133" spans="1:34" s="12" customFormat="1" x14ac:dyDescent="0.2">
      <c r="A133" s="73"/>
      <c r="B133" s="73" t="s">
        <v>3401</v>
      </c>
      <c r="C133" s="74" t="s">
        <v>1691</v>
      </c>
      <c r="D133" s="75">
        <v>200</v>
      </c>
      <c r="E133" s="73" t="s">
        <v>18</v>
      </c>
      <c r="F133" s="75">
        <v>45</v>
      </c>
      <c r="G133" s="75">
        <f>+F133</f>
        <v>45</v>
      </c>
      <c r="H133" s="27">
        <v>44159</v>
      </c>
      <c r="I133" s="73" t="s">
        <v>3400</v>
      </c>
      <c r="J133" s="73" t="s">
        <v>3399</v>
      </c>
      <c r="K133" s="73" t="s">
        <v>2048</v>
      </c>
      <c r="L133" s="73" t="s">
        <v>2065</v>
      </c>
      <c r="M133" s="73">
        <v>2015</v>
      </c>
      <c r="N133" s="73"/>
      <c r="O133" s="73" t="s">
        <v>3398</v>
      </c>
      <c r="P133" s="77" t="s">
        <v>7</v>
      </c>
      <c r="Q133" s="77" t="s">
        <v>1</v>
      </c>
      <c r="R133" s="77" t="s">
        <v>3397</v>
      </c>
      <c r="S133" s="77" t="s">
        <v>5</v>
      </c>
      <c r="T133" s="77" t="s">
        <v>1</v>
      </c>
      <c r="U133" s="77" t="s">
        <v>3396</v>
      </c>
      <c r="V133" s="77" t="s">
        <v>4</v>
      </c>
      <c r="W133" s="77" t="s">
        <v>1</v>
      </c>
      <c r="X133" s="77" t="s">
        <v>3395</v>
      </c>
      <c r="Y133" s="77" t="s">
        <v>4</v>
      </c>
      <c r="Z133" s="77" t="s">
        <v>1</v>
      </c>
      <c r="AA133" s="77" t="s">
        <v>3394</v>
      </c>
      <c r="AB133" s="73" t="s">
        <v>3393</v>
      </c>
      <c r="AC133" s="73"/>
      <c r="AD133" s="73"/>
      <c r="AE133" s="25" t="s">
        <v>5104</v>
      </c>
      <c r="AF133" s="63">
        <v>2.3637999999999999E-2</v>
      </c>
      <c r="AG133" s="69">
        <v>6.3194444444444442E-2</v>
      </c>
      <c r="AH133" s="73"/>
    </row>
    <row r="134" spans="1:34" x14ac:dyDescent="0.2">
      <c r="B134" s="73" t="s">
        <v>891</v>
      </c>
      <c r="C134" s="74" t="s">
        <v>1691</v>
      </c>
      <c r="D134" s="75">
        <v>150</v>
      </c>
      <c r="E134" s="73" t="s">
        <v>7</v>
      </c>
      <c r="F134" s="75">
        <v>40</v>
      </c>
      <c r="G134" s="75">
        <f>+F134+Q134</f>
        <v>54</v>
      </c>
      <c r="H134" s="78">
        <v>44650</v>
      </c>
      <c r="K134" s="73" t="s">
        <v>2048</v>
      </c>
      <c r="L134" s="73" t="s">
        <v>2233</v>
      </c>
      <c r="M134" s="85">
        <v>43361</v>
      </c>
      <c r="O134" s="73" t="s">
        <v>3326</v>
      </c>
      <c r="P134" s="77" t="s">
        <v>5</v>
      </c>
      <c r="Q134" s="77">
        <v>14</v>
      </c>
      <c r="R134" s="77" t="s">
        <v>3325</v>
      </c>
      <c r="S134" s="77" t="s">
        <v>1</v>
      </c>
      <c r="T134" s="77" t="s">
        <v>1</v>
      </c>
      <c r="U134" s="77" t="s">
        <v>1</v>
      </c>
      <c r="V134" s="77" t="s">
        <v>1</v>
      </c>
      <c r="W134" s="77" t="s">
        <v>1</v>
      </c>
      <c r="X134" s="77" t="s">
        <v>1</v>
      </c>
      <c r="Y134" s="77" t="s">
        <v>1</v>
      </c>
      <c r="Z134" s="77" t="s">
        <v>1</v>
      </c>
      <c r="AA134" s="77" t="s">
        <v>1</v>
      </c>
      <c r="AB134" s="73" t="s">
        <v>2365</v>
      </c>
      <c r="AE134" s="25" t="s">
        <v>5118</v>
      </c>
      <c r="AF134" s="63">
        <v>5.2790999999999998E-2</v>
      </c>
      <c r="AG134" s="69">
        <v>0.14861111111111111</v>
      </c>
    </row>
    <row r="135" spans="1:34" s="184" customFormat="1" x14ac:dyDescent="0.2">
      <c r="A135" s="73"/>
      <c r="B135" s="73" t="s">
        <v>3346</v>
      </c>
      <c r="C135" s="74" t="s">
        <v>1691</v>
      </c>
      <c r="D135" s="231">
        <v>150</v>
      </c>
      <c r="E135" s="73" t="s">
        <v>5</v>
      </c>
      <c r="F135" s="75">
        <v>21</v>
      </c>
      <c r="G135" s="75">
        <f>+F135+Q135</f>
        <v>26</v>
      </c>
      <c r="H135" s="78">
        <v>45027</v>
      </c>
      <c r="I135" s="73" t="s">
        <v>3345</v>
      </c>
      <c r="J135" s="73" t="s">
        <v>3344</v>
      </c>
      <c r="K135" s="34" t="s">
        <v>2048</v>
      </c>
      <c r="L135" s="34" t="s">
        <v>2459</v>
      </c>
      <c r="M135" s="84">
        <v>44562</v>
      </c>
      <c r="N135" s="73" t="s">
        <v>3343</v>
      </c>
      <c r="O135" s="73" t="s">
        <v>3342</v>
      </c>
      <c r="P135" s="77" t="s">
        <v>4</v>
      </c>
      <c r="Q135" s="77">
        <v>5</v>
      </c>
      <c r="R135" s="77" t="s">
        <v>3341</v>
      </c>
      <c r="S135" s="77" t="s">
        <v>1</v>
      </c>
      <c r="T135" s="77" t="s">
        <v>1</v>
      </c>
      <c r="U135" s="77" t="s">
        <v>1</v>
      </c>
      <c r="V135" s="77" t="s">
        <v>1</v>
      </c>
      <c r="W135" s="77" t="s">
        <v>1</v>
      </c>
      <c r="X135" s="77" t="s">
        <v>1</v>
      </c>
      <c r="Y135" s="77" t="s">
        <v>1</v>
      </c>
      <c r="Z135" s="77" t="s">
        <v>1</v>
      </c>
      <c r="AA135" s="77" t="s">
        <v>1</v>
      </c>
      <c r="AB135" s="73" t="s">
        <v>2365</v>
      </c>
      <c r="AC135" s="73"/>
      <c r="AD135" s="73"/>
      <c r="AE135" s="25" t="s">
        <v>5114</v>
      </c>
      <c r="AF135" s="63">
        <v>5.7058999999999999E-2</v>
      </c>
      <c r="AG135" s="69">
        <v>5.9722222222222225E-2</v>
      </c>
      <c r="AH135" s="73"/>
    </row>
    <row r="136" spans="1:34" x14ac:dyDescent="0.2">
      <c r="B136" s="73" t="s">
        <v>796</v>
      </c>
      <c r="C136" s="74" t="s">
        <v>1691</v>
      </c>
      <c r="D136" s="75">
        <v>150</v>
      </c>
      <c r="E136" s="73" t="s">
        <v>7</v>
      </c>
      <c r="F136" s="75">
        <v>60</v>
      </c>
      <c r="G136" s="75">
        <f>+F136+Q136+T136</f>
        <v>77.7</v>
      </c>
      <c r="H136" s="78">
        <v>45036</v>
      </c>
      <c r="I136" s="73" t="s">
        <v>3356</v>
      </c>
      <c r="K136" s="73" t="s">
        <v>2572</v>
      </c>
      <c r="L136" s="73" t="s">
        <v>3355</v>
      </c>
      <c r="M136" s="85" t="s">
        <v>2985</v>
      </c>
      <c r="O136" s="73" t="s">
        <v>3354</v>
      </c>
      <c r="P136" s="77" t="s">
        <v>5</v>
      </c>
      <c r="Q136" s="77">
        <v>16.5</v>
      </c>
      <c r="R136" s="77" t="s">
        <v>3353</v>
      </c>
      <c r="S136" s="77" t="s">
        <v>4</v>
      </c>
      <c r="T136" s="77">
        <v>1.2</v>
      </c>
      <c r="U136" s="77" t="s">
        <v>3352</v>
      </c>
      <c r="V136" s="77" t="s">
        <v>1</v>
      </c>
      <c r="W136" s="77" t="s">
        <v>1</v>
      </c>
      <c r="X136" s="77" t="s">
        <v>1</v>
      </c>
      <c r="Y136" s="77" t="s">
        <v>1</v>
      </c>
      <c r="Z136" s="77" t="s">
        <v>1</v>
      </c>
      <c r="AA136" s="77" t="s">
        <v>1</v>
      </c>
      <c r="AB136" s="73" t="s">
        <v>3351</v>
      </c>
      <c r="AE136" s="25" t="s">
        <v>5112</v>
      </c>
      <c r="AF136" s="63">
        <v>0.20650399999999999</v>
      </c>
      <c r="AG136" s="69">
        <v>0.22708333333333333</v>
      </c>
    </row>
    <row r="137" spans="1:34" x14ac:dyDescent="0.2">
      <c r="B137" s="73" t="s">
        <v>313</v>
      </c>
      <c r="C137" s="74" t="s">
        <v>1691</v>
      </c>
      <c r="D137" s="75">
        <v>150</v>
      </c>
      <c r="E137" s="73" t="s">
        <v>5</v>
      </c>
      <c r="F137" s="75">
        <v>57</v>
      </c>
      <c r="G137" s="75">
        <f>+F137</f>
        <v>57</v>
      </c>
      <c r="H137" s="78">
        <v>44508</v>
      </c>
      <c r="I137" s="73" t="s">
        <v>3313</v>
      </c>
      <c r="J137" s="73" t="s">
        <v>3312</v>
      </c>
      <c r="K137" s="73" t="s">
        <v>2048</v>
      </c>
      <c r="L137" s="73" t="s">
        <v>2629</v>
      </c>
      <c r="M137" s="73">
        <v>2017</v>
      </c>
      <c r="O137" s="73" t="s">
        <v>3311</v>
      </c>
      <c r="P137" s="77" t="s">
        <v>4</v>
      </c>
      <c r="Q137" s="77" t="s">
        <v>1</v>
      </c>
      <c r="R137" s="77" t="s">
        <v>3310</v>
      </c>
      <c r="S137" s="77" t="s">
        <v>1</v>
      </c>
      <c r="T137" s="77" t="s">
        <v>1</v>
      </c>
      <c r="U137" s="77" t="s">
        <v>1</v>
      </c>
      <c r="V137" s="77" t="s">
        <v>1</v>
      </c>
      <c r="W137" s="77" t="s">
        <v>1</v>
      </c>
      <c r="X137" s="77" t="s">
        <v>1</v>
      </c>
      <c r="Y137" s="77" t="s">
        <v>1</v>
      </c>
      <c r="Z137" s="77" t="s">
        <v>1</v>
      </c>
      <c r="AA137" s="77" t="s">
        <v>1</v>
      </c>
      <c r="AB137" s="73" t="s">
        <v>2155</v>
      </c>
      <c r="AE137" s="25" t="s">
        <v>5121</v>
      </c>
      <c r="AF137" s="63">
        <v>4.4072E-2</v>
      </c>
      <c r="AG137" s="69">
        <v>0.21875</v>
      </c>
    </row>
    <row r="138" spans="1:34" s="12" customFormat="1" x14ac:dyDescent="0.2">
      <c r="B138" s="12" t="s">
        <v>446</v>
      </c>
      <c r="C138" s="29" t="s">
        <v>1691</v>
      </c>
      <c r="D138" s="15">
        <v>150</v>
      </c>
      <c r="E138" s="12" t="s">
        <v>7</v>
      </c>
      <c r="F138" s="15">
        <v>30</v>
      </c>
      <c r="G138" s="15">
        <f>+F138+Q138+T138+W138</f>
        <v>63.12</v>
      </c>
      <c r="H138" s="14">
        <v>44756</v>
      </c>
      <c r="I138" s="12" t="s">
        <v>3336</v>
      </c>
      <c r="J138" s="12" t="s">
        <v>3335</v>
      </c>
      <c r="K138" s="12" t="s">
        <v>2048</v>
      </c>
      <c r="L138" s="12" t="s">
        <v>3334</v>
      </c>
      <c r="M138" s="12">
        <v>2017</v>
      </c>
      <c r="O138" s="12" t="s">
        <v>3333</v>
      </c>
      <c r="P138" s="24" t="s">
        <v>5</v>
      </c>
      <c r="Q138" s="24">
        <v>28</v>
      </c>
      <c r="R138" s="24" t="s">
        <v>3332</v>
      </c>
      <c r="S138" s="24" t="s">
        <v>4</v>
      </c>
      <c r="T138" s="24">
        <v>5</v>
      </c>
      <c r="U138" s="24" t="s">
        <v>3331</v>
      </c>
      <c r="V138" s="24" t="s">
        <v>4</v>
      </c>
      <c r="W138" s="24">
        <v>0.12</v>
      </c>
      <c r="X138" s="24" t="s">
        <v>1068</v>
      </c>
      <c r="Y138" s="24" t="s">
        <v>1</v>
      </c>
      <c r="Z138" s="24" t="s">
        <v>1</v>
      </c>
      <c r="AA138" s="24" t="s">
        <v>1</v>
      </c>
      <c r="AB138" s="12" t="s">
        <v>2051</v>
      </c>
      <c r="AE138" s="37" t="s">
        <v>5116</v>
      </c>
      <c r="AF138" s="65">
        <v>0.72334200000000004</v>
      </c>
      <c r="AG138" s="71">
        <v>0.14722222222222223</v>
      </c>
    </row>
    <row r="139" spans="1:34" x14ac:dyDescent="0.2">
      <c r="B139" s="73" t="s">
        <v>894</v>
      </c>
      <c r="C139" s="74" t="s">
        <v>1691</v>
      </c>
      <c r="D139" s="75">
        <v>150</v>
      </c>
      <c r="E139" s="73" t="s">
        <v>7</v>
      </c>
      <c r="F139" s="75">
        <v>40</v>
      </c>
      <c r="G139" s="75">
        <f>+F139+Q139</f>
        <v>58.6</v>
      </c>
      <c r="H139" s="78">
        <v>44728</v>
      </c>
      <c r="I139" s="73" t="s">
        <v>3330</v>
      </c>
      <c r="K139" s="73" t="s">
        <v>2572</v>
      </c>
      <c r="L139" s="73" t="s">
        <v>2059</v>
      </c>
      <c r="M139" s="85" t="s">
        <v>2985</v>
      </c>
      <c r="O139" s="73" t="s">
        <v>3329</v>
      </c>
      <c r="P139" s="77" t="s">
        <v>5</v>
      </c>
      <c r="Q139" s="77">
        <v>18.600000000000001</v>
      </c>
      <c r="R139" s="77" t="s">
        <v>3328</v>
      </c>
      <c r="S139" s="77" t="s">
        <v>4</v>
      </c>
      <c r="T139" s="77" t="s">
        <v>1</v>
      </c>
      <c r="U139" s="77" t="s">
        <v>3327</v>
      </c>
      <c r="V139" s="77" t="s">
        <v>1</v>
      </c>
      <c r="W139" s="77" t="s">
        <v>1</v>
      </c>
      <c r="X139" s="77" t="s">
        <v>1</v>
      </c>
      <c r="Y139" s="73" t="s">
        <v>1</v>
      </c>
      <c r="Z139" s="77" t="s">
        <v>1</v>
      </c>
      <c r="AA139" s="77" t="s">
        <v>1</v>
      </c>
      <c r="AB139" s="73" t="s">
        <v>2058</v>
      </c>
      <c r="AE139" s="25" t="s">
        <v>5117</v>
      </c>
      <c r="AF139" s="63">
        <v>0.522698</v>
      </c>
      <c r="AG139" s="69">
        <v>0.17500000000000002</v>
      </c>
    </row>
    <row r="140" spans="1:34" x14ac:dyDescent="0.2">
      <c r="B140" s="73" t="s">
        <v>864</v>
      </c>
      <c r="C140" s="74" t="s">
        <v>1691</v>
      </c>
      <c r="D140" s="75">
        <v>150</v>
      </c>
      <c r="E140" s="73" t="s">
        <v>7</v>
      </c>
      <c r="F140" s="75">
        <v>50</v>
      </c>
      <c r="G140" s="75">
        <f>+F140+Q140</f>
        <v>60</v>
      </c>
      <c r="H140" s="78">
        <v>44628</v>
      </c>
      <c r="I140" s="73" t="s">
        <v>3350</v>
      </c>
      <c r="K140" s="73" t="s">
        <v>2572</v>
      </c>
      <c r="L140" s="73" t="s">
        <v>2168</v>
      </c>
      <c r="M140" s="85">
        <v>43647</v>
      </c>
      <c r="O140" s="73" t="s">
        <v>3349</v>
      </c>
      <c r="P140" s="77" t="s">
        <v>5</v>
      </c>
      <c r="Q140" s="77">
        <v>10</v>
      </c>
      <c r="R140" s="77" t="s">
        <v>3348</v>
      </c>
      <c r="S140" s="77" t="s">
        <v>4</v>
      </c>
      <c r="T140" s="77" t="s">
        <v>1</v>
      </c>
      <c r="U140" s="77" t="s">
        <v>3347</v>
      </c>
      <c r="V140" s="77" t="s">
        <v>1</v>
      </c>
      <c r="W140" s="77" t="s">
        <v>1</v>
      </c>
      <c r="X140" s="77" t="s">
        <v>1</v>
      </c>
      <c r="Y140" s="77" t="s">
        <v>1</v>
      </c>
      <c r="Z140" s="77" t="s">
        <v>1</v>
      </c>
      <c r="AA140" s="77" t="s">
        <v>1</v>
      </c>
      <c r="AB140" s="73" t="s">
        <v>2438</v>
      </c>
      <c r="AE140" s="25" t="s">
        <v>5113</v>
      </c>
      <c r="AF140" s="63">
        <v>0</v>
      </c>
      <c r="AG140" s="69">
        <v>0.16597222222222222</v>
      </c>
    </row>
    <row r="141" spans="1:34" s="184" customFormat="1" x14ac:dyDescent="0.2">
      <c r="A141" s="73"/>
      <c r="B141" s="160" t="s">
        <v>2049</v>
      </c>
      <c r="C141" s="165" t="s">
        <v>1691</v>
      </c>
      <c r="D141" s="162">
        <v>150</v>
      </c>
      <c r="E141" s="160" t="s">
        <v>7</v>
      </c>
      <c r="F141" s="162">
        <v>50</v>
      </c>
      <c r="G141" s="162">
        <f>F141+Q141+T141</f>
        <v>63</v>
      </c>
      <c r="H141" s="163">
        <v>44252</v>
      </c>
      <c r="I141" s="160" t="s">
        <v>6390</v>
      </c>
      <c r="J141" s="160" t="s">
        <v>6383</v>
      </c>
      <c r="K141" s="160" t="s">
        <v>2048</v>
      </c>
      <c r="L141" s="160" t="s">
        <v>2047</v>
      </c>
      <c r="M141" s="166">
        <v>42401</v>
      </c>
      <c r="N141" s="160"/>
      <c r="O141" s="160" t="s">
        <v>6385</v>
      </c>
      <c r="P141" s="164" t="s">
        <v>5</v>
      </c>
      <c r="Q141" s="164">
        <v>10</v>
      </c>
      <c r="R141" s="164" t="s">
        <v>6391</v>
      </c>
      <c r="S141" s="164" t="s">
        <v>4</v>
      </c>
      <c r="T141" s="164">
        <v>3</v>
      </c>
      <c r="U141" s="164" t="s">
        <v>6393</v>
      </c>
      <c r="V141" s="164" t="s">
        <v>1</v>
      </c>
      <c r="W141" s="164" t="s">
        <v>1</v>
      </c>
      <c r="X141" s="164" t="s">
        <v>1</v>
      </c>
      <c r="Y141" s="164" t="s">
        <v>1</v>
      </c>
      <c r="Z141" s="164" t="s">
        <v>1</v>
      </c>
      <c r="AA141" s="164" t="s">
        <v>1</v>
      </c>
      <c r="AB141" s="160" t="s">
        <v>2046</v>
      </c>
      <c r="AC141" s="160"/>
      <c r="AD141" s="160"/>
      <c r="AE141" s="25" t="s">
        <v>2045</v>
      </c>
      <c r="AF141" s="64"/>
      <c r="AG141" s="59"/>
      <c r="AH141" s="160"/>
    </row>
    <row r="142" spans="1:34" s="184" customFormat="1" x14ac:dyDescent="0.2">
      <c r="A142" s="73"/>
      <c r="B142" s="160" t="s">
        <v>2044</v>
      </c>
      <c r="C142" s="165" t="s">
        <v>1691</v>
      </c>
      <c r="D142" s="162">
        <v>150</v>
      </c>
      <c r="E142" s="160" t="s">
        <v>7</v>
      </c>
      <c r="F142" s="162">
        <v>42</v>
      </c>
      <c r="G142" s="162">
        <f>F142+Q142+T142</f>
        <v>60.3</v>
      </c>
      <c r="H142" s="163">
        <v>44831</v>
      </c>
      <c r="I142" s="160" t="s">
        <v>6398</v>
      </c>
      <c r="J142" s="160" t="s">
        <v>6397</v>
      </c>
      <c r="K142" s="160" t="s">
        <v>2048</v>
      </c>
      <c r="L142" s="160" t="s">
        <v>2059</v>
      </c>
      <c r="M142" s="160">
        <v>2018</v>
      </c>
      <c r="N142" s="160"/>
      <c r="O142" s="160" t="s">
        <v>6399</v>
      </c>
      <c r="P142" s="164" t="s">
        <v>5</v>
      </c>
      <c r="Q142" s="164">
        <v>15</v>
      </c>
      <c r="R142" s="164" t="s">
        <v>6403</v>
      </c>
      <c r="S142" s="164" t="s">
        <v>4</v>
      </c>
      <c r="T142" s="164">
        <v>3.3</v>
      </c>
      <c r="U142" s="164" t="s">
        <v>6405</v>
      </c>
      <c r="V142" s="164" t="s">
        <v>1</v>
      </c>
      <c r="W142" s="164" t="s">
        <v>1</v>
      </c>
      <c r="X142" s="164" t="s">
        <v>1</v>
      </c>
      <c r="Y142" s="164" t="s">
        <v>1</v>
      </c>
      <c r="Z142" s="164" t="s">
        <v>1</v>
      </c>
      <c r="AA142" s="164" t="s">
        <v>1</v>
      </c>
      <c r="AB142" s="160" t="s">
        <v>2058</v>
      </c>
      <c r="AC142" s="160"/>
      <c r="AD142" s="160"/>
      <c r="AE142" s="25" t="s">
        <v>6396</v>
      </c>
      <c r="AF142" s="63"/>
      <c r="AG142" s="58"/>
      <c r="AH142" s="160"/>
    </row>
    <row r="143" spans="1:34" x14ac:dyDescent="0.2">
      <c r="B143" s="73" t="s">
        <v>1070</v>
      </c>
      <c r="C143" s="74" t="s">
        <v>1691</v>
      </c>
      <c r="D143" s="75">
        <v>150</v>
      </c>
      <c r="E143" s="73" t="s">
        <v>7</v>
      </c>
      <c r="F143" s="75">
        <v>18</v>
      </c>
      <c r="G143" s="75">
        <f>+F143+Q143</f>
        <v>36.5</v>
      </c>
      <c r="H143" s="78">
        <v>44831</v>
      </c>
      <c r="I143" s="73" t="s">
        <v>3340</v>
      </c>
      <c r="J143" s="73" t="s">
        <v>3339</v>
      </c>
      <c r="K143" s="73" t="s">
        <v>2048</v>
      </c>
      <c r="L143" s="73" t="s">
        <v>2233</v>
      </c>
      <c r="M143" s="73">
        <v>2021</v>
      </c>
      <c r="O143" s="73" t="s">
        <v>3338</v>
      </c>
      <c r="P143" s="77" t="s">
        <v>5</v>
      </c>
      <c r="Q143" s="77">
        <v>18.5</v>
      </c>
      <c r="R143" s="77" t="s">
        <v>3337</v>
      </c>
      <c r="S143" s="77" t="s">
        <v>1</v>
      </c>
      <c r="T143" s="77" t="s">
        <v>1</v>
      </c>
      <c r="U143" s="77" t="s">
        <v>1</v>
      </c>
      <c r="V143" s="77" t="s">
        <v>1</v>
      </c>
      <c r="W143" s="77" t="s">
        <v>1</v>
      </c>
      <c r="X143" s="77" t="s">
        <v>1</v>
      </c>
      <c r="Y143" s="77" t="s">
        <v>1</v>
      </c>
      <c r="Z143" s="77" t="s">
        <v>1</v>
      </c>
      <c r="AA143" s="77" t="s">
        <v>1</v>
      </c>
      <c r="AB143" s="73" t="s">
        <v>2046</v>
      </c>
      <c r="AE143" s="25" t="s">
        <v>5115</v>
      </c>
      <c r="AF143" s="63">
        <v>1.3032E-2</v>
      </c>
      <c r="AG143" s="69">
        <v>6.458333333333334E-2</v>
      </c>
    </row>
    <row r="144" spans="1:34" x14ac:dyDescent="0.2">
      <c r="B144" s="73" t="s">
        <v>525</v>
      </c>
      <c r="C144" s="74" t="s">
        <v>1691</v>
      </c>
      <c r="D144" s="75">
        <v>125</v>
      </c>
      <c r="E144" s="73" t="s">
        <v>7</v>
      </c>
      <c r="F144" s="75">
        <v>32</v>
      </c>
      <c r="G144" s="75">
        <f>+F144+Q144+T144</f>
        <v>45.2</v>
      </c>
      <c r="H144" s="27">
        <v>44364</v>
      </c>
      <c r="I144" s="73" t="s">
        <v>2740</v>
      </c>
      <c r="J144" s="73" t="s">
        <v>3304</v>
      </c>
      <c r="K144" s="73" t="s">
        <v>2048</v>
      </c>
      <c r="L144" s="73" t="s">
        <v>2059</v>
      </c>
      <c r="M144" s="73">
        <v>2018</v>
      </c>
      <c r="O144" s="73" t="s">
        <v>3303</v>
      </c>
      <c r="P144" s="77" t="s">
        <v>5</v>
      </c>
      <c r="Q144" s="77">
        <v>10.199999999999999</v>
      </c>
      <c r="R144" s="77" t="s">
        <v>3302</v>
      </c>
      <c r="S144" s="77" t="s">
        <v>4</v>
      </c>
      <c r="T144" s="77">
        <v>3</v>
      </c>
      <c r="U144" s="77" t="s">
        <v>3301</v>
      </c>
      <c r="V144" s="77" t="s">
        <v>1</v>
      </c>
      <c r="W144" s="77" t="s">
        <v>1</v>
      </c>
      <c r="X144" s="77" t="s">
        <v>1</v>
      </c>
      <c r="Y144" s="77" t="s">
        <v>1</v>
      </c>
      <c r="Z144" s="77" t="s">
        <v>1</v>
      </c>
      <c r="AA144" s="77" t="s">
        <v>1</v>
      </c>
      <c r="AB144" s="73" t="s">
        <v>2155</v>
      </c>
      <c r="AE144" s="25" t="s">
        <v>5123</v>
      </c>
      <c r="AF144" s="63">
        <v>2.0410999999999999E-2</v>
      </c>
      <c r="AG144" s="69">
        <v>5.5555555555555552E-2</v>
      </c>
    </row>
    <row r="145" spans="1:34" s="184" customFormat="1" x14ac:dyDescent="0.2">
      <c r="A145" s="73"/>
      <c r="B145" s="73" t="s">
        <v>843</v>
      </c>
      <c r="C145" s="74" t="s">
        <v>1691</v>
      </c>
      <c r="D145" s="75">
        <v>125</v>
      </c>
      <c r="E145" s="73" t="s">
        <v>5</v>
      </c>
      <c r="F145" s="75">
        <v>44</v>
      </c>
      <c r="G145" s="75">
        <f>+F145</f>
        <v>44</v>
      </c>
      <c r="H145" s="78">
        <v>44671</v>
      </c>
      <c r="I145" s="73" t="s">
        <v>3308</v>
      </c>
      <c r="J145" s="73" t="s">
        <v>3309</v>
      </c>
      <c r="K145" s="73" t="s">
        <v>2572</v>
      </c>
      <c r="L145" s="73" t="s">
        <v>2082</v>
      </c>
      <c r="M145" s="85" t="s">
        <v>2985</v>
      </c>
      <c r="N145" s="73" t="s">
        <v>3308</v>
      </c>
      <c r="O145" s="73" t="s">
        <v>3307</v>
      </c>
      <c r="P145" s="77" t="s">
        <v>3306</v>
      </c>
      <c r="Q145" s="73" t="s">
        <v>1</v>
      </c>
      <c r="R145" s="77" t="s">
        <v>3305</v>
      </c>
      <c r="S145" s="73" t="s">
        <v>1</v>
      </c>
      <c r="T145" s="73" t="s">
        <v>1</v>
      </c>
      <c r="U145" s="77" t="s">
        <v>1</v>
      </c>
      <c r="V145" s="77" t="s">
        <v>1</v>
      </c>
      <c r="W145" s="77" t="s">
        <v>1</v>
      </c>
      <c r="X145" s="77" t="s">
        <v>1</v>
      </c>
      <c r="Y145" s="73" t="s">
        <v>1</v>
      </c>
      <c r="Z145" s="77" t="s">
        <v>1</v>
      </c>
      <c r="AA145" s="77" t="s">
        <v>1</v>
      </c>
      <c r="AB145" s="73" t="s">
        <v>2365</v>
      </c>
      <c r="AC145" s="73"/>
      <c r="AD145" s="73"/>
      <c r="AE145" s="25" t="s">
        <v>5122</v>
      </c>
      <c r="AF145" s="63">
        <v>0</v>
      </c>
      <c r="AG145" s="69">
        <v>0.1451388888888889</v>
      </c>
      <c r="AH145" s="73"/>
    </row>
    <row r="146" spans="1:34" x14ac:dyDescent="0.2">
      <c r="B146" s="73" t="s">
        <v>3316</v>
      </c>
      <c r="C146" s="74" t="s">
        <v>1691</v>
      </c>
      <c r="D146" s="75">
        <v>125</v>
      </c>
      <c r="E146" s="73" t="s">
        <v>5</v>
      </c>
      <c r="F146" s="75">
        <v>65</v>
      </c>
      <c r="G146" s="75">
        <f>+F146</f>
        <v>65</v>
      </c>
      <c r="H146" s="27">
        <v>44287</v>
      </c>
      <c r="I146" s="73" t="s">
        <v>3315</v>
      </c>
      <c r="J146" s="73" t="s">
        <v>3314</v>
      </c>
      <c r="K146" s="73" t="s">
        <v>2311</v>
      </c>
      <c r="L146" s="73" t="s">
        <v>2768</v>
      </c>
      <c r="M146" s="84">
        <v>44228</v>
      </c>
      <c r="O146" s="73" t="s">
        <v>1</v>
      </c>
      <c r="P146" s="73" t="s">
        <v>1</v>
      </c>
      <c r="Q146" s="73" t="s">
        <v>1</v>
      </c>
      <c r="R146" s="73" t="s">
        <v>1</v>
      </c>
      <c r="S146" s="73" t="s">
        <v>1</v>
      </c>
      <c r="T146" s="73" t="s">
        <v>1</v>
      </c>
      <c r="U146" s="77" t="s">
        <v>1</v>
      </c>
      <c r="V146" s="77" t="s">
        <v>1</v>
      </c>
      <c r="W146" s="77" t="s">
        <v>1</v>
      </c>
      <c r="X146" s="77" t="s">
        <v>1</v>
      </c>
      <c r="Y146" s="73" t="s">
        <v>1</v>
      </c>
      <c r="Z146" s="77" t="s">
        <v>1</v>
      </c>
      <c r="AA146" s="77" t="s">
        <v>1</v>
      </c>
      <c r="AB146" s="73" t="s">
        <v>3044</v>
      </c>
      <c r="AE146" s="25" t="s">
        <v>5120</v>
      </c>
      <c r="AF146" s="63">
        <v>0.121147</v>
      </c>
      <c r="AG146" s="69">
        <v>0.34652777777777777</v>
      </c>
    </row>
    <row r="147" spans="1:34" s="12" customFormat="1" x14ac:dyDescent="0.2">
      <c r="A147" s="73"/>
      <c r="B147" s="12" t="s">
        <v>3300</v>
      </c>
      <c r="C147" s="29" t="s">
        <v>1691</v>
      </c>
      <c r="D147" s="15">
        <v>125</v>
      </c>
      <c r="E147" s="12" t="s">
        <v>5</v>
      </c>
      <c r="F147" s="15">
        <v>20</v>
      </c>
      <c r="G147" s="75">
        <f>+F147</f>
        <v>20</v>
      </c>
      <c r="H147" s="14">
        <v>44854</v>
      </c>
      <c r="I147" s="12" t="s">
        <v>3299</v>
      </c>
      <c r="J147" s="12" t="s">
        <v>3298</v>
      </c>
      <c r="K147" s="12" t="s">
        <v>2318</v>
      </c>
      <c r="L147" s="12" t="s">
        <v>3179</v>
      </c>
      <c r="M147" s="12">
        <v>2021</v>
      </c>
      <c r="O147" s="12" t="s">
        <v>3297</v>
      </c>
      <c r="P147" s="24" t="s">
        <v>4</v>
      </c>
      <c r="Q147" s="24" t="s">
        <v>1</v>
      </c>
      <c r="R147" s="24" t="s">
        <v>2699</v>
      </c>
      <c r="S147" s="24" t="s">
        <v>1</v>
      </c>
      <c r="T147" s="24" t="s">
        <v>1</v>
      </c>
      <c r="U147" s="24" t="s">
        <v>1</v>
      </c>
      <c r="V147" s="24" t="s">
        <v>1</v>
      </c>
      <c r="W147" s="24" t="s">
        <v>1</v>
      </c>
      <c r="X147" s="24" t="s">
        <v>1</v>
      </c>
      <c r="Y147" s="24" t="s">
        <v>1</v>
      </c>
      <c r="Z147" s="24" t="s">
        <v>1</v>
      </c>
      <c r="AA147" s="24" t="s">
        <v>1</v>
      </c>
      <c r="AB147" s="12" t="s">
        <v>2365</v>
      </c>
      <c r="AE147" s="25" t="s">
        <v>5124</v>
      </c>
      <c r="AF147" s="65">
        <v>2.4740999999999999E-2</v>
      </c>
      <c r="AG147" s="71">
        <v>0.14444444444444446</v>
      </c>
    </row>
    <row r="148" spans="1:34" x14ac:dyDescent="0.2">
      <c r="B148" s="73" t="s">
        <v>984</v>
      </c>
      <c r="C148" s="74" t="s">
        <v>1691</v>
      </c>
      <c r="D148" s="75">
        <v>125</v>
      </c>
      <c r="E148" s="73" t="s">
        <v>7</v>
      </c>
      <c r="F148" s="75">
        <v>38</v>
      </c>
      <c r="G148" s="75">
        <f>+F148+Q148+T148</f>
        <v>61</v>
      </c>
      <c r="H148" s="78">
        <v>44812</v>
      </c>
      <c r="I148" s="73" t="s">
        <v>3124</v>
      </c>
      <c r="J148" s="73" t="s">
        <v>3296</v>
      </c>
      <c r="K148" s="73" t="s">
        <v>2572</v>
      </c>
      <c r="L148" s="73" t="s">
        <v>2059</v>
      </c>
      <c r="M148" s="85" t="s">
        <v>3132</v>
      </c>
      <c r="O148" s="73" t="s">
        <v>3295</v>
      </c>
      <c r="P148" s="77" t="s">
        <v>5</v>
      </c>
      <c r="Q148" s="77">
        <v>19</v>
      </c>
      <c r="R148" s="77" t="s">
        <v>3294</v>
      </c>
      <c r="S148" s="77" t="s">
        <v>4</v>
      </c>
      <c r="T148" s="77">
        <v>4</v>
      </c>
      <c r="U148" s="77" t="s">
        <v>3293</v>
      </c>
      <c r="V148" s="77" t="s">
        <v>278</v>
      </c>
      <c r="W148" s="77" t="s">
        <v>1</v>
      </c>
      <c r="X148" s="77" t="s">
        <v>1026</v>
      </c>
      <c r="Y148" s="77" t="s">
        <v>1</v>
      </c>
      <c r="Z148" s="77" t="s">
        <v>1</v>
      </c>
      <c r="AA148" s="77" t="s">
        <v>1</v>
      </c>
      <c r="AB148" s="73" t="s">
        <v>2088</v>
      </c>
      <c r="AE148" s="25" t="s">
        <v>5125</v>
      </c>
      <c r="AF148" s="63">
        <v>6.6060999999999995E-2</v>
      </c>
      <c r="AG148" s="69">
        <v>0.1125</v>
      </c>
    </row>
    <row r="149" spans="1:34" x14ac:dyDescent="0.2">
      <c r="B149" s="73" t="s">
        <v>697</v>
      </c>
      <c r="C149" s="74" t="s">
        <v>1691</v>
      </c>
      <c r="D149" s="75">
        <v>110</v>
      </c>
      <c r="E149" s="73" t="s">
        <v>5</v>
      </c>
      <c r="F149" s="75">
        <v>23.5</v>
      </c>
      <c r="G149" s="75">
        <f>+F149+Q149</f>
        <v>29.1</v>
      </c>
      <c r="H149" s="78">
        <v>44875</v>
      </c>
      <c r="I149" s="73" t="s">
        <v>3211</v>
      </c>
      <c r="J149" s="73" t="s">
        <v>3210</v>
      </c>
      <c r="K149" s="73" t="s">
        <v>2048</v>
      </c>
      <c r="L149" s="73" t="s">
        <v>2572</v>
      </c>
      <c r="M149" s="79">
        <v>44292</v>
      </c>
      <c r="O149" s="73" t="s">
        <v>3209</v>
      </c>
      <c r="P149" s="77" t="s">
        <v>4</v>
      </c>
      <c r="Q149" s="77">
        <v>5.6</v>
      </c>
      <c r="R149" s="77" t="s">
        <v>3208</v>
      </c>
      <c r="S149" s="77" t="s">
        <v>278</v>
      </c>
      <c r="T149" s="77" t="s">
        <v>1</v>
      </c>
      <c r="U149" s="77" t="s">
        <v>3207</v>
      </c>
      <c r="V149" s="77" t="s">
        <v>1</v>
      </c>
      <c r="W149" s="77" t="s">
        <v>1</v>
      </c>
      <c r="X149" s="77" t="s">
        <v>1</v>
      </c>
      <c r="Y149" s="77" t="s">
        <v>1</v>
      </c>
      <c r="Z149" s="77" t="s">
        <v>1</v>
      </c>
      <c r="AA149" s="77" t="s">
        <v>1</v>
      </c>
      <c r="AB149" s="73" t="s">
        <v>3206</v>
      </c>
      <c r="AE149" s="25" t="s">
        <v>5152</v>
      </c>
      <c r="AF149" s="63">
        <v>0.63859900000000003</v>
      </c>
      <c r="AG149" s="69">
        <v>0.18611111111111112</v>
      </c>
    </row>
    <row r="150" spans="1:34" x14ac:dyDescent="0.2">
      <c r="B150" s="73" t="s">
        <v>3256</v>
      </c>
      <c r="C150" s="74" t="s">
        <v>1691</v>
      </c>
      <c r="D150" s="75">
        <v>100</v>
      </c>
      <c r="E150" s="73" t="s">
        <v>18</v>
      </c>
      <c r="F150" s="75">
        <v>38</v>
      </c>
      <c r="G150" s="75">
        <f>+F150+Q150+T150+W150</f>
        <v>61.5</v>
      </c>
      <c r="H150" s="78">
        <v>44580</v>
      </c>
      <c r="I150" s="73" t="s">
        <v>3255</v>
      </c>
      <c r="J150" s="73" t="s">
        <v>3254</v>
      </c>
      <c r="K150" s="73" t="s">
        <v>2048</v>
      </c>
      <c r="L150" s="73" t="s">
        <v>3253</v>
      </c>
      <c r="M150" s="73">
        <v>2017</v>
      </c>
      <c r="N150" s="73" t="s">
        <v>3252</v>
      </c>
      <c r="O150" s="73" t="s">
        <v>3251</v>
      </c>
      <c r="P150" s="77" t="s">
        <v>7</v>
      </c>
      <c r="Q150" s="77">
        <v>13.5</v>
      </c>
      <c r="R150" s="77" t="s">
        <v>3250</v>
      </c>
      <c r="S150" s="77" t="s">
        <v>5</v>
      </c>
      <c r="T150" s="77">
        <v>8.4</v>
      </c>
      <c r="U150" s="77" t="s">
        <v>3249</v>
      </c>
      <c r="V150" s="77" t="s">
        <v>4</v>
      </c>
      <c r="W150" s="77">
        <v>1.6</v>
      </c>
      <c r="X150" s="77" t="s">
        <v>3249</v>
      </c>
      <c r="Y150" s="77" t="s">
        <v>1</v>
      </c>
      <c r="Z150" s="77" t="s">
        <v>1</v>
      </c>
      <c r="AA150" s="77" t="s">
        <v>1</v>
      </c>
      <c r="AB150" s="73" t="s">
        <v>3248</v>
      </c>
      <c r="AE150" s="25" t="s">
        <v>5137</v>
      </c>
      <c r="AF150" s="63">
        <v>7.8155000000000002E-2</v>
      </c>
      <c r="AG150" s="69">
        <v>0.47152777777777777</v>
      </c>
    </row>
    <row r="151" spans="1:34" x14ac:dyDescent="0.2">
      <c r="A151" s="184"/>
      <c r="B151" s="184" t="s">
        <v>3091</v>
      </c>
      <c r="C151" s="193" t="s">
        <v>1691</v>
      </c>
      <c r="D151" s="186">
        <v>100</v>
      </c>
      <c r="E151" s="184" t="s">
        <v>5</v>
      </c>
      <c r="F151" s="186">
        <v>21</v>
      </c>
      <c r="G151" s="186"/>
      <c r="H151" s="194">
        <v>44295</v>
      </c>
      <c r="I151" s="184" t="s">
        <v>3090</v>
      </c>
      <c r="J151" s="184" t="s">
        <v>3089</v>
      </c>
      <c r="K151" s="184" t="s">
        <v>2048</v>
      </c>
      <c r="L151" s="184" t="s">
        <v>2065</v>
      </c>
      <c r="M151" s="197">
        <v>43282</v>
      </c>
      <c r="N151" s="184"/>
      <c r="O151" s="184" t="s">
        <v>1</v>
      </c>
      <c r="P151" s="187" t="s">
        <v>4</v>
      </c>
      <c r="Q151" s="187" t="s">
        <v>1</v>
      </c>
      <c r="R151" s="187" t="s">
        <v>3088</v>
      </c>
      <c r="S151" s="187" t="s">
        <v>1</v>
      </c>
      <c r="T151" s="187" t="s">
        <v>1</v>
      </c>
      <c r="U151" s="187" t="s">
        <v>1</v>
      </c>
      <c r="V151" s="187" t="s">
        <v>1</v>
      </c>
      <c r="W151" s="187" t="s">
        <v>1</v>
      </c>
      <c r="X151" s="187" t="s">
        <v>1</v>
      </c>
      <c r="Y151" s="187" t="s">
        <v>1</v>
      </c>
      <c r="Z151" s="187" t="s">
        <v>1</v>
      </c>
      <c r="AA151" s="187" t="s">
        <v>1</v>
      </c>
      <c r="AB151" s="184" t="s">
        <v>2148</v>
      </c>
      <c r="AC151" s="184"/>
      <c r="AD151" s="184"/>
      <c r="AE151" s="25" t="s">
        <v>5195</v>
      </c>
      <c r="AF151" s="63">
        <v>7.8120999999999996E-2</v>
      </c>
      <c r="AG151" s="69">
        <v>4.6527777777777779E-2</v>
      </c>
      <c r="AH151" s="184"/>
    </row>
    <row r="152" spans="1:34" s="184" customFormat="1" x14ac:dyDescent="0.2">
      <c r="B152" s="184" t="s">
        <v>735</v>
      </c>
      <c r="C152" s="193" t="s">
        <v>1691</v>
      </c>
      <c r="D152" s="186">
        <v>100</v>
      </c>
      <c r="E152" s="184" t="s">
        <v>7</v>
      </c>
      <c r="F152" s="186">
        <v>25</v>
      </c>
      <c r="G152" s="186"/>
      <c r="H152" s="194">
        <v>44764</v>
      </c>
      <c r="I152" s="184" t="s">
        <v>3118</v>
      </c>
      <c r="J152" s="184" t="s">
        <v>3117</v>
      </c>
      <c r="K152" s="184" t="s">
        <v>2572</v>
      </c>
      <c r="L152" s="184" t="s">
        <v>2059</v>
      </c>
      <c r="M152" s="197" t="s">
        <v>2985</v>
      </c>
      <c r="O152" s="187" t="s">
        <v>3116</v>
      </c>
      <c r="P152" s="187" t="s">
        <v>5</v>
      </c>
      <c r="Q152" s="187">
        <v>21</v>
      </c>
      <c r="R152" s="187" t="s">
        <v>3115</v>
      </c>
      <c r="S152" s="187" t="s">
        <v>4</v>
      </c>
      <c r="T152" s="187">
        <v>9.1</v>
      </c>
      <c r="U152" s="187" t="s">
        <v>3114</v>
      </c>
      <c r="V152" s="187" t="s">
        <v>1</v>
      </c>
      <c r="W152" s="187" t="s">
        <v>1</v>
      </c>
      <c r="X152" s="187" t="s">
        <v>1</v>
      </c>
      <c r="Y152" s="187" t="s">
        <v>1</v>
      </c>
      <c r="Z152" s="187" t="s">
        <v>1</v>
      </c>
      <c r="AA152" s="187" t="s">
        <v>1</v>
      </c>
      <c r="AB152" s="184" t="s">
        <v>2081</v>
      </c>
      <c r="AE152" s="25" t="s">
        <v>5190</v>
      </c>
      <c r="AF152" s="63">
        <v>5.6669999999999998E-2</v>
      </c>
      <c r="AG152" s="69">
        <v>0.22013888888888888</v>
      </c>
    </row>
    <row r="153" spans="1:34" x14ac:dyDescent="0.2">
      <c r="B153" s="73" t="s">
        <v>3174</v>
      </c>
      <c r="C153" s="74" t="s">
        <v>1691</v>
      </c>
      <c r="D153" s="75">
        <v>100</v>
      </c>
      <c r="E153" s="73" t="s">
        <v>5</v>
      </c>
      <c r="F153" s="75">
        <v>25</v>
      </c>
      <c r="G153" s="75">
        <f>+F153</f>
        <v>25</v>
      </c>
      <c r="H153" s="78">
        <v>44404</v>
      </c>
      <c r="I153" s="73" t="s">
        <v>2392</v>
      </c>
      <c r="J153" s="73" t="s">
        <v>3173</v>
      </c>
      <c r="K153" s="73" t="s">
        <v>2572</v>
      </c>
      <c r="L153" s="73" t="s">
        <v>3172</v>
      </c>
      <c r="M153" s="85">
        <v>43496</v>
      </c>
      <c r="O153" s="34" t="s">
        <v>3171</v>
      </c>
      <c r="P153" s="77" t="s">
        <v>4</v>
      </c>
      <c r="Q153" s="77" t="s">
        <v>3170</v>
      </c>
      <c r="R153" s="77" t="s">
        <v>1</v>
      </c>
      <c r="S153" s="77" t="s">
        <v>1</v>
      </c>
      <c r="T153" s="77" t="s">
        <v>1</v>
      </c>
      <c r="U153" s="77" t="s">
        <v>1</v>
      </c>
      <c r="V153" s="77" t="s">
        <v>1</v>
      </c>
      <c r="W153" s="77" t="s">
        <v>1</v>
      </c>
      <c r="X153" s="77" t="s">
        <v>1</v>
      </c>
      <c r="Y153" s="77" t="s">
        <v>1</v>
      </c>
      <c r="Z153" s="77" t="s">
        <v>1</v>
      </c>
      <c r="AA153" s="77" t="s">
        <v>1</v>
      </c>
      <c r="AB153" s="73" t="s">
        <v>3169</v>
      </c>
      <c r="AE153" s="25" t="s">
        <v>5158</v>
      </c>
      <c r="AF153" s="63">
        <v>4.9446999999999998E-2</v>
      </c>
      <c r="AG153" s="69">
        <v>0.21458333333333335</v>
      </c>
    </row>
    <row r="154" spans="1:34" x14ac:dyDescent="0.2">
      <c r="B154" s="73" t="s">
        <v>779</v>
      </c>
      <c r="C154" s="74" t="s">
        <v>1691</v>
      </c>
      <c r="D154" s="75">
        <v>100</v>
      </c>
      <c r="E154" s="73" t="s">
        <v>5</v>
      </c>
      <c r="F154" s="75">
        <v>30</v>
      </c>
      <c r="G154" s="75">
        <f>+F154+Q154+T154</f>
        <v>40</v>
      </c>
      <c r="H154" s="78">
        <v>44893</v>
      </c>
      <c r="I154" s="73" t="s">
        <v>3147</v>
      </c>
      <c r="J154" s="73" t="s">
        <v>3247</v>
      </c>
      <c r="K154" s="73" t="s">
        <v>2572</v>
      </c>
      <c r="L154" s="73" t="s">
        <v>2059</v>
      </c>
      <c r="M154" s="85">
        <v>43313</v>
      </c>
      <c r="O154" s="73" t="s">
        <v>3246</v>
      </c>
      <c r="P154" s="77" t="s">
        <v>4</v>
      </c>
      <c r="Q154" s="77">
        <v>7</v>
      </c>
      <c r="R154" s="77" t="s">
        <v>1</v>
      </c>
      <c r="S154" s="77" t="s">
        <v>278</v>
      </c>
      <c r="T154" s="77">
        <v>3</v>
      </c>
      <c r="U154" s="77" t="s">
        <v>3245</v>
      </c>
      <c r="V154" s="77" t="s">
        <v>1</v>
      </c>
      <c r="W154" s="77" t="s">
        <v>1</v>
      </c>
      <c r="X154" s="77" t="s">
        <v>1</v>
      </c>
      <c r="Y154" s="77" t="s">
        <v>1</v>
      </c>
      <c r="Z154" s="77" t="s">
        <v>1</v>
      </c>
      <c r="AA154" s="77" t="s">
        <v>1</v>
      </c>
      <c r="AB154" s="73" t="s">
        <v>2097</v>
      </c>
      <c r="AE154" s="25" t="s">
        <v>5069</v>
      </c>
      <c r="AF154" s="63">
        <v>0.32195000000000001</v>
      </c>
      <c r="AG154" s="69">
        <v>0.26874999999999999</v>
      </c>
    </row>
    <row r="155" spans="1:34" x14ac:dyDescent="0.2">
      <c r="B155" s="12" t="s">
        <v>3279</v>
      </c>
      <c r="C155" s="29" t="s">
        <v>1691</v>
      </c>
      <c r="D155" s="15">
        <v>100</v>
      </c>
      <c r="E155" s="12" t="s">
        <v>5</v>
      </c>
      <c r="F155" s="15">
        <v>50</v>
      </c>
      <c r="G155" s="75">
        <f>+F155+Q155+T155</f>
        <v>69.7</v>
      </c>
      <c r="H155" s="14">
        <v>44796</v>
      </c>
      <c r="I155" s="12" t="s">
        <v>3278</v>
      </c>
      <c r="J155" s="12" t="s">
        <v>3277</v>
      </c>
      <c r="K155" s="32" t="s">
        <v>2311</v>
      </c>
      <c r="L155" s="32" t="s">
        <v>3276</v>
      </c>
      <c r="M155" s="30">
        <v>44378</v>
      </c>
      <c r="O155" s="73" t="s">
        <v>3275</v>
      </c>
      <c r="P155" s="77" t="s">
        <v>4</v>
      </c>
      <c r="Q155" s="77">
        <v>12.5</v>
      </c>
      <c r="R155" s="77" t="s">
        <v>3274</v>
      </c>
      <c r="S155" s="77" t="s">
        <v>4</v>
      </c>
      <c r="T155" s="77">
        <v>7.2</v>
      </c>
      <c r="U155" s="77" t="s">
        <v>3273</v>
      </c>
      <c r="V155" s="77" t="s">
        <v>1</v>
      </c>
      <c r="W155" s="77" t="s">
        <v>1</v>
      </c>
      <c r="X155" s="77" t="s">
        <v>1</v>
      </c>
      <c r="Y155" s="77" t="s">
        <v>1</v>
      </c>
      <c r="Z155" s="77" t="s">
        <v>1</v>
      </c>
      <c r="AA155" s="77" t="s">
        <v>1</v>
      </c>
      <c r="AB155" s="73" t="s">
        <v>2365</v>
      </c>
      <c r="AE155" s="25" t="s">
        <v>5128</v>
      </c>
      <c r="AF155" s="63">
        <v>0.36492400000000003</v>
      </c>
      <c r="AG155" s="69">
        <v>0.48680555555555555</v>
      </c>
    </row>
    <row r="156" spans="1:34" x14ac:dyDescent="0.2">
      <c r="B156" s="73" t="s">
        <v>3244</v>
      </c>
      <c r="C156" s="74" t="s">
        <v>1691</v>
      </c>
      <c r="D156" s="75">
        <v>100</v>
      </c>
      <c r="E156" s="73" t="s">
        <v>5</v>
      </c>
      <c r="F156" s="75">
        <v>23</v>
      </c>
      <c r="G156" s="75">
        <f>+F156+Q156</f>
        <v>28.1</v>
      </c>
      <c r="H156" s="78">
        <v>44963</v>
      </c>
      <c r="I156" s="12" t="s">
        <v>3243</v>
      </c>
      <c r="K156" s="73" t="s">
        <v>2572</v>
      </c>
      <c r="L156" s="73" t="s">
        <v>2240</v>
      </c>
      <c r="M156" s="84">
        <v>44621</v>
      </c>
      <c r="O156" s="73" t="s">
        <v>3242</v>
      </c>
      <c r="P156" s="77" t="s">
        <v>4</v>
      </c>
      <c r="Q156" s="77">
        <v>5.0999999999999996</v>
      </c>
      <c r="R156" s="77" t="s">
        <v>1014</v>
      </c>
      <c r="S156" s="77" t="s">
        <v>1</v>
      </c>
      <c r="T156" s="77" t="s">
        <v>1</v>
      </c>
      <c r="U156" s="77" t="s">
        <v>1</v>
      </c>
      <c r="V156" s="77" t="s">
        <v>1</v>
      </c>
      <c r="W156" s="77" t="s">
        <v>1</v>
      </c>
      <c r="X156" s="77" t="s">
        <v>1</v>
      </c>
      <c r="Y156" s="77" t="s">
        <v>1</v>
      </c>
      <c r="Z156" s="77" t="s">
        <v>1</v>
      </c>
      <c r="AA156" s="77" t="s">
        <v>1</v>
      </c>
      <c r="AB156" s="73" t="s">
        <v>2365</v>
      </c>
      <c r="AE156" s="25" t="s">
        <v>5140</v>
      </c>
      <c r="AF156" s="63">
        <v>7.2140999999999997E-2</v>
      </c>
      <c r="AG156" s="69">
        <v>3.5416666666666666E-2</v>
      </c>
    </row>
    <row r="157" spans="1:34" x14ac:dyDescent="0.2">
      <c r="B157" s="73" t="s">
        <v>3194</v>
      </c>
      <c r="C157" s="74" t="s">
        <v>1691</v>
      </c>
      <c r="D157" s="75">
        <v>100</v>
      </c>
      <c r="E157" s="73" t="s">
        <v>5</v>
      </c>
      <c r="F157" s="75">
        <v>28</v>
      </c>
      <c r="G157" s="75">
        <f>+F157+Q157</f>
        <v>33</v>
      </c>
      <c r="H157" s="78">
        <v>44656</v>
      </c>
      <c r="I157" s="73" t="s">
        <v>3193</v>
      </c>
      <c r="K157" s="73" t="s">
        <v>2311</v>
      </c>
      <c r="L157" s="73" t="s">
        <v>3192</v>
      </c>
      <c r="M157" s="85">
        <v>43556</v>
      </c>
      <c r="O157" s="73" t="s">
        <v>3191</v>
      </c>
      <c r="P157" s="77" t="s">
        <v>4</v>
      </c>
      <c r="Q157" s="77">
        <v>5</v>
      </c>
      <c r="R157" s="77" t="s">
        <v>3190</v>
      </c>
      <c r="S157" s="77" t="s">
        <v>550</v>
      </c>
      <c r="T157" s="77" t="s">
        <v>1</v>
      </c>
      <c r="U157" s="77" t="s">
        <v>3189</v>
      </c>
      <c r="V157" s="77" t="s">
        <v>4</v>
      </c>
      <c r="W157" s="77" t="s">
        <v>1</v>
      </c>
      <c r="X157" s="77" t="s">
        <v>3188</v>
      </c>
      <c r="Y157" s="77" t="s">
        <v>1</v>
      </c>
      <c r="Z157" s="77" t="s">
        <v>1</v>
      </c>
      <c r="AA157" s="77" t="s">
        <v>1</v>
      </c>
      <c r="AB157" s="73" t="s">
        <v>3187</v>
      </c>
      <c r="AE157" s="25" t="s">
        <v>5156</v>
      </c>
      <c r="AF157" s="63">
        <v>0.16760800000000001</v>
      </c>
      <c r="AG157" s="69">
        <v>7.9166666666666663E-2</v>
      </c>
    </row>
    <row r="158" spans="1:34" x14ac:dyDescent="0.2">
      <c r="B158" s="73" t="s">
        <v>3287</v>
      </c>
      <c r="C158" s="74" t="s">
        <v>1691</v>
      </c>
      <c r="D158" s="75">
        <v>100</v>
      </c>
      <c r="E158" s="73" t="s">
        <v>7</v>
      </c>
      <c r="F158" s="75">
        <v>50</v>
      </c>
      <c r="G158" s="75">
        <f>+F158+Q158+T158</f>
        <v>72</v>
      </c>
      <c r="H158" s="78">
        <v>44643</v>
      </c>
      <c r="I158" s="73" t="s">
        <v>3286</v>
      </c>
      <c r="J158" s="73" t="s">
        <v>3285</v>
      </c>
      <c r="K158" s="73" t="s">
        <v>2572</v>
      </c>
      <c r="L158" s="73" t="s">
        <v>3284</v>
      </c>
      <c r="M158" s="87" t="s">
        <v>3283</v>
      </c>
      <c r="O158" s="73" t="s">
        <v>3282</v>
      </c>
      <c r="P158" s="77" t="s">
        <v>5</v>
      </c>
      <c r="Q158" s="77">
        <v>18.5</v>
      </c>
      <c r="R158" s="77" t="s">
        <v>3281</v>
      </c>
      <c r="S158" s="77" t="s">
        <v>4</v>
      </c>
      <c r="T158" s="77">
        <v>3.5</v>
      </c>
      <c r="U158" s="77" t="s">
        <v>3280</v>
      </c>
      <c r="V158" s="77" t="s">
        <v>1</v>
      </c>
      <c r="W158" s="77" t="s">
        <v>1</v>
      </c>
      <c r="X158" s="77" t="s">
        <v>1</v>
      </c>
      <c r="Y158" s="77" t="s">
        <v>1</v>
      </c>
      <c r="Z158" s="77" t="s">
        <v>1</v>
      </c>
      <c r="AA158" s="77" t="s">
        <v>1</v>
      </c>
      <c r="AB158" s="73" t="s">
        <v>2081</v>
      </c>
      <c r="AE158" s="25" t="s">
        <v>5127</v>
      </c>
      <c r="AF158" s="63">
        <v>0.156365</v>
      </c>
      <c r="AG158" s="69">
        <v>0.20972222222222223</v>
      </c>
    </row>
    <row r="159" spans="1:34" x14ac:dyDescent="0.2">
      <c r="B159" s="73" t="s">
        <v>3202</v>
      </c>
      <c r="C159" s="74" t="s">
        <v>1691</v>
      </c>
      <c r="D159" s="75">
        <v>100</v>
      </c>
      <c r="E159" s="73" t="s">
        <v>1</v>
      </c>
      <c r="F159" s="75">
        <v>29</v>
      </c>
      <c r="G159" s="75">
        <f>+F159</f>
        <v>29</v>
      </c>
      <c r="H159" s="27">
        <v>44368</v>
      </c>
      <c r="I159" s="73" t="s">
        <v>3201</v>
      </c>
      <c r="J159" s="73" t="s">
        <v>3200</v>
      </c>
      <c r="K159" s="73" t="s">
        <v>2048</v>
      </c>
      <c r="L159" s="73" t="s">
        <v>2103</v>
      </c>
      <c r="M159" s="84">
        <v>43344</v>
      </c>
      <c r="N159" s="73" t="s">
        <v>5095</v>
      </c>
      <c r="O159" s="73" t="s">
        <v>3199</v>
      </c>
      <c r="P159" s="77" t="s">
        <v>1</v>
      </c>
      <c r="Q159" s="77" t="s">
        <v>1</v>
      </c>
      <c r="R159" s="77" t="s">
        <v>1</v>
      </c>
      <c r="S159" s="77" t="s">
        <v>1</v>
      </c>
      <c r="T159" s="77" t="s">
        <v>1</v>
      </c>
      <c r="U159" s="77" t="s">
        <v>1</v>
      </c>
      <c r="V159" s="77" t="s">
        <v>1</v>
      </c>
      <c r="W159" s="77" t="s">
        <v>1</v>
      </c>
      <c r="X159" s="77" t="s">
        <v>1</v>
      </c>
      <c r="Y159" s="77" t="s">
        <v>1</v>
      </c>
      <c r="Z159" s="77" t="s">
        <v>1</v>
      </c>
      <c r="AA159" s="77" t="s">
        <v>1</v>
      </c>
      <c r="AB159" s="73" t="s">
        <v>2058</v>
      </c>
      <c r="AE159" s="25" t="s">
        <v>5154</v>
      </c>
      <c r="AF159" s="63">
        <v>8.2150000000000001E-3</v>
      </c>
      <c r="AG159" s="69">
        <v>9.930555555555555E-2</v>
      </c>
    </row>
    <row r="160" spans="1:34" s="184" customFormat="1" x14ac:dyDescent="0.2">
      <c r="A160" s="73"/>
      <c r="B160" s="73" t="s">
        <v>286</v>
      </c>
      <c r="C160" s="74" t="s">
        <v>1691</v>
      </c>
      <c r="D160" s="75">
        <v>100</v>
      </c>
      <c r="E160" s="73" t="s">
        <v>7</v>
      </c>
      <c r="F160" s="75">
        <v>35</v>
      </c>
      <c r="G160" s="75">
        <f>+F160+Q160+T160</f>
        <v>53.5</v>
      </c>
      <c r="H160" s="78">
        <v>44309</v>
      </c>
      <c r="I160" s="73"/>
      <c r="J160" s="73" t="s">
        <v>3268</v>
      </c>
      <c r="K160" s="73" t="s">
        <v>2048</v>
      </c>
      <c r="L160" s="73" t="s">
        <v>2074</v>
      </c>
      <c r="M160" s="73">
        <v>2017</v>
      </c>
      <c r="N160" s="73"/>
      <c r="O160" s="73" t="s">
        <v>3267</v>
      </c>
      <c r="P160" s="77" t="s">
        <v>5</v>
      </c>
      <c r="Q160" s="77">
        <v>5.7</v>
      </c>
      <c r="R160" s="77" t="s">
        <v>1</v>
      </c>
      <c r="S160" s="77" t="s">
        <v>5</v>
      </c>
      <c r="T160" s="77">
        <v>12.8</v>
      </c>
      <c r="U160" s="77" t="s">
        <v>1</v>
      </c>
      <c r="V160" s="77" t="s">
        <v>4</v>
      </c>
      <c r="W160" s="77" t="s">
        <v>1</v>
      </c>
      <c r="X160" s="77" t="s">
        <v>3266</v>
      </c>
      <c r="Y160" s="77" t="s">
        <v>1</v>
      </c>
      <c r="Z160" s="77" t="s">
        <v>1</v>
      </c>
      <c r="AA160" s="77" t="s">
        <v>1</v>
      </c>
      <c r="AB160" s="73" t="s">
        <v>2262</v>
      </c>
      <c r="AC160" s="73"/>
      <c r="AD160" s="73"/>
      <c r="AE160" s="25" t="s">
        <v>5134</v>
      </c>
      <c r="AF160" s="63">
        <v>0</v>
      </c>
      <c r="AG160" s="69">
        <v>3.3333333333333333E-2</v>
      </c>
      <c r="AH160" s="73"/>
    </row>
    <row r="161" spans="1:34" x14ac:dyDescent="0.2">
      <c r="B161" s="73" t="s">
        <v>360</v>
      </c>
      <c r="C161" s="74" t="s">
        <v>1691</v>
      </c>
      <c r="D161" s="75">
        <v>100</v>
      </c>
      <c r="E161" s="73" t="s">
        <v>7</v>
      </c>
      <c r="F161" s="75">
        <v>27.5</v>
      </c>
      <c r="G161" s="75">
        <f>+F161+Q161</f>
        <v>38.200000000000003</v>
      </c>
      <c r="H161" s="27">
        <v>44181</v>
      </c>
      <c r="I161" s="73" t="s">
        <v>3161</v>
      </c>
      <c r="J161" s="73" t="s">
        <v>3160</v>
      </c>
      <c r="K161" s="73" t="s">
        <v>2311</v>
      </c>
      <c r="L161" s="73" t="s">
        <v>3036</v>
      </c>
      <c r="M161" s="73">
        <v>2017</v>
      </c>
      <c r="N161" s="73" t="s">
        <v>5168</v>
      </c>
      <c r="O161" s="73" t="s">
        <v>3159</v>
      </c>
      <c r="P161" s="77" t="s">
        <v>5</v>
      </c>
      <c r="Q161" s="77">
        <v>10.7</v>
      </c>
      <c r="R161" s="77" t="s">
        <v>3158</v>
      </c>
      <c r="S161" s="77" t="s">
        <v>1</v>
      </c>
      <c r="T161" s="77" t="s">
        <v>1</v>
      </c>
      <c r="U161" s="77" t="s">
        <v>1</v>
      </c>
      <c r="V161" s="77" t="s">
        <v>1</v>
      </c>
      <c r="W161" s="77" t="s">
        <v>1</v>
      </c>
      <c r="X161" s="77" t="s">
        <v>1</v>
      </c>
      <c r="Y161" s="77" t="s">
        <v>1</v>
      </c>
      <c r="Z161" s="77" t="s">
        <v>1</v>
      </c>
      <c r="AA161" s="77" t="s">
        <v>1</v>
      </c>
      <c r="AB161" s="73" t="s">
        <v>2155</v>
      </c>
      <c r="AE161" s="25" t="s">
        <v>5167</v>
      </c>
      <c r="AF161" s="63">
        <v>3.7558000000000001E-2</v>
      </c>
      <c r="AG161" s="69">
        <v>6.9444444444444434E-2</v>
      </c>
    </row>
    <row r="162" spans="1:34" x14ac:dyDescent="0.2">
      <c r="B162" s="73" t="s">
        <v>873</v>
      </c>
      <c r="C162" s="74" t="s">
        <v>1691</v>
      </c>
      <c r="D162" s="75">
        <v>100</v>
      </c>
      <c r="E162" s="73" t="s">
        <v>5</v>
      </c>
      <c r="F162" s="75">
        <v>30</v>
      </c>
      <c r="G162" s="75">
        <f>+F162+Q162+T162</f>
        <v>37.5</v>
      </c>
      <c r="H162" s="27">
        <v>44522</v>
      </c>
      <c r="I162" s="73" t="s">
        <v>3220</v>
      </c>
      <c r="J162" s="73" t="s">
        <v>3219</v>
      </c>
      <c r="K162" s="73" t="s">
        <v>2572</v>
      </c>
      <c r="L162" s="73" t="s">
        <v>2059</v>
      </c>
      <c r="M162" s="85">
        <v>43862</v>
      </c>
      <c r="N162" s="73" t="s">
        <v>5149</v>
      </c>
      <c r="O162" s="73" t="s">
        <v>3218</v>
      </c>
      <c r="P162" s="77" t="s">
        <v>4</v>
      </c>
      <c r="Q162" s="77">
        <v>5.5</v>
      </c>
      <c r="R162" s="77" t="s">
        <v>3217</v>
      </c>
      <c r="S162" s="77" t="s">
        <v>4</v>
      </c>
      <c r="T162" s="77">
        <v>2</v>
      </c>
      <c r="U162" s="77" t="s">
        <v>992</v>
      </c>
      <c r="V162" s="77" t="s">
        <v>1</v>
      </c>
      <c r="W162" s="77" t="s">
        <v>1</v>
      </c>
      <c r="X162" s="77" t="s">
        <v>1</v>
      </c>
      <c r="Y162" s="77" t="s">
        <v>1</v>
      </c>
      <c r="Z162" s="77" t="s">
        <v>1</v>
      </c>
      <c r="AA162" s="77" t="s">
        <v>1</v>
      </c>
      <c r="AB162" s="73" t="s">
        <v>2084</v>
      </c>
      <c r="AE162" s="25" t="s">
        <v>5148</v>
      </c>
      <c r="AF162" s="63">
        <v>0.80907300000000004</v>
      </c>
      <c r="AG162" s="69">
        <v>0.12291666666666667</v>
      </c>
    </row>
    <row r="163" spans="1:34" x14ac:dyDescent="0.2">
      <c r="B163" s="73" t="s">
        <v>690</v>
      </c>
      <c r="C163" s="74" t="s">
        <v>1691</v>
      </c>
      <c r="D163" s="75">
        <v>100</v>
      </c>
      <c r="E163" s="73" t="s">
        <v>4</v>
      </c>
      <c r="F163" s="75">
        <v>30</v>
      </c>
      <c r="G163" s="75">
        <f>+F163</f>
        <v>30</v>
      </c>
      <c r="H163" s="234">
        <v>44742</v>
      </c>
      <c r="I163" s="73" t="s">
        <v>3233</v>
      </c>
      <c r="J163" s="73" t="s">
        <v>3234</v>
      </c>
      <c r="K163" s="73" t="s">
        <v>2572</v>
      </c>
      <c r="L163" s="73" t="s">
        <v>2082</v>
      </c>
      <c r="M163" s="84">
        <v>44562</v>
      </c>
      <c r="N163" s="73" t="s">
        <v>3233</v>
      </c>
      <c r="O163" s="73" t="s">
        <v>3232</v>
      </c>
      <c r="P163" s="77" t="s">
        <v>1</v>
      </c>
      <c r="Q163" s="77" t="s">
        <v>1</v>
      </c>
      <c r="R163" s="77" t="s">
        <v>1</v>
      </c>
      <c r="S163" s="77" t="s">
        <v>1</v>
      </c>
      <c r="T163" s="77" t="s">
        <v>1</v>
      </c>
      <c r="U163" s="77" t="s">
        <v>1</v>
      </c>
      <c r="V163" s="77" t="s">
        <v>1</v>
      </c>
      <c r="W163" s="77" t="s">
        <v>1</v>
      </c>
      <c r="X163" s="77" t="s">
        <v>1</v>
      </c>
      <c r="Y163" s="77" t="s">
        <v>1</v>
      </c>
      <c r="Z163" s="77" t="s">
        <v>1</v>
      </c>
      <c r="AA163" s="77" t="s">
        <v>1</v>
      </c>
      <c r="AB163" s="73" t="s">
        <v>2365</v>
      </c>
      <c r="AE163" s="25" t="s">
        <v>5141</v>
      </c>
      <c r="AF163" s="63">
        <v>0.77962500000000001</v>
      </c>
      <c r="AG163" s="69">
        <v>0.12708333333333333</v>
      </c>
    </row>
    <row r="164" spans="1:34" x14ac:dyDescent="0.2">
      <c r="B164" s="73" t="s">
        <v>3139</v>
      </c>
      <c r="C164" s="74" t="s">
        <v>1691</v>
      </c>
      <c r="D164" s="75">
        <v>100</v>
      </c>
      <c r="E164" s="73" t="s">
        <v>5</v>
      </c>
      <c r="F164" s="75">
        <v>25</v>
      </c>
      <c r="H164" s="27">
        <v>44404</v>
      </c>
      <c r="I164" s="73" t="s">
        <v>3138</v>
      </c>
      <c r="J164" s="73" t="s">
        <v>3137</v>
      </c>
      <c r="K164" s="73" t="s">
        <v>2572</v>
      </c>
      <c r="L164" s="73" t="s">
        <v>2059</v>
      </c>
      <c r="M164" s="84">
        <v>43435</v>
      </c>
      <c r="O164" s="34" t="s">
        <v>3136</v>
      </c>
      <c r="P164" s="77" t="s">
        <v>4</v>
      </c>
      <c r="Q164" s="77">
        <v>6</v>
      </c>
      <c r="R164" s="77" t="s">
        <v>3135</v>
      </c>
      <c r="S164" s="77" t="s">
        <v>1</v>
      </c>
      <c r="T164" s="73" t="s">
        <v>1</v>
      </c>
      <c r="U164" s="73" t="s">
        <v>1</v>
      </c>
      <c r="V164" s="73" t="s">
        <v>1</v>
      </c>
      <c r="W164" s="73" t="s">
        <v>1</v>
      </c>
      <c r="X164" s="73" t="s">
        <v>1</v>
      </c>
      <c r="Y164" s="73" t="s">
        <v>1</v>
      </c>
      <c r="Z164" s="73" t="s">
        <v>1</v>
      </c>
      <c r="AA164" s="73" t="s">
        <v>1</v>
      </c>
      <c r="AB164" s="73" t="s">
        <v>2148</v>
      </c>
      <c r="AE164" s="25" t="s">
        <v>5173</v>
      </c>
      <c r="AF164" s="63">
        <v>3.125E-2</v>
      </c>
      <c r="AG164" s="69">
        <v>0.34583333333333338</v>
      </c>
    </row>
    <row r="165" spans="1:34" x14ac:dyDescent="0.2">
      <c r="B165" s="12" t="s">
        <v>3368</v>
      </c>
      <c r="C165" s="29" t="s">
        <v>1691</v>
      </c>
      <c r="D165" s="15">
        <v>100</v>
      </c>
      <c r="E165" s="15" t="s">
        <v>3367</v>
      </c>
      <c r="F165" s="15" t="s">
        <v>1</v>
      </c>
      <c r="G165" s="75" t="str">
        <f>F165</f>
        <v>N/A</v>
      </c>
      <c r="H165" s="15" t="s">
        <v>3367</v>
      </c>
      <c r="I165" s="12" t="s">
        <v>3292</v>
      </c>
      <c r="J165" s="12" t="s">
        <v>1</v>
      </c>
      <c r="K165" s="12" t="s">
        <v>2048</v>
      </c>
      <c r="L165" s="12" t="s">
        <v>2065</v>
      </c>
      <c r="M165" s="12">
        <v>2015</v>
      </c>
      <c r="N165" s="36" t="s">
        <v>3366</v>
      </c>
      <c r="O165" s="12" t="s">
        <v>1</v>
      </c>
      <c r="P165" s="12" t="s">
        <v>1</v>
      </c>
      <c r="Q165" s="12" t="s">
        <v>1</v>
      </c>
      <c r="R165" s="12" t="s">
        <v>1</v>
      </c>
      <c r="S165" s="12" t="s">
        <v>1</v>
      </c>
      <c r="T165" s="12" t="s">
        <v>1</v>
      </c>
      <c r="U165" s="12" t="s">
        <v>1</v>
      </c>
      <c r="V165" s="12" t="s">
        <v>1</v>
      </c>
      <c r="W165" s="12" t="s">
        <v>1</v>
      </c>
      <c r="X165" s="12" t="s">
        <v>1</v>
      </c>
      <c r="Y165" s="12" t="s">
        <v>1</v>
      </c>
      <c r="Z165" s="12" t="s">
        <v>1</v>
      </c>
      <c r="AA165" s="12" t="s">
        <v>1</v>
      </c>
      <c r="AB165" s="12" t="s">
        <v>3365</v>
      </c>
      <c r="AC165" s="12"/>
      <c r="AD165" s="12"/>
      <c r="AE165" s="25" t="s">
        <v>5107</v>
      </c>
      <c r="AF165" s="65">
        <v>2.8972000000000001E-2</v>
      </c>
      <c r="AG165" s="71">
        <v>0.30763888888888891</v>
      </c>
      <c r="AH165" s="12"/>
    </row>
    <row r="166" spans="1:34" x14ac:dyDescent="0.2">
      <c r="B166" s="73" t="s">
        <v>110</v>
      </c>
      <c r="C166" s="74" t="s">
        <v>1691</v>
      </c>
      <c r="D166" s="75">
        <v>100</v>
      </c>
      <c r="E166" s="73" t="s">
        <v>5</v>
      </c>
      <c r="F166" s="75">
        <v>25</v>
      </c>
      <c r="G166" s="75">
        <f>+F166+Q166</f>
        <v>33</v>
      </c>
      <c r="H166" s="78">
        <v>44510</v>
      </c>
      <c r="I166" s="73" t="s">
        <v>3186</v>
      </c>
      <c r="J166" s="73" t="s">
        <v>3185</v>
      </c>
      <c r="K166" s="73" t="s">
        <v>2048</v>
      </c>
      <c r="L166" s="73" t="s">
        <v>2065</v>
      </c>
      <c r="M166" s="73">
        <v>2018</v>
      </c>
      <c r="O166" s="73" t="s">
        <v>3184</v>
      </c>
      <c r="P166" s="77" t="s">
        <v>4</v>
      </c>
      <c r="Q166" s="77">
        <v>8</v>
      </c>
      <c r="R166" s="77" t="s">
        <v>3183</v>
      </c>
      <c r="S166" s="94" t="s">
        <v>1</v>
      </c>
      <c r="T166" s="94" t="s">
        <v>1</v>
      </c>
      <c r="U166" s="94" t="s">
        <v>1</v>
      </c>
      <c r="V166" s="94" t="s">
        <v>1</v>
      </c>
      <c r="W166" s="94" t="s">
        <v>1</v>
      </c>
      <c r="X166" s="94" t="s">
        <v>1</v>
      </c>
      <c r="Y166" s="94" t="s">
        <v>1</v>
      </c>
      <c r="Z166" s="94" t="s">
        <v>1</v>
      </c>
      <c r="AA166" s="94" t="s">
        <v>1</v>
      </c>
      <c r="AB166" s="73" t="s">
        <v>2088</v>
      </c>
      <c r="AE166" s="25" t="s">
        <v>3182</v>
      </c>
      <c r="AF166" s="64">
        <v>9.3509999999999999E-3</v>
      </c>
      <c r="AG166" s="62">
        <v>2.9861111111111113E-2</v>
      </c>
    </row>
    <row r="167" spans="1:34" s="184" customFormat="1" x14ac:dyDescent="0.2">
      <c r="A167" s="73"/>
      <c r="B167" s="73" t="s">
        <v>912</v>
      </c>
      <c r="C167" s="74" t="s">
        <v>1691</v>
      </c>
      <c r="D167" s="75">
        <v>100</v>
      </c>
      <c r="E167" s="73" t="s">
        <v>4</v>
      </c>
      <c r="F167" s="75">
        <v>42</v>
      </c>
      <c r="G167" s="75">
        <f>+F167</f>
        <v>42</v>
      </c>
      <c r="H167" s="78">
        <v>44882</v>
      </c>
      <c r="I167" s="12" t="s">
        <v>3265</v>
      </c>
      <c r="J167" s="73"/>
      <c r="K167" s="34" t="s">
        <v>2048</v>
      </c>
      <c r="L167" s="32" t="s">
        <v>2065</v>
      </c>
      <c r="M167" s="84">
        <v>44440</v>
      </c>
      <c r="N167" s="73"/>
      <c r="O167" s="73" t="s">
        <v>3264</v>
      </c>
      <c r="P167" s="77" t="s">
        <v>1</v>
      </c>
      <c r="Q167" s="77" t="s">
        <v>1</v>
      </c>
      <c r="R167" s="77" t="s">
        <v>1</v>
      </c>
      <c r="S167" s="77" t="s">
        <v>1</v>
      </c>
      <c r="T167" s="77" t="s">
        <v>1</v>
      </c>
      <c r="U167" s="77" t="s">
        <v>1</v>
      </c>
      <c r="V167" s="77" t="s">
        <v>1</v>
      </c>
      <c r="W167" s="77" t="s">
        <v>1</v>
      </c>
      <c r="X167" s="77" t="s">
        <v>1</v>
      </c>
      <c r="Y167" s="77" t="s">
        <v>1</v>
      </c>
      <c r="Z167" s="77" t="s">
        <v>1</v>
      </c>
      <c r="AA167" s="77" t="s">
        <v>1</v>
      </c>
      <c r="AB167" s="73" t="s">
        <v>2097</v>
      </c>
      <c r="AC167" s="73"/>
      <c r="AD167" s="73"/>
      <c r="AE167" s="25" t="s">
        <v>5135</v>
      </c>
      <c r="AF167" s="63">
        <v>0</v>
      </c>
      <c r="AG167" s="69">
        <v>7.4999999999999997E-2</v>
      </c>
      <c r="AH167" s="73"/>
    </row>
    <row r="168" spans="1:34" s="184" customFormat="1" x14ac:dyDescent="0.2">
      <c r="A168" s="73"/>
      <c r="B168" s="73" t="s">
        <v>3263</v>
      </c>
      <c r="C168" s="74" t="s">
        <v>1691</v>
      </c>
      <c r="D168" s="75">
        <v>100</v>
      </c>
      <c r="E168" s="73" t="s">
        <v>5</v>
      </c>
      <c r="F168" s="75">
        <v>40</v>
      </c>
      <c r="G168" s="75">
        <f>+F168+Q168</f>
        <v>45</v>
      </c>
      <c r="H168" s="78">
        <v>44690</v>
      </c>
      <c r="I168" s="73" t="s">
        <v>3262</v>
      </c>
      <c r="J168" s="73" t="s">
        <v>3261</v>
      </c>
      <c r="K168" s="73" t="s">
        <v>2311</v>
      </c>
      <c r="L168" s="73" t="s">
        <v>3260</v>
      </c>
      <c r="M168" s="84">
        <v>44501</v>
      </c>
      <c r="N168" s="73"/>
      <c r="O168" s="73" t="s">
        <v>3259</v>
      </c>
      <c r="P168" s="77" t="s">
        <v>3258</v>
      </c>
      <c r="Q168" s="77">
        <v>5</v>
      </c>
      <c r="R168" s="77" t="s">
        <v>3257</v>
      </c>
      <c r="S168" s="77" t="s">
        <v>1</v>
      </c>
      <c r="T168" s="77" t="s">
        <v>1</v>
      </c>
      <c r="U168" s="77" t="s">
        <v>1</v>
      </c>
      <c r="V168" s="77" t="s">
        <v>1</v>
      </c>
      <c r="W168" s="77" t="s">
        <v>1</v>
      </c>
      <c r="X168" s="77" t="s">
        <v>1</v>
      </c>
      <c r="Y168" s="77" t="s">
        <v>1</v>
      </c>
      <c r="Z168" s="77" t="s">
        <v>1</v>
      </c>
      <c r="AA168" s="77" t="s">
        <v>1</v>
      </c>
      <c r="AB168" s="73" t="s">
        <v>2903</v>
      </c>
      <c r="AC168" s="73"/>
      <c r="AD168" s="73"/>
      <c r="AE168" s="25" t="s">
        <v>5136</v>
      </c>
      <c r="AF168" s="63">
        <v>0</v>
      </c>
      <c r="AG168" s="69">
        <v>0.17430555555555557</v>
      </c>
      <c r="AH168" s="73"/>
    </row>
    <row r="169" spans="1:34" s="184" customFormat="1" x14ac:dyDescent="0.2">
      <c r="A169" s="73"/>
      <c r="B169" s="73" t="s">
        <v>686</v>
      </c>
      <c r="C169" s="74" t="s">
        <v>1691</v>
      </c>
      <c r="D169" s="75">
        <v>100</v>
      </c>
      <c r="E169" s="73" t="s">
        <v>4</v>
      </c>
      <c r="F169" s="75">
        <v>30</v>
      </c>
      <c r="G169" s="75">
        <f>+F169</f>
        <v>30</v>
      </c>
      <c r="H169" s="78">
        <v>44601</v>
      </c>
      <c r="I169" s="73" t="s">
        <v>2318</v>
      </c>
      <c r="J169" s="73" t="s">
        <v>3205</v>
      </c>
      <c r="K169" s="73" t="s">
        <v>2318</v>
      </c>
      <c r="L169" s="73" t="s">
        <v>2352</v>
      </c>
      <c r="M169" s="73">
        <v>2021</v>
      </c>
      <c r="N169" s="73"/>
      <c r="O169" s="73" t="s">
        <v>3204</v>
      </c>
      <c r="P169" s="77" t="s">
        <v>1</v>
      </c>
      <c r="Q169" s="77" t="s">
        <v>1</v>
      </c>
      <c r="R169" s="77" t="s">
        <v>1</v>
      </c>
      <c r="S169" s="77" t="s">
        <v>1</v>
      </c>
      <c r="T169" s="77" t="s">
        <v>1</v>
      </c>
      <c r="U169" s="77" t="s">
        <v>1</v>
      </c>
      <c r="V169" s="77" t="s">
        <v>1</v>
      </c>
      <c r="W169" s="77" t="s">
        <v>1</v>
      </c>
      <c r="X169" s="77" t="s">
        <v>1</v>
      </c>
      <c r="Y169" s="77" t="s">
        <v>1</v>
      </c>
      <c r="Z169" s="77" t="s">
        <v>1</v>
      </c>
      <c r="AA169" s="77" t="s">
        <v>1</v>
      </c>
      <c r="AB169" s="73" t="s">
        <v>3203</v>
      </c>
      <c r="AC169" s="73"/>
      <c r="AD169" s="73"/>
      <c r="AE169" s="25" t="s">
        <v>5153</v>
      </c>
      <c r="AF169" s="63">
        <v>0</v>
      </c>
      <c r="AG169" s="69">
        <v>0.26527777777777778</v>
      </c>
      <c r="AH169" s="73"/>
    </row>
    <row r="170" spans="1:34" s="184" customFormat="1" x14ac:dyDescent="0.2">
      <c r="A170" s="73"/>
      <c r="B170" s="12" t="s">
        <v>3181</v>
      </c>
      <c r="C170" s="29" t="s">
        <v>1691</v>
      </c>
      <c r="D170" s="15">
        <v>100</v>
      </c>
      <c r="E170" s="12" t="s">
        <v>4</v>
      </c>
      <c r="F170" s="15">
        <v>20</v>
      </c>
      <c r="G170" s="75">
        <f>+F170</f>
        <v>20</v>
      </c>
      <c r="H170" s="14">
        <v>44792</v>
      </c>
      <c r="I170" s="12" t="s">
        <v>3179</v>
      </c>
      <c r="J170" s="12" t="s">
        <v>3180</v>
      </c>
      <c r="K170" s="12" t="s">
        <v>2048</v>
      </c>
      <c r="L170" s="12" t="s">
        <v>3179</v>
      </c>
      <c r="M170" s="35" t="s">
        <v>3178</v>
      </c>
      <c r="N170" s="12" t="s">
        <v>3177</v>
      </c>
      <c r="O170" s="12" t="s">
        <v>3176</v>
      </c>
      <c r="P170" s="24" t="s">
        <v>1</v>
      </c>
      <c r="Q170" s="24" t="s">
        <v>1</v>
      </c>
      <c r="R170" s="24" t="s">
        <v>1</v>
      </c>
      <c r="S170" s="24" t="s">
        <v>1</v>
      </c>
      <c r="T170" s="24" t="s">
        <v>1</v>
      </c>
      <c r="U170" s="24" t="s">
        <v>1</v>
      </c>
      <c r="V170" s="24" t="s">
        <v>1</v>
      </c>
      <c r="W170" s="24" t="s">
        <v>1</v>
      </c>
      <c r="X170" s="24" t="s">
        <v>1</v>
      </c>
      <c r="Y170" s="24" t="s">
        <v>1</v>
      </c>
      <c r="Z170" s="24" t="s">
        <v>1</v>
      </c>
      <c r="AA170" s="24" t="s">
        <v>1</v>
      </c>
      <c r="AB170" s="12" t="s">
        <v>3175</v>
      </c>
      <c r="AC170" s="12"/>
      <c r="AD170" s="12"/>
      <c r="AE170" s="25" t="s">
        <v>5157</v>
      </c>
      <c r="AF170" s="65">
        <v>0</v>
      </c>
      <c r="AG170" s="71">
        <v>0</v>
      </c>
      <c r="AH170" s="12"/>
    </row>
    <row r="171" spans="1:34" s="184" customFormat="1" x14ac:dyDescent="0.2">
      <c r="A171" s="73"/>
      <c r="B171" s="184" t="s">
        <v>3157</v>
      </c>
      <c r="C171" s="193" t="s">
        <v>1691</v>
      </c>
      <c r="D171" s="185">
        <v>100</v>
      </c>
      <c r="E171" s="184" t="s">
        <v>5</v>
      </c>
      <c r="F171" s="185">
        <v>27</v>
      </c>
      <c r="G171" s="185">
        <f>F171</f>
        <v>27</v>
      </c>
      <c r="H171" s="78">
        <v>44299</v>
      </c>
      <c r="I171" s="184" t="s">
        <v>3156</v>
      </c>
      <c r="K171" s="184" t="s">
        <v>2572</v>
      </c>
      <c r="L171" s="184" t="s">
        <v>3155</v>
      </c>
      <c r="M171" s="184">
        <v>2021</v>
      </c>
      <c r="O171" s="184" t="s">
        <v>1</v>
      </c>
      <c r="P171" s="184" t="s">
        <v>1</v>
      </c>
      <c r="Q171" s="184" t="s">
        <v>1</v>
      </c>
      <c r="R171" s="184" t="s">
        <v>1</v>
      </c>
      <c r="S171" s="184" t="s">
        <v>1</v>
      </c>
      <c r="T171" s="184" t="s">
        <v>1</v>
      </c>
      <c r="U171" s="184" t="s">
        <v>1</v>
      </c>
      <c r="V171" s="184" t="s">
        <v>1</v>
      </c>
      <c r="W171" s="184" t="s">
        <v>1</v>
      </c>
      <c r="X171" s="184" t="s">
        <v>1</v>
      </c>
      <c r="Y171" s="184" t="s">
        <v>1</v>
      </c>
      <c r="Z171" s="184" t="s">
        <v>1</v>
      </c>
      <c r="AA171" s="184" t="s">
        <v>1</v>
      </c>
      <c r="AB171" s="184" t="s">
        <v>3154</v>
      </c>
      <c r="AE171" s="195" t="s">
        <v>5169</v>
      </c>
      <c r="AF171" s="235">
        <v>0</v>
      </c>
      <c r="AG171" s="58">
        <v>3.5416666666666666E-2</v>
      </c>
    </row>
    <row r="172" spans="1:34" x14ac:dyDescent="0.2">
      <c r="B172" s="73" t="s">
        <v>928</v>
      </c>
      <c r="C172" s="74" t="s">
        <v>1691</v>
      </c>
      <c r="D172" s="75">
        <v>100</v>
      </c>
      <c r="E172" s="73" t="s">
        <v>5</v>
      </c>
      <c r="F172" s="75">
        <v>25</v>
      </c>
      <c r="H172" s="78">
        <v>44944</v>
      </c>
      <c r="I172" s="73" t="s">
        <v>3134</v>
      </c>
      <c r="J172" s="73" t="s">
        <v>3133</v>
      </c>
      <c r="K172" s="73" t="s">
        <v>2048</v>
      </c>
      <c r="L172" s="73" t="s">
        <v>2527</v>
      </c>
      <c r="M172" s="85" t="s">
        <v>3132</v>
      </c>
      <c r="O172" s="73" t="s">
        <v>3131</v>
      </c>
      <c r="P172" s="77" t="s">
        <v>4</v>
      </c>
      <c r="Q172" s="77">
        <v>5</v>
      </c>
      <c r="R172" s="77" t="s">
        <v>980</v>
      </c>
      <c r="S172" s="77" t="s">
        <v>278</v>
      </c>
      <c r="T172" s="77">
        <v>3</v>
      </c>
      <c r="U172" s="77" t="s">
        <v>1</v>
      </c>
      <c r="V172" s="73" t="s">
        <v>1</v>
      </c>
      <c r="W172" s="73" t="s">
        <v>1</v>
      </c>
      <c r="X172" s="73" t="s">
        <v>1</v>
      </c>
      <c r="Y172" s="73" t="s">
        <v>1</v>
      </c>
      <c r="Z172" s="73" t="s">
        <v>1</v>
      </c>
      <c r="AA172" s="73" t="s">
        <v>1</v>
      </c>
      <c r="AB172" s="73" t="s">
        <v>2081</v>
      </c>
      <c r="AE172" s="25" t="s">
        <v>5174</v>
      </c>
      <c r="AF172" s="63">
        <v>7.8329999999999997E-3</v>
      </c>
      <c r="AG172" s="69">
        <v>0.56041666666666667</v>
      </c>
    </row>
    <row r="173" spans="1:34" x14ac:dyDescent="0.2">
      <c r="A173" s="184"/>
      <c r="B173" s="184" t="s">
        <v>659</v>
      </c>
      <c r="C173" s="193" t="s">
        <v>1691</v>
      </c>
      <c r="D173" s="186">
        <v>100</v>
      </c>
      <c r="E173" s="184" t="s">
        <v>4</v>
      </c>
      <c r="F173" s="186">
        <v>25</v>
      </c>
      <c r="G173" s="186"/>
      <c r="H173" s="194">
        <v>44873</v>
      </c>
      <c r="I173" s="184" t="s">
        <v>3106</v>
      </c>
      <c r="J173" s="184" t="s">
        <v>3105</v>
      </c>
      <c r="K173" s="184" t="s">
        <v>3104</v>
      </c>
      <c r="L173" s="184" t="s">
        <v>3104</v>
      </c>
      <c r="M173" s="184">
        <v>2022</v>
      </c>
      <c r="N173" s="184" t="s">
        <v>3103</v>
      </c>
      <c r="O173" s="184" t="s">
        <v>3102</v>
      </c>
      <c r="P173" s="187" t="s">
        <v>1</v>
      </c>
      <c r="Q173" s="187" t="s">
        <v>1</v>
      </c>
      <c r="R173" s="187" t="s">
        <v>1</v>
      </c>
      <c r="S173" s="187" t="s">
        <v>1</v>
      </c>
      <c r="T173" s="187" t="s">
        <v>1</v>
      </c>
      <c r="U173" s="187" t="s">
        <v>1</v>
      </c>
      <c r="V173" s="187" t="s">
        <v>1</v>
      </c>
      <c r="W173" s="187" t="s">
        <v>1</v>
      </c>
      <c r="X173" s="187" t="s">
        <v>1</v>
      </c>
      <c r="Y173" s="187" t="s">
        <v>1</v>
      </c>
      <c r="Z173" s="187" t="s">
        <v>1</v>
      </c>
      <c r="AA173" s="187" t="s">
        <v>1</v>
      </c>
      <c r="AB173" s="184" t="s">
        <v>2097</v>
      </c>
      <c r="AC173" s="184"/>
      <c r="AD173" s="184"/>
      <c r="AE173" s="25" t="s">
        <v>5192</v>
      </c>
      <c r="AF173" s="63">
        <v>6.7039999999999999E-3</v>
      </c>
      <c r="AG173" s="69">
        <v>0.13749999999999998</v>
      </c>
      <c r="AH173" s="184"/>
    </row>
    <row r="174" spans="1:34" x14ac:dyDescent="0.2">
      <c r="A174" s="188"/>
      <c r="B174" s="188" t="s">
        <v>108</v>
      </c>
      <c r="C174" s="189" t="s">
        <v>1691</v>
      </c>
      <c r="D174" s="39">
        <v>100</v>
      </c>
      <c r="E174" s="188" t="s">
        <v>7</v>
      </c>
      <c r="F174" s="39">
        <v>5</v>
      </c>
      <c r="G174" s="39">
        <f>+F174</f>
        <v>5</v>
      </c>
      <c r="H174" s="27">
        <v>43903</v>
      </c>
      <c r="I174" s="188" t="s">
        <v>3241</v>
      </c>
      <c r="J174" s="188" t="s">
        <v>3240</v>
      </c>
      <c r="K174" s="188" t="s">
        <v>2048</v>
      </c>
      <c r="L174" s="188" t="s">
        <v>3239</v>
      </c>
      <c r="M174" s="188">
        <v>2015</v>
      </c>
      <c r="N174" s="188"/>
      <c r="O174" s="188" t="s">
        <v>1007</v>
      </c>
      <c r="P174" s="190" t="s">
        <v>7</v>
      </c>
      <c r="Q174" s="190" t="s">
        <v>3238</v>
      </c>
      <c r="R174" s="190" t="s">
        <v>3237</v>
      </c>
      <c r="S174" s="190" t="s">
        <v>5</v>
      </c>
      <c r="T174" s="190">
        <v>15</v>
      </c>
      <c r="U174" s="190" t="s">
        <v>3236</v>
      </c>
      <c r="V174" s="190" t="s">
        <v>1</v>
      </c>
      <c r="W174" s="190" t="s">
        <v>1</v>
      </c>
      <c r="X174" s="190" t="s">
        <v>1</v>
      </c>
      <c r="Y174" s="190" t="s">
        <v>1</v>
      </c>
      <c r="Z174" s="190" t="s">
        <v>1</v>
      </c>
      <c r="AA174" s="190" t="s">
        <v>1</v>
      </c>
      <c r="AB174" s="188" t="s">
        <v>2058</v>
      </c>
      <c r="AC174" s="188"/>
      <c r="AD174" s="188"/>
      <c r="AE174" s="147" t="s">
        <v>3235</v>
      </c>
      <c r="AF174" s="191">
        <v>5.2030000000000002E-3</v>
      </c>
      <c r="AG174" s="192">
        <v>1.7361111111111112E-2</v>
      </c>
      <c r="AH174" s="188"/>
    </row>
    <row r="175" spans="1:34" x14ac:dyDescent="0.2">
      <c r="B175" s="73" t="s">
        <v>1082</v>
      </c>
      <c r="C175" s="74" t="s">
        <v>1691</v>
      </c>
      <c r="D175" s="75">
        <v>100</v>
      </c>
      <c r="E175" s="73" t="s">
        <v>5</v>
      </c>
      <c r="F175" s="75">
        <v>25</v>
      </c>
      <c r="H175" s="78">
        <v>44679</v>
      </c>
      <c r="I175" s="73" t="s">
        <v>3144</v>
      </c>
      <c r="J175" s="73" t="s">
        <v>3143</v>
      </c>
      <c r="K175" s="73" t="s">
        <v>2572</v>
      </c>
      <c r="L175" s="73" t="s">
        <v>2059</v>
      </c>
      <c r="M175" s="73">
        <v>2021</v>
      </c>
      <c r="O175" s="73" t="s">
        <v>3142</v>
      </c>
      <c r="P175" s="77" t="s">
        <v>4</v>
      </c>
      <c r="Q175" s="77">
        <v>3</v>
      </c>
      <c r="R175" s="77" t="s">
        <v>3141</v>
      </c>
      <c r="S175" s="73" t="s">
        <v>1</v>
      </c>
      <c r="T175" s="73" t="s">
        <v>1</v>
      </c>
      <c r="U175" s="73" t="s">
        <v>1</v>
      </c>
      <c r="V175" s="73" t="s">
        <v>1</v>
      </c>
      <c r="W175" s="73" t="s">
        <v>1</v>
      </c>
      <c r="X175" s="73" t="s">
        <v>1</v>
      </c>
      <c r="Y175" s="73" t="s">
        <v>1</v>
      </c>
      <c r="Z175" s="73" t="s">
        <v>1</v>
      </c>
      <c r="AA175" s="73" t="s">
        <v>1</v>
      </c>
      <c r="AB175" s="73" t="s">
        <v>3140</v>
      </c>
      <c r="AE175" s="25" t="s">
        <v>5172</v>
      </c>
      <c r="AF175" s="63">
        <v>0</v>
      </c>
      <c r="AG175" s="69">
        <v>0.17569444444444446</v>
      </c>
    </row>
    <row r="176" spans="1:34" x14ac:dyDescent="0.2">
      <c r="A176" s="184"/>
      <c r="B176" s="184" t="s">
        <v>454</v>
      </c>
      <c r="C176" s="193" t="s">
        <v>1691</v>
      </c>
      <c r="D176" s="186">
        <v>100</v>
      </c>
      <c r="E176" s="184" t="s">
        <v>7</v>
      </c>
      <c r="F176" s="186">
        <v>25</v>
      </c>
      <c r="G176" s="186"/>
      <c r="H176" s="194">
        <v>43972</v>
      </c>
      <c r="I176" s="184" t="s">
        <v>2335</v>
      </c>
      <c r="J176" s="184" t="s">
        <v>3120</v>
      </c>
      <c r="K176" s="184" t="s">
        <v>2048</v>
      </c>
      <c r="L176" s="184" t="s">
        <v>2335</v>
      </c>
      <c r="M176" s="184">
        <v>2016</v>
      </c>
      <c r="N176" s="184"/>
      <c r="O176" s="184" t="s">
        <v>3119</v>
      </c>
      <c r="P176" s="187" t="s">
        <v>5</v>
      </c>
      <c r="Q176" s="187">
        <v>11.5</v>
      </c>
      <c r="R176" s="187" t="s">
        <v>1061</v>
      </c>
      <c r="S176" s="187" t="s">
        <v>1</v>
      </c>
      <c r="T176" s="187" t="s">
        <v>1</v>
      </c>
      <c r="U176" s="187" t="s">
        <v>1</v>
      </c>
      <c r="V176" s="187" t="s">
        <v>1</v>
      </c>
      <c r="W176" s="187" t="s">
        <v>1</v>
      </c>
      <c r="X176" s="187" t="s">
        <v>1</v>
      </c>
      <c r="Y176" s="187" t="s">
        <v>1</v>
      </c>
      <c r="Z176" s="187" t="s">
        <v>1</v>
      </c>
      <c r="AA176" s="187" t="s">
        <v>1</v>
      </c>
      <c r="AB176" s="184" t="s">
        <v>2280</v>
      </c>
      <c r="AC176" s="184"/>
      <c r="AD176" s="184"/>
      <c r="AE176" s="25" t="s">
        <v>5189</v>
      </c>
      <c r="AF176" s="63">
        <v>0</v>
      </c>
      <c r="AG176" s="58">
        <v>0</v>
      </c>
      <c r="AH176" s="184"/>
    </row>
    <row r="177" spans="1:34" x14ac:dyDescent="0.2">
      <c r="B177" s="73" t="s">
        <v>860</v>
      </c>
      <c r="C177" s="74" t="s">
        <v>1691</v>
      </c>
      <c r="D177" s="75">
        <v>100</v>
      </c>
      <c r="E177" s="73" t="s">
        <v>7</v>
      </c>
      <c r="F177" s="75">
        <v>25</v>
      </c>
      <c r="H177" s="78">
        <v>44636</v>
      </c>
      <c r="I177" s="73" t="s">
        <v>3130</v>
      </c>
      <c r="J177" s="73" t="s">
        <v>3129</v>
      </c>
      <c r="K177" s="73" t="s">
        <v>2572</v>
      </c>
      <c r="L177" s="73" t="s">
        <v>2059</v>
      </c>
      <c r="M177" s="85" t="s">
        <v>2985</v>
      </c>
      <c r="O177" s="73" t="s">
        <v>3128</v>
      </c>
      <c r="P177" s="77" t="s">
        <v>5</v>
      </c>
      <c r="Q177" s="77">
        <v>12.2</v>
      </c>
      <c r="R177" s="77" t="s">
        <v>3127</v>
      </c>
      <c r="S177" s="77" t="s">
        <v>4</v>
      </c>
      <c r="T177" s="77">
        <v>5.0999999999999996</v>
      </c>
      <c r="U177" s="77" t="s">
        <v>3126</v>
      </c>
      <c r="V177" s="77" t="s">
        <v>1</v>
      </c>
      <c r="W177" s="73" t="s">
        <v>1</v>
      </c>
      <c r="X177" s="73" t="s">
        <v>1</v>
      </c>
      <c r="Y177" s="73" t="s">
        <v>1</v>
      </c>
      <c r="Z177" s="73" t="s">
        <v>1</v>
      </c>
      <c r="AA177" s="73" t="s">
        <v>1</v>
      </c>
      <c r="AB177" s="73" t="s">
        <v>3125</v>
      </c>
      <c r="AE177" s="25" t="s">
        <v>5175</v>
      </c>
      <c r="AF177" s="63">
        <v>1.5440000000000001E-2</v>
      </c>
      <c r="AG177" s="69">
        <v>0.47638888888888892</v>
      </c>
    </row>
    <row r="178" spans="1:34" x14ac:dyDescent="0.2">
      <c r="A178" s="184"/>
      <c r="B178" s="184" t="s">
        <v>986</v>
      </c>
      <c r="C178" s="193" t="s">
        <v>1691</v>
      </c>
      <c r="D178" s="186">
        <v>100</v>
      </c>
      <c r="E178" s="184" t="s">
        <v>5</v>
      </c>
      <c r="F178" s="186">
        <v>25</v>
      </c>
      <c r="G178" s="186"/>
      <c r="H178" s="194">
        <v>44615</v>
      </c>
      <c r="I178" s="184" t="s">
        <v>3124</v>
      </c>
      <c r="J178" s="184" t="s">
        <v>3123</v>
      </c>
      <c r="K178" s="184" t="s">
        <v>2572</v>
      </c>
      <c r="L178" s="184" t="s">
        <v>2059</v>
      </c>
      <c r="M178" s="197">
        <v>43709</v>
      </c>
      <c r="N178" s="184"/>
      <c r="O178" s="184" t="s">
        <v>3122</v>
      </c>
      <c r="P178" s="187" t="s">
        <v>4</v>
      </c>
      <c r="Q178" s="187">
        <v>5</v>
      </c>
      <c r="R178" s="187" t="s">
        <v>3121</v>
      </c>
      <c r="S178" s="187" t="s">
        <v>1</v>
      </c>
      <c r="T178" s="187" t="s">
        <v>1</v>
      </c>
      <c r="U178" s="187" t="s">
        <v>1</v>
      </c>
      <c r="V178" s="187" t="s">
        <v>1</v>
      </c>
      <c r="W178" s="187" t="s">
        <v>1</v>
      </c>
      <c r="X178" s="187" t="s">
        <v>1</v>
      </c>
      <c r="Y178" s="187" t="s">
        <v>1</v>
      </c>
      <c r="Z178" s="187" t="s">
        <v>1</v>
      </c>
      <c r="AA178" s="187" t="s">
        <v>1</v>
      </c>
      <c r="AB178" s="184" t="s">
        <v>2081</v>
      </c>
      <c r="AC178" s="184"/>
      <c r="AD178" s="184"/>
      <c r="AE178" s="25" t="s">
        <v>5176</v>
      </c>
      <c r="AF178" s="63">
        <v>1.4638E-2</v>
      </c>
      <c r="AG178" s="69">
        <v>5.1388888888888894E-2</v>
      </c>
      <c r="AH178" s="184"/>
    </row>
    <row r="179" spans="1:34" s="12" customFormat="1" x14ac:dyDescent="0.2">
      <c r="A179" s="73"/>
      <c r="B179" s="73" t="s">
        <v>3272</v>
      </c>
      <c r="C179" s="74" t="s">
        <v>1691</v>
      </c>
      <c r="D179" s="75">
        <v>100</v>
      </c>
      <c r="E179" s="73" t="s">
        <v>5</v>
      </c>
      <c r="F179" s="75">
        <v>50</v>
      </c>
      <c r="G179" s="75">
        <f>+F179</f>
        <v>50</v>
      </c>
      <c r="H179" s="27">
        <v>44475</v>
      </c>
      <c r="I179" s="73" t="s">
        <v>3271</v>
      </c>
      <c r="J179" s="73" t="s">
        <v>3270</v>
      </c>
      <c r="K179" s="73" t="s">
        <v>2048</v>
      </c>
      <c r="L179" s="73" t="s">
        <v>2358</v>
      </c>
      <c r="M179" s="84">
        <v>44440</v>
      </c>
      <c r="N179" s="73" t="s">
        <v>5133</v>
      </c>
      <c r="O179" s="73" t="s">
        <v>3269</v>
      </c>
      <c r="P179" s="77" t="s">
        <v>1</v>
      </c>
      <c r="Q179" s="77" t="s">
        <v>1</v>
      </c>
      <c r="R179" s="77" t="s">
        <v>1</v>
      </c>
      <c r="S179" s="77" t="s">
        <v>1</v>
      </c>
      <c r="T179" s="77" t="s">
        <v>1</v>
      </c>
      <c r="U179" s="77" t="s">
        <v>1</v>
      </c>
      <c r="V179" s="77" t="s">
        <v>1</v>
      </c>
      <c r="W179" s="77" t="s">
        <v>1</v>
      </c>
      <c r="X179" s="77" t="s">
        <v>1</v>
      </c>
      <c r="Y179" s="77" t="s">
        <v>1</v>
      </c>
      <c r="Z179" s="77" t="s">
        <v>1</v>
      </c>
      <c r="AA179" s="77" t="s">
        <v>1</v>
      </c>
      <c r="AB179" s="73" t="s">
        <v>2058</v>
      </c>
      <c r="AC179" s="73"/>
      <c r="AD179" s="73"/>
      <c r="AE179" s="25" t="s">
        <v>5131</v>
      </c>
      <c r="AF179" s="63">
        <v>1.3875999999999999E-2</v>
      </c>
      <c r="AG179" s="69">
        <v>2.4305555555555556E-2</v>
      </c>
      <c r="AH179" s="73"/>
    </row>
    <row r="180" spans="1:34" s="184" customFormat="1" x14ac:dyDescent="0.2">
      <c r="B180" s="184" t="s">
        <v>128</v>
      </c>
      <c r="C180" s="193" t="s">
        <v>1691</v>
      </c>
      <c r="D180" s="186">
        <v>100</v>
      </c>
      <c r="E180" s="184" t="s">
        <v>7</v>
      </c>
      <c r="F180" s="186">
        <v>23.5</v>
      </c>
      <c r="G180" s="186"/>
      <c r="H180" s="194">
        <v>45008</v>
      </c>
      <c r="I180" s="184" t="s">
        <v>3113</v>
      </c>
      <c r="J180" s="184" t="s">
        <v>3112</v>
      </c>
      <c r="K180" s="184" t="s">
        <v>2048</v>
      </c>
      <c r="L180" s="184" t="s">
        <v>3111</v>
      </c>
      <c r="M180" s="184">
        <v>2019</v>
      </c>
      <c r="O180" s="184" t="s">
        <v>3110</v>
      </c>
      <c r="P180" s="187" t="s">
        <v>5</v>
      </c>
      <c r="Q180" s="187">
        <v>16</v>
      </c>
      <c r="R180" s="187" t="s">
        <v>3109</v>
      </c>
      <c r="S180" s="187" t="s">
        <v>4</v>
      </c>
      <c r="T180" s="187">
        <v>5</v>
      </c>
      <c r="U180" s="187" t="s">
        <v>3108</v>
      </c>
      <c r="V180" s="187" t="s">
        <v>1</v>
      </c>
      <c r="W180" s="187" t="s">
        <v>1</v>
      </c>
      <c r="X180" s="187" t="s">
        <v>1</v>
      </c>
      <c r="Y180" s="187" t="s">
        <v>1</v>
      </c>
      <c r="Z180" s="187" t="s">
        <v>1</v>
      </c>
      <c r="AA180" s="187" t="s">
        <v>1</v>
      </c>
      <c r="AB180" s="184" t="s">
        <v>2155</v>
      </c>
      <c r="AE180" s="25" t="s">
        <v>3107</v>
      </c>
      <c r="AF180" s="64">
        <v>5.8803000000000001E-2</v>
      </c>
      <c r="AG180" s="62">
        <v>8.0555555555555561E-2</v>
      </c>
    </row>
    <row r="181" spans="1:34" x14ac:dyDescent="0.2">
      <c r="B181" s="73" t="s">
        <v>3226</v>
      </c>
      <c r="C181" s="74" t="s">
        <v>1691</v>
      </c>
      <c r="D181" s="75">
        <v>100</v>
      </c>
      <c r="E181" s="73" t="s">
        <v>5</v>
      </c>
      <c r="F181" s="75">
        <v>30</v>
      </c>
      <c r="G181" s="75">
        <f>+F181+Q181</f>
        <v>34</v>
      </c>
      <c r="H181" s="78">
        <v>44914</v>
      </c>
      <c r="I181" s="73" t="s">
        <v>3225</v>
      </c>
      <c r="J181" s="73" t="s">
        <v>3224</v>
      </c>
      <c r="K181" s="73" t="s">
        <v>2311</v>
      </c>
      <c r="L181" s="73" t="s">
        <v>3223</v>
      </c>
      <c r="M181" s="85" t="s">
        <v>3132</v>
      </c>
      <c r="O181" s="73" t="s">
        <v>3222</v>
      </c>
      <c r="P181" s="77" t="s">
        <v>4</v>
      </c>
      <c r="Q181" s="77">
        <v>4</v>
      </c>
      <c r="R181" s="77" t="s">
        <v>3221</v>
      </c>
      <c r="S181" s="77" t="s">
        <v>1</v>
      </c>
      <c r="T181" s="77" t="s">
        <v>1</v>
      </c>
      <c r="U181" s="77" t="s">
        <v>1</v>
      </c>
      <c r="V181" s="77" t="s">
        <v>1</v>
      </c>
      <c r="W181" s="77" t="s">
        <v>1</v>
      </c>
      <c r="X181" s="77" t="s">
        <v>1</v>
      </c>
      <c r="Y181" s="77" t="s">
        <v>1</v>
      </c>
      <c r="Z181" s="77" t="s">
        <v>1</v>
      </c>
      <c r="AA181" s="77" t="s">
        <v>1</v>
      </c>
      <c r="AB181" s="73" t="s">
        <v>2081</v>
      </c>
      <c r="AE181" s="25" t="s">
        <v>5143</v>
      </c>
      <c r="AF181" s="63">
        <v>0.27698</v>
      </c>
      <c r="AG181" s="69">
        <v>9.375E-2</v>
      </c>
    </row>
    <row r="182" spans="1:34" x14ac:dyDescent="0.2">
      <c r="B182" s="184" t="s">
        <v>3153</v>
      </c>
      <c r="C182" s="193" t="s">
        <v>1691</v>
      </c>
      <c r="D182" s="185">
        <v>100</v>
      </c>
      <c r="E182" s="184" t="s">
        <v>7</v>
      </c>
      <c r="F182" s="185">
        <v>27</v>
      </c>
      <c r="G182" s="185">
        <f>F182+Q182</f>
        <v>38</v>
      </c>
      <c r="H182" s="78">
        <v>44882</v>
      </c>
      <c r="I182" s="184" t="s">
        <v>3152</v>
      </c>
      <c r="J182" s="184" t="s">
        <v>3151</v>
      </c>
      <c r="K182" s="184" t="s">
        <v>2311</v>
      </c>
      <c r="L182" s="184" t="s">
        <v>2293</v>
      </c>
      <c r="M182" s="184">
        <v>2016</v>
      </c>
      <c r="N182" s="184"/>
      <c r="O182" s="184" t="s">
        <v>3150</v>
      </c>
      <c r="P182" s="187" t="s">
        <v>5</v>
      </c>
      <c r="Q182" s="187">
        <v>11</v>
      </c>
      <c r="R182" s="187" t="s">
        <v>3149</v>
      </c>
      <c r="S182" s="187" t="s">
        <v>4</v>
      </c>
      <c r="T182" s="187" t="s">
        <v>1</v>
      </c>
      <c r="U182" s="187" t="s">
        <v>3148</v>
      </c>
      <c r="V182" s="187" t="s">
        <v>1</v>
      </c>
      <c r="W182" s="187" t="s">
        <v>1</v>
      </c>
      <c r="X182" s="187" t="s">
        <v>1</v>
      </c>
      <c r="Y182" s="187" t="s">
        <v>1</v>
      </c>
      <c r="Z182" s="187" t="s">
        <v>1</v>
      </c>
      <c r="AA182" s="187" t="s">
        <v>1</v>
      </c>
      <c r="AB182" s="184" t="s">
        <v>2365</v>
      </c>
      <c r="AC182" s="184"/>
      <c r="AD182" s="184"/>
      <c r="AE182" s="195" t="s">
        <v>5166</v>
      </c>
      <c r="AF182" s="235">
        <v>0.273484</v>
      </c>
      <c r="AG182" s="58">
        <v>8.5416666666666655E-2</v>
      </c>
      <c r="AH182" s="184"/>
    </row>
    <row r="183" spans="1:34" x14ac:dyDescent="0.2">
      <c r="A183" s="184"/>
      <c r="B183" s="184" t="s">
        <v>3080</v>
      </c>
      <c r="C183" s="193" t="s">
        <v>1691</v>
      </c>
      <c r="D183" s="186">
        <v>100</v>
      </c>
      <c r="E183" s="184" t="s">
        <v>5</v>
      </c>
      <c r="F183" s="186">
        <v>20</v>
      </c>
      <c r="G183" s="186"/>
      <c r="H183" s="194">
        <v>43818</v>
      </c>
      <c r="I183" s="184" t="s">
        <v>2880</v>
      </c>
      <c r="J183" s="184" t="s">
        <v>3079</v>
      </c>
      <c r="K183" s="184" t="s">
        <v>2048</v>
      </c>
      <c r="L183" s="184" t="s">
        <v>2853</v>
      </c>
      <c r="M183" s="184">
        <v>2013</v>
      </c>
      <c r="N183" s="184"/>
      <c r="O183" s="184" t="s">
        <v>3078</v>
      </c>
      <c r="P183" s="187" t="s">
        <v>1</v>
      </c>
      <c r="Q183" s="187" t="s">
        <v>1</v>
      </c>
      <c r="R183" s="187" t="s">
        <v>1</v>
      </c>
      <c r="S183" s="187" t="s">
        <v>1</v>
      </c>
      <c r="T183" s="187" t="s">
        <v>1</v>
      </c>
      <c r="U183" s="187" t="s">
        <v>1</v>
      </c>
      <c r="V183" s="187" t="s">
        <v>1</v>
      </c>
      <c r="W183" s="187" t="s">
        <v>1</v>
      </c>
      <c r="X183" s="187" t="s">
        <v>1</v>
      </c>
      <c r="Y183" s="187" t="s">
        <v>1</v>
      </c>
      <c r="Z183" s="187" t="s">
        <v>1</v>
      </c>
      <c r="AA183" s="187" t="s">
        <v>1</v>
      </c>
      <c r="AB183" s="184" t="s">
        <v>3077</v>
      </c>
      <c r="AC183" s="184"/>
      <c r="AD183" s="184"/>
      <c r="AE183" s="25" t="s">
        <v>5196</v>
      </c>
      <c r="AF183" s="63">
        <v>3.9455999999999998E-2</v>
      </c>
      <c r="AG183" s="69">
        <v>0.16805555555555554</v>
      </c>
      <c r="AH183" s="184"/>
    </row>
    <row r="184" spans="1:34" x14ac:dyDescent="0.2">
      <c r="B184" s="12" t="s">
        <v>3166</v>
      </c>
      <c r="C184" s="29" t="s">
        <v>1691</v>
      </c>
      <c r="D184" s="15">
        <v>100</v>
      </c>
      <c r="E184" s="12" t="s">
        <v>5</v>
      </c>
      <c r="F184" s="15">
        <v>25</v>
      </c>
      <c r="G184" s="75">
        <f>+F184</f>
        <v>25</v>
      </c>
      <c r="H184" s="14">
        <v>44013</v>
      </c>
      <c r="I184" s="12" t="s">
        <v>3147</v>
      </c>
      <c r="J184" s="12" t="s">
        <v>3165</v>
      </c>
      <c r="K184" s="12" t="s">
        <v>2572</v>
      </c>
      <c r="L184" s="12" t="s">
        <v>2059</v>
      </c>
      <c r="M184" s="35" t="s">
        <v>3132</v>
      </c>
      <c r="O184" s="73" t="s">
        <v>1</v>
      </c>
      <c r="P184" s="73" t="s">
        <v>1</v>
      </c>
      <c r="Q184" s="73" t="s">
        <v>1</v>
      </c>
      <c r="R184" s="73" t="s">
        <v>1</v>
      </c>
      <c r="S184" s="73" t="s">
        <v>1</v>
      </c>
      <c r="T184" s="73" t="s">
        <v>1</v>
      </c>
      <c r="U184" s="73" t="s">
        <v>1</v>
      </c>
      <c r="V184" s="73" t="s">
        <v>1</v>
      </c>
      <c r="W184" s="73" t="s">
        <v>1</v>
      </c>
      <c r="X184" s="73" t="s">
        <v>1</v>
      </c>
      <c r="Y184" s="73" t="s">
        <v>1</v>
      </c>
      <c r="Z184" s="73" t="s">
        <v>1</v>
      </c>
      <c r="AA184" s="73" t="s">
        <v>1</v>
      </c>
      <c r="AB184" s="73" t="s">
        <v>2365</v>
      </c>
      <c r="AE184" s="25" t="s">
        <v>5164</v>
      </c>
      <c r="AF184" s="63">
        <v>2.2461999999999999E-2</v>
      </c>
      <c r="AG184" s="69">
        <v>3.0555555555555555E-2</v>
      </c>
    </row>
    <row r="185" spans="1:34" s="160" customFormat="1" x14ac:dyDescent="0.2">
      <c r="A185" s="73"/>
      <c r="B185" s="73" t="s">
        <v>3198</v>
      </c>
      <c r="C185" s="74" t="s">
        <v>1691</v>
      </c>
      <c r="D185" s="75">
        <v>100</v>
      </c>
      <c r="E185" s="73" t="s">
        <v>5</v>
      </c>
      <c r="F185" s="75">
        <v>28</v>
      </c>
      <c r="G185" s="75">
        <f>+F185</f>
        <v>28</v>
      </c>
      <c r="H185" s="27">
        <v>44442</v>
      </c>
      <c r="I185" s="73" t="s">
        <v>3197</v>
      </c>
      <c r="J185" s="73"/>
      <c r="K185" s="73" t="s">
        <v>3196</v>
      </c>
      <c r="L185" s="73" t="s">
        <v>3196</v>
      </c>
      <c r="M185" s="85" t="s">
        <v>3132</v>
      </c>
      <c r="N185" s="73"/>
      <c r="O185" s="73" t="s">
        <v>3195</v>
      </c>
      <c r="P185" s="77" t="s">
        <v>1</v>
      </c>
      <c r="Q185" s="77" t="s">
        <v>1</v>
      </c>
      <c r="R185" s="77" t="s">
        <v>1</v>
      </c>
      <c r="S185" s="77" t="s">
        <v>1</v>
      </c>
      <c r="T185" s="77" t="s">
        <v>1</v>
      </c>
      <c r="U185" s="77" t="s">
        <v>1</v>
      </c>
      <c r="V185" s="77" t="s">
        <v>1</v>
      </c>
      <c r="W185" s="77" t="s">
        <v>1</v>
      </c>
      <c r="X185" s="77" t="s">
        <v>1</v>
      </c>
      <c r="Y185" s="77" t="s">
        <v>1</v>
      </c>
      <c r="Z185" s="77" t="s">
        <v>1</v>
      </c>
      <c r="AA185" s="77" t="s">
        <v>1</v>
      </c>
      <c r="AB185" s="73" t="s">
        <v>2271</v>
      </c>
      <c r="AC185" s="73"/>
      <c r="AD185" s="73"/>
      <c r="AE185" s="25" t="s">
        <v>5155</v>
      </c>
      <c r="AF185" s="63">
        <v>2.2341E-2</v>
      </c>
      <c r="AG185" s="69">
        <v>3.8194444444444441E-2</v>
      </c>
      <c r="AH185" s="73"/>
    </row>
    <row r="186" spans="1:34" x14ac:dyDescent="0.2">
      <c r="B186" s="73" t="s">
        <v>1145</v>
      </c>
      <c r="C186" s="74" t="s">
        <v>1691</v>
      </c>
      <c r="D186" s="75">
        <v>100</v>
      </c>
      <c r="E186" s="73" t="s">
        <v>4</v>
      </c>
      <c r="F186" s="75">
        <v>50</v>
      </c>
      <c r="G186" s="75">
        <f>+F186</f>
        <v>50</v>
      </c>
      <c r="H186" s="78">
        <v>45062</v>
      </c>
      <c r="I186" s="73" t="s">
        <v>3292</v>
      </c>
      <c r="J186" s="73" t="s">
        <v>3291</v>
      </c>
      <c r="K186" s="32" t="s">
        <v>2048</v>
      </c>
      <c r="L186" s="32" t="s">
        <v>2065</v>
      </c>
      <c r="M186" s="87" t="s">
        <v>3290</v>
      </c>
      <c r="O186" s="73" t="s">
        <v>3289</v>
      </c>
      <c r="P186" s="77" t="s">
        <v>1</v>
      </c>
      <c r="Q186" s="77" t="s">
        <v>1</v>
      </c>
      <c r="R186" s="77" t="s">
        <v>1</v>
      </c>
      <c r="S186" s="77" t="s">
        <v>1</v>
      </c>
      <c r="T186" s="77" t="s">
        <v>1</v>
      </c>
      <c r="U186" s="77" t="s">
        <v>1</v>
      </c>
      <c r="V186" s="77" t="s">
        <v>1</v>
      </c>
      <c r="W186" s="77" t="s">
        <v>1</v>
      </c>
      <c r="X186" s="77" t="s">
        <v>1</v>
      </c>
      <c r="Y186" s="77" t="s">
        <v>1</v>
      </c>
      <c r="Z186" s="77" t="s">
        <v>1</v>
      </c>
      <c r="AA186" s="77" t="s">
        <v>1</v>
      </c>
      <c r="AB186" s="73" t="s">
        <v>3288</v>
      </c>
      <c r="AE186" s="25" t="s">
        <v>5126</v>
      </c>
      <c r="AF186" s="63">
        <v>1.9050000000000001E-2</v>
      </c>
      <c r="AG186" s="69">
        <v>0.11319444444444444</v>
      </c>
    </row>
    <row r="187" spans="1:34" x14ac:dyDescent="0.2">
      <c r="B187" s="73" t="s">
        <v>689</v>
      </c>
      <c r="C187" s="74" t="s">
        <v>1691</v>
      </c>
      <c r="D187" s="75">
        <v>100</v>
      </c>
      <c r="E187" s="73" t="s">
        <v>5</v>
      </c>
      <c r="F187" s="75">
        <f>12.2+16.3</f>
        <v>28.5</v>
      </c>
      <c r="G187" s="75">
        <f>+F187</f>
        <v>28.5</v>
      </c>
      <c r="H187" s="78">
        <v>45077</v>
      </c>
      <c r="I187" s="73" t="s">
        <v>3164</v>
      </c>
      <c r="J187" s="73" t="s">
        <v>3163</v>
      </c>
      <c r="K187" s="73" t="s">
        <v>2048</v>
      </c>
      <c r="L187" s="73" t="s">
        <v>2059</v>
      </c>
      <c r="M187" s="73">
        <v>2021</v>
      </c>
      <c r="O187" s="73" t="s">
        <v>3162</v>
      </c>
      <c r="P187" s="77" t="s">
        <v>1</v>
      </c>
      <c r="Q187" s="77" t="s">
        <v>1</v>
      </c>
      <c r="R187" s="77" t="s">
        <v>1</v>
      </c>
      <c r="S187" s="77" t="s">
        <v>1</v>
      </c>
      <c r="T187" s="77" t="s">
        <v>1</v>
      </c>
      <c r="U187" s="77" t="s">
        <v>1</v>
      </c>
      <c r="V187" s="77" t="s">
        <v>1</v>
      </c>
      <c r="W187" s="77" t="s">
        <v>1</v>
      </c>
      <c r="X187" s="77" t="s">
        <v>1</v>
      </c>
      <c r="Y187" s="77" t="s">
        <v>1</v>
      </c>
      <c r="Z187" s="77" t="s">
        <v>1</v>
      </c>
      <c r="AA187" s="77" t="s">
        <v>1</v>
      </c>
      <c r="AB187" s="73" t="s">
        <v>2365</v>
      </c>
      <c r="AE187" s="25" t="s">
        <v>5165</v>
      </c>
      <c r="AF187" s="63">
        <v>1.7419E-2</v>
      </c>
      <c r="AG187" s="69">
        <v>0.11666666666666665</v>
      </c>
    </row>
    <row r="188" spans="1:34" x14ac:dyDescent="0.2">
      <c r="A188" s="184"/>
      <c r="B188" s="184" t="s">
        <v>5170</v>
      </c>
      <c r="C188" s="193" t="s">
        <v>1691</v>
      </c>
      <c r="D188" s="185">
        <v>100</v>
      </c>
      <c r="E188" s="184" t="s">
        <v>5</v>
      </c>
      <c r="F188" s="185">
        <v>25</v>
      </c>
      <c r="G188" s="185">
        <f>F188</f>
        <v>25</v>
      </c>
      <c r="H188" s="78">
        <v>44699</v>
      </c>
      <c r="I188" s="184" t="s">
        <v>3147</v>
      </c>
      <c r="J188" s="184" t="s">
        <v>3146</v>
      </c>
      <c r="K188" s="184" t="s">
        <v>2572</v>
      </c>
      <c r="L188" s="184" t="s">
        <v>2059</v>
      </c>
      <c r="M188" s="196" t="s">
        <v>2985</v>
      </c>
      <c r="N188" s="184"/>
      <c r="O188" s="184" t="s">
        <v>3145</v>
      </c>
      <c r="P188" s="184" t="s">
        <v>1</v>
      </c>
      <c r="Q188" s="184" t="s">
        <v>1</v>
      </c>
      <c r="R188" s="184" t="s">
        <v>1</v>
      </c>
      <c r="S188" s="184" t="s">
        <v>1</v>
      </c>
      <c r="T188" s="184" t="s">
        <v>1</v>
      </c>
      <c r="U188" s="184" t="s">
        <v>1</v>
      </c>
      <c r="V188" s="184" t="s">
        <v>1</v>
      </c>
      <c r="W188" s="184" t="s">
        <v>1</v>
      </c>
      <c r="X188" s="184" t="s">
        <v>1</v>
      </c>
      <c r="Y188" s="184" t="s">
        <v>1</v>
      </c>
      <c r="Z188" s="184" t="s">
        <v>1</v>
      </c>
      <c r="AA188" s="184" t="s">
        <v>1</v>
      </c>
      <c r="AB188" s="184" t="s">
        <v>2365</v>
      </c>
      <c r="AC188" s="184"/>
      <c r="AD188" s="184"/>
      <c r="AE188" s="195" t="s">
        <v>5171</v>
      </c>
      <c r="AF188" s="235">
        <v>1.2933E-2</v>
      </c>
      <c r="AG188" s="58">
        <v>5.1388888888888894E-2</v>
      </c>
      <c r="AH188" s="184"/>
    </row>
    <row r="189" spans="1:34" x14ac:dyDescent="0.2">
      <c r="B189" s="73" t="s">
        <v>3168</v>
      </c>
      <c r="C189" s="74" t="s">
        <v>1691</v>
      </c>
      <c r="D189" s="75">
        <v>100</v>
      </c>
      <c r="E189" s="73" t="s">
        <v>1</v>
      </c>
      <c r="F189" s="75">
        <v>26</v>
      </c>
      <c r="G189" s="75">
        <f>+F189</f>
        <v>26</v>
      </c>
      <c r="H189" s="27">
        <v>43852</v>
      </c>
      <c r="I189" s="73" t="s">
        <v>3167</v>
      </c>
      <c r="K189" s="73" t="s">
        <v>2048</v>
      </c>
      <c r="L189" s="73" t="s">
        <v>2233</v>
      </c>
      <c r="M189" s="85">
        <v>43374</v>
      </c>
      <c r="O189" s="73" t="s">
        <v>1</v>
      </c>
      <c r="P189" s="73" t="s">
        <v>1</v>
      </c>
      <c r="Q189" s="73" t="s">
        <v>1</v>
      </c>
      <c r="R189" s="73" t="s">
        <v>1</v>
      </c>
      <c r="S189" s="73" t="s">
        <v>1</v>
      </c>
      <c r="T189" s="73" t="s">
        <v>1</v>
      </c>
      <c r="U189" s="73" t="s">
        <v>1</v>
      </c>
      <c r="V189" s="73" t="s">
        <v>1</v>
      </c>
      <c r="W189" s="73" t="s">
        <v>1</v>
      </c>
      <c r="X189" s="73" t="s">
        <v>1</v>
      </c>
      <c r="Y189" s="73" t="s">
        <v>1</v>
      </c>
      <c r="Z189" s="73" t="s">
        <v>1</v>
      </c>
      <c r="AA189" s="73" t="s">
        <v>1</v>
      </c>
      <c r="AB189" s="73" t="s">
        <v>2365</v>
      </c>
      <c r="AE189" s="25" t="s">
        <v>5163</v>
      </c>
      <c r="AF189" s="63">
        <v>1.2711999999999999E-2</v>
      </c>
      <c r="AG189" s="69">
        <v>2.013888888888889E-2</v>
      </c>
    </row>
    <row r="190" spans="1:34" x14ac:dyDescent="0.2">
      <c r="A190" s="184"/>
      <c r="B190" s="184" t="s">
        <v>730</v>
      </c>
      <c r="C190" s="193" t="s">
        <v>1691</v>
      </c>
      <c r="D190" s="186">
        <v>100</v>
      </c>
      <c r="E190" s="184" t="s">
        <v>5</v>
      </c>
      <c r="F190" s="186">
        <v>25</v>
      </c>
      <c r="G190" s="186"/>
      <c r="H190" s="194">
        <v>44757</v>
      </c>
      <c r="I190" s="184" t="s">
        <v>3101</v>
      </c>
      <c r="J190" s="184"/>
      <c r="K190" s="184" t="s">
        <v>2048</v>
      </c>
      <c r="L190" s="184" t="s">
        <v>3100</v>
      </c>
      <c r="M190" s="197" t="s">
        <v>2985</v>
      </c>
      <c r="N190" s="184"/>
      <c r="O190" s="184" t="s">
        <v>3099</v>
      </c>
      <c r="P190" s="187" t="s">
        <v>4</v>
      </c>
      <c r="Q190" s="187">
        <v>4</v>
      </c>
      <c r="R190" s="187" t="s">
        <v>3098</v>
      </c>
      <c r="S190" s="187" t="s">
        <v>4</v>
      </c>
      <c r="T190" s="187">
        <v>1.5</v>
      </c>
      <c r="U190" s="187" t="s">
        <v>3097</v>
      </c>
      <c r="V190" s="187" t="s">
        <v>1</v>
      </c>
      <c r="W190" s="187" t="s">
        <v>1</v>
      </c>
      <c r="X190" s="187" t="s">
        <v>1</v>
      </c>
      <c r="Y190" s="187" t="s">
        <v>1</v>
      </c>
      <c r="Z190" s="187" t="s">
        <v>1</v>
      </c>
      <c r="AA190" s="187" t="s">
        <v>1</v>
      </c>
      <c r="AB190" s="184" t="s">
        <v>2903</v>
      </c>
      <c r="AC190" s="184"/>
      <c r="AD190" s="184"/>
      <c r="AE190" s="25" t="s">
        <v>5193</v>
      </c>
      <c r="AF190" s="63">
        <v>1.0973999999999999E-2</v>
      </c>
      <c r="AG190" s="69">
        <v>3.6111111111111115E-2</v>
      </c>
      <c r="AH190" s="184"/>
    </row>
    <row r="191" spans="1:34" x14ac:dyDescent="0.2">
      <c r="A191" s="184"/>
      <c r="B191" s="184" t="s">
        <v>584</v>
      </c>
      <c r="C191" s="193" t="s">
        <v>1691</v>
      </c>
      <c r="D191" s="186">
        <v>100</v>
      </c>
      <c r="E191" s="184" t="s">
        <v>5</v>
      </c>
      <c r="F191" s="186">
        <v>20</v>
      </c>
      <c r="G191" s="186"/>
      <c r="H191" s="194">
        <v>44801</v>
      </c>
      <c r="I191" s="184" t="s">
        <v>3076</v>
      </c>
      <c r="J191" s="184" t="s">
        <v>3075</v>
      </c>
      <c r="K191" s="184" t="s">
        <v>2048</v>
      </c>
      <c r="L191" s="184" t="s">
        <v>3074</v>
      </c>
      <c r="M191" s="184">
        <v>2021</v>
      </c>
      <c r="N191" s="184"/>
      <c r="O191" s="184" t="s">
        <v>3073</v>
      </c>
      <c r="P191" s="187" t="s">
        <v>278</v>
      </c>
      <c r="Q191" s="187">
        <v>0.125</v>
      </c>
      <c r="R191" s="187" t="s">
        <v>1068</v>
      </c>
      <c r="S191" s="187" t="s">
        <v>1</v>
      </c>
      <c r="T191" s="187" t="s">
        <v>1</v>
      </c>
      <c r="U191" s="187" t="s">
        <v>1</v>
      </c>
      <c r="V191" s="187" t="s">
        <v>1</v>
      </c>
      <c r="W191" s="187" t="s">
        <v>1</v>
      </c>
      <c r="X191" s="187" t="s">
        <v>1</v>
      </c>
      <c r="Y191" s="187" t="s">
        <v>1</v>
      </c>
      <c r="Z191" s="187" t="s">
        <v>1</v>
      </c>
      <c r="AA191" s="187" t="s">
        <v>1</v>
      </c>
      <c r="AB191" s="184" t="s">
        <v>2051</v>
      </c>
      <c r="AC191" s="184"/>
      <c r="AD191" s="184"/>
      <c r="AE191" s="25" t="s">
        <v>5197</v>
      </c>
      <c r="AF191" s="63">
        <v>1.0630000000000001E-2</v>
      </c>
      <c r="AG191" s="69">
        <v>0.15625</v>
      </c>
      <c r="AH191" s="184"/>
    </row>
    <row r="192" spans="1:34" x14ac:dyDescent="0.2">
      <c r="B192" s="73" t="s">
        <v>1008</v>
      </c>
      <c r="C192" s="74" t="s">
        <v>1691</v>
      </c>
      <c r="D192" s="75">
        <v>100</v>
      </c>
      <c r="E192" s="73" t="s">
        <v>7</v>
      </c>
      <c r="F192" s="75">
        <v>30</v>
      </c>
      <c r="G192" s="75">
        <f>+F192+Q192+T192</f>
        <v>44</v>
      </c>
      <c r="H192" s="27">
        <v>44539</v>
      </c>
      <c r="I192" s="73" t="s">
        <v>3231</v>
      </c>
      <c r="J192" s="73" t="s">
        <v>3230</v>
      </c>
      <c r="K192" s="73" t="s">
        <v>2048</v>
      </c>
      <c r="L192" s="73" t="s">
        <v>2059</v>
      </c>
      <c r="M192" s="85" t="s">
        <v>2985</v>
      </c>
      <c r="O192" s="73" t="s">
        <v>3229</v>
      </c>
      <c r="P192" s="77" t="s">
        <v>5</v>
      </c>
      <c r="Q192" s="77">
        <v>11</v>
      </c>
      <c r="R192" s="77" t="s">
        <v>3228</v>
      </c>
      <c r="S192" s="77" t="s">
        <v>4</v>
      </c>
      <c r="T192" s="77">
        <v>3</v>
      </c>
      <c r="U192" s="77" t="s">
        <v>3227</v>
      </c>
      <c r="V192" s="77" t="s">
        <v>1</v>
      </c>
      <c r="W192" s="77" t="s">
        <v>1</v>
      </c>
      <c r="X192" s="77" t="s">
        <v>1</v>
      </c>
      <c r="Y192" s="77" t="s">
        <v>1</v>
      </c>
      <c r="Z192" s="77" t="s">
        <v>1</v>
      </c>
      <c r="AA192" s="77" t="s">
        <v>1</v>
      </c>
      <c r="AB192" s="73" t="s">
        <v>2365</v>
      </c>
      <c r="AE192" s="25" t="s">
        <v>5142</v>
      </c>
      <c r="AF192" s="63">
        <v>1.0409E-2</v>
      </c>
      <c r="AG192" s="69">
        <v>7.2916666666666671E-2</v>
      </c>
    </row>
    <row r="193" spans="1:34" x14ac:dyDescent="0.2">
      <c r="A193" s="184"/>
      <c r="B193" s="184" t="s">
        <v>2583</v>
      </c>
      <c r="C193" s="193" t="s">
        <v>1691</v>
      </c>
      <c r="D193" s="186" t="s">
        <v>1</v>
      </c>
      <c r="E193" s="186" t="s">
        <v>1</v>
      </c>
      <c r="F193" s="186" t="s">
        <v>1</v>
      </c>
      <c r="G193" s="186">
        <v>0</v>
      </c>
      <c r="H193" s="186" t="s">
        <v>1</v>
      </c>
      <c r="I193" s="198" t="s">
        <v>2582</v>
      </c>
      <c r="J193" s="198" t="s">
        <v>2581</v>
      </c>
      <c r="K193" s="198" t="s">
        <v>2311</v>
      </c>
      <c r="L193" s="198" t="s">
        <v>2570</v>
      </c>
      <c r="M193" s="184">
        <v>2023</v>
      </c>
      <c r="N193" s="184" t="s">
        <v>2580</v>
      </c>
      <c r="O193" s="184" t="s">
        <v>1</v>
      </c>
      <c r="P193" s="184" t="s">
        <v>1</v>
      </c>
      <c r="Q193" s="184" t="s">
        <v>1</v>
      </c>
      <c r="R193" s="184" t="s">
        <v>1</v>
      </c>
      <c r="S193" s="184" t="s">
        <v>1</v>
      </c>
      <c r="T193" s="184" t="s">
        <v>1</v>
      </c>
      <c r="U193" s="184" t="s">
        <v>1</v>
      </c>
      <c r="V193" s="184" t="s">
        <v>1</v>
      </c>
      <c r="W193" s="184" t="s">
        <v>1</v>
      </c>
      <c r="X193" s="184" t="s">
        <v>1</v>
      </c>
      <c r="Y193" s="184" t="s">
        <v>1</v>
      </c>
      <c r="Z193" s="184" t="s">
        <v>1</v>
      </c>
      <c r="AA193" s="184" t="s">
        <v>1</v>
      </c>
      <c r="AB193" s="184" t="s">
        <v>1</v>
      </c>
      <c r="AC193" s="184"/>
      <c r="AD193" s="184"/>
      <c r="AE193" s="25" t="s">
        <v>5039</v>
      </c>
      <c r="AF193" s="63">
        <v>4.9059999999999997</v>
      </c>
      <c r="AG193" s="69">
        <v>0.6</v>
      </c>
      <c r="AH193" s="184"/>
    </row>
    <row r="194" spans="1:34" x14ac:dyDescent="0.2">
      <c r="B194" s="73" t="s">
        <v>2548</v>
      </c>
      <c r="C194" s="74" t="s">
        <v>1691</v>
      </c>
      <c r="D194" s="75" t="s">
        <v>1</v>
      </c>
      <c r="E194" s="75" t="s">
        <v>1</v>
      </c>
      <c r="F194" s="75" t="s">
        <v>1</v>
      </c>
      <c r="G194" s="75">
        <v>0</v>
      </c>
      <c r="H194" s="75" t="s">
        <v>1</v>
      </c>
      <c r="I194" s="73" t="s">
        <v>2547</v>
      </c>
      <c r="K194" s="73" t="s">
        <v>2311</v>
      </c>
      <c r="L194" s="73" t="s">
        <v>2546</v>
      </c>
      <c r="M194" s="73">
        <v>2021</v>
      </c>
      <c r="O194" s="73" t="s">
        <v>1</v>
      </c>
      <c r="P194" s="73" t="s">
        <v>1</v>
      </c>
      <c r="Q194" s="73" t="s">
        <v>1</v>
      </c>
      <c r="R194" s="73" t="s">
        <v>1</v>
      </c>
      <c r="S194" s="73" t="s">
        <v>1</v>
      </c>
      <c r="T194" s="73" t="s">
        <v>1</v>
      </c>
      <c r="U194" s="73" t="s">
        <v>1</v>
      </c>
      <c r="V194" s="73" t="s">
        <v>1</v>
      </c>
      <c r="W194" s="73" t="s">
        <v>1</v>
      </c>
      <c r="X194" s="73" t="s">
        <v>1</v>
      </c>
      <c r="Y194" s="73" t="s">
        <v>1</v>
      </c>
      <c r="Z194" s="73" t="s">
        <v>1</v>
      </c>
      <c r="AA194" s="73" t="s">
        <v>1</v>
      </c>
      <c r="AB194" s="173" t="s">
        <v>6627</v>
      </c>
      <c r="AC194" s="173" t="s">
        <v>2693</v>
      </c>
      <c r="AD194" s="173" t="s">
        <v>6665</v>
      </c>
      <c r="AE194" s="25" t="s">
        <v>5038</v>
      </c>
      <c r="AF194" s="63">
        <v>4.7149999999999999</v>
      </c>
      <c r="AG194" s="69">
        <v>0.63541666666666663</v>
      </c>
    </row>
    <row r="195" spans="1:34" x14ac:dyDescent="0.2">
      <c r="B195" s="73" t="s">
        <v>2579</v>
      </c>
      <c r="C195" s="74" t="s">
        <v>1691</v>
      </c>
      <c r="D195" s="75" t="s">
        <v>1</v>
      </c>
      <c r="E195" s="75" t="s">
        <v>1</v>
      </c>
      <c r="F195" s="75" t="s">
        <v>1</v>
      </c>
      <c r="H195" s="75" t="s">
        <v>1</v>
      </c>
      <c r="I195" s="73" t="s">
        <v>2578</v>
      </c>
      <c r="K195" s="73" t="s">
        <v>2311</v>
      </c>
      <c r="L195" s="73" t="s">
        <v>2564</v>
      </c>
      <c r="M195" s="73">
        <v>2023</v>
      </c>
      <c r="O195" s="73" t="s">
        <v>1</v>
      </c>
      <c r="P195" s="73" t="s">
        <v>1</v>
      </c>
      <c r="Q195" s="73" t="s">
        <v>1</v>
      </c>
      <c r="R195" s="73" t="s">
        <v>1</v>
      </c>
      <c r="S195" s="73" t="s">
        <v>1</v>
      </c>
      <c r="T195" s="73" t="s">
        <v>1</v>
      </c>
      <c r="U195" s="73" t="s">
        <v>1</v>
      </c>
      <c r="V195" s="73" t="s">
        <v>1</v>
      </c>
      <c r="W195" s="73" t="s">
        <v>1</v>
      </c>
      <c r="X195" s="73" t="s">
        <v>1</v>
      </c>
      <c r="Y195" s="73" t="s">
        <v>1</v>
      </c>
      <c r="Z195" s="73" t="s">
        <v>1</v>
      </c>
      <c r="AA195" s="73" t="s">
        <v>1</v>
      </c>
      <c r="AB195" s="73" t="s">
        <v>1</v>
      </c>
      <c r="AE195" s="25" t="s">
        <v>5041</v>
      </c>
      <c r="AF195" s="63">
        <v>0.46637099999999998</v>
      </c>
      <c r="AG195" s="69">
        <v>0.54583333333333328</v>
      </c>
    </row>
    <row r="196" spans="1:34" x14ac:dyDescent="0.2">
      <c r="B196" s="73" t="s">
        <v>2566</v>
      </c>
      <c r="C196" s="74" t="s">
        <v>1691</v>
      </c>
      <c r="D196" s="75" t="s">
        <v>1</v>
      </c>
      <c r="E196" s="75" t="s">
        <v>1</v>
      </c>
      <c r="F196" s="75" t="s">
        <v>1</v>
      </c>
      <c r="H196" s="75" t="s">
        <v>1</v>
      </c>
      <c r="I196" s="73" t="s">
        <v>2565</v>
      </c>
      <c r="K196" s="73" t="s">
        <v>2311</v>
      </c>
      <c r="L196" s="73" t="s">
        <v>2564</v>
      </c>
      <c r="M196" s="73">
        <v>2020</v>
      </c>
      <c r="O196" s="73" t="s">
        <v>1</v>
      </c>
      <c r="P196" s="73" t="s">
        <v>1</v>
      </c>
      <c r="Q196" s="73" t="s">
        <v>1</v>
      </c>
      <c r="R196" s="73" t="s">
        <v>1</v>
      </c>
      <c r="S196" s="73" t="s">
        <v>1</v>
      </c>
      <c r="T196" s="73" t="s">
        <v>1</v>
      </c>
      <c r="U196" s="73" t="s">
        <v>1</v>
      </c>
      <c r="V196" s="73" t="s">
        <v>1</v>
      </c>
      <c r="W196" s="73" t="s">
        <v>1</v>
      </c>
      <c r="X196" s="73" t="s">
        <v>1</v>
      </c>
      <c r="Y196" s="73" t="s">
        <v>1</v>
      </c>
      <c r="Z196" s="73" t="s">
        <v>1</v>
      </c>
      <c r="AA196" s="73" t="s">
        <v>1</v>
      </c>
      <c r="AB196" s="173" t="s">
        <v>6652</v>
      </c>
      <c r="AD196" s="173" t="s">
        <v>2097</v>
      </c>
      <c r="AE196" s="25" t="s">
        <v>5035</v>
      </c>
      <c r="AF196" s="63">
        <v>0.76458899999999996</v>
      </c>
      <c r="AG196" s="69">
        <v>0.1451388888888889</v>
      </c>
    </row>
    <row r="197" spans="1:34" x14ac:dyDescent="0.2">
      <c r="B197" s="73" t="s">
        <v>2576</v>
      </c>
      <c r="C197" s="74" t="s">
        <v>1691</v>
      </c>
      <c r="D197" s="75" t="s">
        <v>1</v>
      </c>
      <c r="E197" s="75" t="s">
        <v>1</v>
      </c>
      <c r="F197" s="75" t="s">
        <v>1</v>
      </c>
      <c r="H197" s="75" t="s">
        <v>1</v>
      </c>
      <c r="I197" s="73" t="s">
        <v>2559</v>
      </c>
      <c r="K197" s="73" t="s">
        <v>2311</v>
      </c>
      <c r="L197" s="73" t="s">
        <v>2559</v>
      </c>
      <c r="M197" s="73">
        <v>2021</v>
      </c>
      <c r="N197" s="73" t="s">
        <v>2575</v>
      </c>
      <c r="O197" s="73" t="s">
        <v>1</v>
      </c>
      <c r="P197" s="73" t="s">
        <v>1</v>
      </c>
      <c r="Q197" s="73" t="s">
        <v>1</v>
      </c>
      <c r="R197" s="73" t="s">
        <v>1</v>
      </c>
      <c r="S197" s="73" t="s">
        <v>1</v>
      </c>
      <c r="T197" s="73" t="s">
        <v>1</v>
      </c>
      <c r="U197" s="73" t="s">
        <v>1</v>
      </c>
      <c r="V197" s="73" t="s">
        <v>1</v>
      </c>
      <c r="W197" s="73" t="s">
        <v>1</v>
      </c>
      <c r="X197" s="73" t="s">
        <v>1</v>
      </c>
      <c r="Y197" s="73" t="s">
        <v>1</v>
      </c>
      <c r="Z197" s="73" t="s">
        <v>1</v>
      </c>
      <c r="AA197" s="73" t="s">
        <v>1</v>
      </c>
      <c r="AB197" s="73" t="s">
        <v>1</v>
      </c>
      <c r="AE197" s="25" t="s">
        <v>5043</v>
      </c>
      <c r="AF197" s="63">
        <v>0.15621099999999999</v>
      </c>
      <c r="AG197" s="69">
        <v>0.1076388888888889</v>
      </c>
    </row>
    <row r="198" spans="1:34" x14ac:dyDescent="0.2">
      <c r="B198" s="73" t="s">
        <v>2545</v>
      </c>
      <c r="C198" s="74" t="s">
        <v>1691</v>
      </c>
      <c r="D198" s="75" t="s">
        <v>1</v>
      </c>
      <c r="E198" s="75" t="s">
        <v>1</v>
      </c>
      <c r="F198" s="75" t="s">
        <v>1</v>
      </c>
      <c r="G198" s="75">
        <v>0</v>
      </c>
      <c r="H198" s="75" t="s">
        <v>1</v>
      </c>
      <c r="I198" s="73" t="s">
        <v>2544</v>
      </c>
      <c r="K198" s="73" t="s">
        <v>2311</v>
      </c>
      <c r="L198" s="73" t="s">
        <v>2543</v>
      </c>
      <c r="M198" s="73">
        <v>2023</v>
      </c>
      <c r="O198" s="73" t="s">
        <v>1</v>
      </c>
      <c r="P198" s="73" t="s">
        <v>1</v>
      </c>
      <c r="Q198" s="73" t="s">
        <v>1</v>
      </c>
      <c r="R198" s="73" t="s">
        <v>1</v>
      </c>
      <c r="S198" s="73" t="s">
        <v>1</v>
      </c>
      <c r="T198" s="73" t="s">
        <v>1</v>
      </c>
      <c r="U198" s="73" t="s">
        <v>1</v>
      </c>
      <c r="V198" s="73" t="s">
        <v>1</v>
      </c>
      <c r="W198" s="73" t="s">
        <v>1</v>
      </c>
      <c r="X198" s="73" t="s">
        <v>1</v>
      </c>
      <c r="Y198" s="73" t="s">
        <v>1</v>
      </c>
      <c r="Z198" s="73" t="s">
        <v>1</v>
      </c>
      <c r="AA198" s="73" t="s">
        <v>1</v>
      </c>
      <c r="AB198" s="73" t="s">
        <v>1</v>
      </c>
      <c r="AE198" s="25" t="s">
        <v>5037</v>
      </c>
      <c r="AF198" s="63">
        <v>11.65</v>
      </c>
      <c r="AG198" s="69">
        <v>0.79861111111111116</v>
      </c>
    </row>
    <row r="199" spans="1:34" x14ac:dyDescent="0.2">
      <c r="B199" s="73" t="s">
        <v>2571</v>
      </c>
      <c r="C199" s="74" t="s">
        <v>1691</v>
      </c>
      <c r="D199" s="75" t="s">
        <v>1</v>
      </c>
      <c r="E199" s="75" t="s">
        <v>1</v>
      </c>
      <c r="F199" s="75" t="s">
        <v>1</v>
      </c>
      <c r="G199" s="75">
        <v>0</v>
      </c>
      <c r="H199" s="75" t="s">
        <v>1</v>
      </c>
      <c r="K199" s="73" t="s">
        <v>2311</v>
      </c>
      <c r="L199" s="73" t="s">
        <v>2570</v>
      </c>
      <c r="M199" s="73">
        <v>2023</v>
      </c>
      <c r="N199" s="73" t="s">
        <v>2569</v>
      </c>
      <c r="O199" s="81" t="s">
        <v>1</v>
      </c>
      <c r="P199" s="81" t="s">
        <v>1</v>
      </c>
      <c r="Q199" s="81" t="s">
        <v>1</v>
      </c>
      <c r="R199" s="81" t="s">
        <v>1</v>
      </c>
      <c r="S199" s="81" t="s">
        <v>1</v>
      </c>
      <c r="T199" s="81" t="s">
        <v>1</v>
      </c>
      <c r="U199" s="81" t="s">
        <v>1</v>
      </c>
      <c r="V199" s="81" t="s">
        <v>1</v>
      </c>
      <c r="W199" s="81" t="s">
        <v>1</v>
      </c>
      <c r="X199" s="81" t="s">
        <v>1</v>
      </c>
      <c r="Y199" s="81" t="s">
        <v>1</v>
      </c>
      <c r="Z199" s="81" t="s">
        <v>1</v>
      </c>
      <c r="AA199" s="81" t="s">
        <v>1</v>
      </c>
      <c r="AB199" s="81" t="s">
        <v>1</v>
      </c>
      <c r="AC199" s="81"/>
      <c r="AD199" s="81"/>
      <c r="AE199" s="25" t="s">
        <v>5040</v>
      </c>
      <c r="AF199" s="63">
        <v>2.6379999999999999</v>
      </c>
      <c r="AG199" s="69">
        <v>0.53194444444444444</v>
      </c>
    </row>
    <row r="200" spans="1:34" x14ac:dyDescent="0.2">
      <c r="B200" s="73" t="s">
        <v>2558</v>
      </c>
      <c r="C200" s="74" t="s">
        <v>1691</v>
      </c>
      <c r="D200" s="75" t="s">
        <v>1</v>
      </c>
      <c r="E200" s="75" t="s">
        <v>1</v>
      </c>
      <c r="F200" s="75" t="s">
        <v>1</v>
      </c>
      <c r="H200" s="75" t="s">
        <v>1</v>
      </c>
      <c r="I200" s="73" t="s">
        <v>2557</v>
      </c>
      <c r="K200" s="73" t="s">
        <v>2311</v>
      </c>
      <c r="L200" s="73" t="s">
        <v>2470</v>
      </c>
      <c r="M200" s="76" t="s">
        <v>1</v>
      </c>
      <c r="O200" s="73" t="s">
        <v>1</v>
      </c>
      <c r="P200" s="73" t="s">
        <v>1</v>
      </c>
      <c r="Q200" s="73" t="s">
        <v>1</v>
      </c>
      <c r="R200" s="73" t="s">
        <v>1</v>
      </c>
      <c r="S200" s="73" t="s">
        <v>1</v>
      </c>
      <c r="T200" s="73" t="s">
        <v>1</v>
      </c>
      <c r="U200" s="73" t="s">
        <v>1</v>
      </c>
      <c r="V200" s="73" t="s">
        <v>1</v>
      </c>
      <c r="W200" s="73" t="s">
        <v>1</v>
      </c>
      <c r="X200" s="73" t="s">
        <v>1</v>
      </c>
      <c r="Y200" s="73" t="s">
        <v>1</v>
      </c>
      <c r="Z200" s="73" t="s">
        <v>1</v>
      </c>
      <c r="AA200" s="73" t="s">
        <v>1</v>
      </c>
      <c r="AB200" s="73" t="s">
        <v>1</v>
      </c>
      <c r="AE200" s="25" t="s">
        <v>5036</v>
      </c>
      <c r="AF200" s="63">
        <v>0.78598699999999999</v>
      </c>
      <c r="AG200" s="69">
        <v>0.35833333333333334</v>
      </c>
    </row>
    <row r="201" spans="1:34" x14ac:dyDescent="0.2">
      <c r="A201" s="184"/>
      <c r="B201" s="184" t="s">
        <v>3096</v>
      </c>
      <c r="C201" s="193" t="s">
        <v>1691</v>
      </c>
      <c r="D201" s="186">
        <v>100</v>
      </c>
      <c r="E201" s="184" t="s">
        <v>4</v>
      </c>
      <c r="F201" s="186">
        <v>22.4</v>
      </c>
      <c r="G201" s="186"/>
      <c r="H201" s="194">
        <v>44553</v>
      </c>
      <c r="I201" s="184" t="s">
        <v>3095</v>
      </c>
      <c r="J201" s="184" t="s">
        <v>3094</v>
      </c>
      <c r="K201" s="184" t="s">
        <v>2048</v>
      </c>
      <c r="L201" s="184" t="s">
        <v>3093</v>
      </c>
      <c r="M201" s="184">
        <v>2019</v>
      </c>
      <c r="N201" s="184"/>
      <c r="O201" s="184" t="s">
        <v>3092</v>
      </c>
      <c r="P201" s="187" t="s">
        <v>1</v>
      </c>
      <c r="Q201" s="187" t="s">
        <v>1</v>
      </c>
      <c r="R201" s="187" t="s">
        <v>1</v>
      </c>
      <c r="S201" s="187" t="s">
        <v>1</v>
      </c>
      <c r="T201" s="187" t="s">
        <v>1</v>
      </c>
      <c r="U201" s="187" t="s">
        <v>1</v>
      </c>
      <c r="V201" s="187" t="s">
        <v>1</v>
      </c>
      <c r="W201" s="187" t="s">
        <v>1</v>
      </c>
      <c r="X201" s="187" t="s">
        <v>1</v>
      </c>
      <c r="Y201" s="187" t="s">
        <v>1</v>
      </c>
      <c r="Z201" s="187" t="s">
        <v>1</v>
      </c>
      <c r="AA201" s="187" t="s">
        <v>1</v>
      </c>
      <c r="AB201" s="184" t="s">
        <v>2166</v>
      </c>
      <c r="AC201" s="184"/>
      <c r="AD201" s="184"/>
      <c r="AE201" s="25" t="s">
        <v>5194</v>
      </c>
      <c r="AF201" s="63">
        <v>0</v>
      </c>
      <c r="AG201" s="69">
        <v>2.4305555555555556E-2</v>
      </c>
      <c r="AH201" s="184"/>
    </row>
    <row r="202" spans="1:34" x14ac:dyDescent="0.2">
      <c r="A202" s="184"/>
      <c r="B202" s="184" t="s">
        <v>95</v>
      </c>
      <c r="C202" s="193" t="s">
        <v>1691</v>
      </c>
      <c r="D202" s="186">
        <v>100</v>
      </c>
      <c r="E202" s="184" t="s">
        <v>7</v>
      </c>
      <c r="F202" s="186">
        <v>25</v>
      </c>
      <c r="G202" s="186"/>
      <c r="H202" s="194">
        <v>43783</v>
      </c>
      <c r="I202" s="184" t="s">
        <v>3087</v>
      </c>
      <c r="J202" s="184" t="s">
        <v>3086</v>
      </c>
      <c r="K202" s="184" t="s">
        <v>2048</v>
      </c>
      <c r="L202" s="184" t="s">
        <v>2065</v>
      </c>
      <c r="M202" s="184">
        <v>2014</v>
      </c>
      <c r="N202" s="184"/>
      <c r="O202" s="184" t="s">
        <v>3085</v>
      </c>
      <c r="P202" s="187" t="s">
        <v>7</v>
      </c>
      <c r="Q202" s="187">
        <v>15</v>
      </c>
      <c r="R202" s="187" t="s">
        <v>3084</v>
      </c>
      <c r="S202" s="187" t="s">
        <v>5</v>
      </c>
      <c r="T202" s="187">
        <v>10</v>
      </c>
      <c r="U202" s="187" t="s">
        <v>3083</v>
      </c>
      <c r="V202" s="187" t="s">
        <v>4</v>
      </c>
      <c r="W202" s="187">
        <v>5</v>
      </c>
      <c r="X202" s="187" t="s">
        <v>3082</v>
      </c>
      <c r="Y202" s="187" t="s">
        <v>1</v>
      </c>
      <c r="Z202" s="187" t="s">
        <v>1</v>
      </c>
      <c r="AA202" s="187" t="s">
        <v>1</v>
      </c>
      <c r="AB202" s="184" t="s">
        <v>2051</v>
      </c>
      <c r="AC202" s="184"/>
      <c r="AD202" s="184"/>
      <c r="AE202" s="25" t="s">
        <v>3081</v>
      </c>
      <c r="AF202" s="64">
        <v>0</v>
      </c>
      <c r="AG202" s="62">
        <v>2.6388888888888889E-2</v>
      </c>
      <c r="AH202" s="184"/>
    </row>
    <row r="203" spans="1:34" s="225" customFormat="1" ht="12.75" customHeight="1" x14ac:dyDescent="0.2">
      <c r="B203" s="225" t="s">
        <v>2032</v>
      </c>
      <c r="C203" s="224" t="s">
        <v>1691</v>
      </c>
      <c r="D203" s="231">
        <v>100</v>
      </c>
      <c r="E203" s="225" t="s">
        <v>5</v>
      </c>
      <c r="F203" s="231">
        <v>21</v>
      </c>
      <c r="G203" s="231">
        <f>F203+Q203</f>
        <v>26</v>
      </c>
      <c r="H203" s="232">
        <v>44515</v>
      </c>
      <c r="I203" s="225" t="s">
        <v>6706</v>
      </c>
      <c r="J203" s="225" t="s">
        <v>6704</v>
      </c>
      <c r="K203" s="225" t="s">
        <v>2048</v>
      </c>
      <c r="L203" s="225" t="s">
        <v>2268</v>
      </c>
      <c r="M203" s="238">
        <v>44073</v>
      </c>
      <c r="O203" s="225" t="s">
        <v>6707</v>
      </c>
      <c r="P203" s="226" t="s">
        <v>4</v>
      </c>
      <c r="Q203" s="226">
        <v>5</v>
      </c>
      <c r="R203" s="226" t="s">
        <v>6712</v>
      </c>
      <c r="S203" s="226" t="s">
        <v>1</v>
      </c>
      <c r="T203" s="226" t="s">
        <v>1</v>
      </c>
      <c r="U203" s="226" t="s">
        <v>1</v>
      </c>
      <c r="V203" s="226" t="s">
        <v>1</v>
      </c>
      <c r="W203" s="226" t="s">
        <v>1</v>
      </c>
      <c r="X203" s="226" t="s">
        <v>1</v>
      </c>
      <c r="Y203" s="226" t="s">
        <v>1</v>
      </c>
      <c r="Z203" s="226" t="s">
        <v>1</v>
      </c>
      <c r="AA203" s="226" t="s">
        <v>1</v>
      </c>
      <c r="AB203" s="225" t="s">
        <v>6627</v>
      </c>
      <c r="AC203" s="225" t="s">
        <v>6630</v>
      </c>
      <c r="AD203" s="225" t="s">
        <v>2365</v>
      </c>
      <c r="AE203" s="25" t="s">
        <v>6703</v>
      </c>
      <c r="AF203" s="63"/>
      <c r="AG203" s="58"/>
    </row>
    <row r="204" spans="1:34" s="173" customFormat="1" x14ac:dyDescent="0.2">
      <c r="A204" s="73"/>
      <c r="B204" s="184" t="s">
        <v>2030</v>
      </c>
      <c r="C204" s="193" t="s">
        <v>1691</v>
      </c>
      <c r="D204" s="186">
        <v>100</v>
      </c>
      <c r="E204" s="184" t="s">
        <v>5</v>
      </c>
      <c r="F204" s="186">
        <v>21</v>
      </c>
      <c r="G204" s="186">
        <f>F204+Q204</f>
        <v>26</v>
      </c>
      <c r="H204" s="194">
        <v>44334</v>
      </c>
      <c r="I204" s="184" t="s">
        <v>6728</v>
      </c>
      <c r="J204" s="184" t="s">
        <v>6729</v>
      </c>
      <c r="K204" s="184" t="s">
        <v>2048</v>
      </c>
      <c r="L204" s="184" t="s">
        <v>2059</v>
      </c>
      <c r="M204" s="184">
        <v>2020</v>
      </c>
      <c r="N204" s="184"/>
      <c r="O204" s="184" t="s">
        <v>6732</v>
      </c>
      <c r="P204" s="187" t="s">
        <v>4</v>
      </c>
      <c r="Q204" s="187">
        <v>5</v>
      </c>
      <c r="R204" s="187" t="s">
        <v>6738</v>
      </c>
      <c r="S204" s="187" t="s">
        <v>1</v>
      </c>
      <c r="T204" s="187" t="s">
        <v>1</v>
      </c>
      <c r="U204" s="187" t="s">
        <v>1</v>
      </c>
      <c r="V204" s="187" t="s">
        <v>1</v>
      </c>
      <c r="W204" s="187" t="s">
        <v>1</v>
      </c>
      <c r="X204" s="187" t="s">
        <v>1</v>
      </c>
      <c r="Y204" s="187" t="s">
        <v>1</v>
      </c>
      <c r="Z204" s="187" t="s">
        <v>1</v>
      </c>
      <c r="AA204" s="187" t="s">
        <v>1</v>
      </c>
      <c r="AB204" s="187" t="s">
        <v>1</v>
      </c>
      <c r="AC204" s="187" t="s">
        <v>1</v>
      </c>
      <c r="AD204" s="187" t="s">
        <v>1</v>
      </c>
      <c r="AE204" s="25" t="s">
        <v>6727</v>
      </c>
      <c r="AF204" s="63"/>
      <c r="AG204" s="58"/>
      <c r="AH204" s="184"/>
    </row>
    <row r="205" spans="1:34" s="173" customFormat="1" ht="12.75" customHeight="1" x14ac:dyDescent="0.2">
      <c r="A205" s="73"/>
      <c r="B205" s="184" t="s">
        <v>2035</v>
      </c>
      <c r="C205" s="193" t="s">
        <v>1691</v>
      </c>
      <c r="D205" s="185">
        <v>100</v>
      </c>
      <c r="E205" s="184" t="s">
        <v>5</v>
      </c>
      <c r="F205" s="185">
        <v>30</v>
      </c>
      <c r="G205" s="236">
        <f>F205+Q205</f>
        <v>31.1</v>
      </c>
      <c r="H205" s="194">
        <v>44729</v>
      </c>
      <c r="I205" s="184" t="s">
        <v>6660</v>
      </c>
      <c r="J205" s="184" t="s">
        <v>6661</v>
      </c>
      <c r="K205" s="184" t="s">
        <v>2048</v>
      </c>
      <c r="L205" s="184" t="s">
        <v>2549</v>
      </c>
      <c r="M205" s="184">
        <v>2020</v>
      </c>
      <c r="N205" s="184"/>
      <c r="O205" s="184" t="s">
        <v>6662</v>
      </c>
      <c r="P205" s="187" t="s">
        <v>670</v>
      </c>
      <c r="Q205" s="187">
        <v>1.1000000000000001</v>
      </c>
      <c r="R205" s="187" t="s">
        <v>6664</v>
      </c>
      <c r="S205" s="187" t="s">
        <v>1</v>
      </c>
      <c r="T205" s="187" t="s">
        <v>1</v>
      </c>
      <c r="U205" s="187" t="s">
        <v>1</v>
      </c>
      <c r="V205" s="187" t="s">
        <v>1</v>
      </c>
      <c r="W205" s="187" t="s">
        <v>1</v>
      </c>
      <c r="X205" s="187" t="s">
        <v>1</v>
      </c>
      <c r="Y205" s="187" t="s">
        <v>1</v>
      </c>
      <c r="Z205" s="187" t="s">
        <v>1</v>
      </c>
      <c r="AA205" s="187" t="s">
        <v>1</v>
      </c>
      <c r="AB205" s="184" t="s">
        <v>6627</v>
      </c>
      <c r="AC205" s="184" t="s">
        <v>6635</v>
      </c>
      <c r="AD205" s="184" t="s">
        <v>6635</v>
      </c>
      <c r="AE205" s="195" t="s">
        <v>6659</v>
      </c>
      <c r="AF205" s="58"/>
      <c r="AG205" s="58"/>
      <c r="AH205" s="184"/>
    </row>
    <row r="206" spans="1:34" s="184" customFormat="1" x14ac:dyDescent="0.2">
      <c r="B206" s="184" t="s">
        <v>2031</v>
      </c>
      <c r="C206" s="193" t="s">
        <v>1691</v>
      </c>
      <c r="D206" s="185">
        <v>100</v>
      </c>
      <c r="E206" s="184" t="s">
        <v>5</v>
      </c>
      <c r="F206" s="236">
        <v>18.5</v>
      </c>
      <c r="G206" s="236">
        <f>F206+Q206</f>
        <v>24.3</v>
      </c>
      <c r="H206" s="194">
        <v>44561</v>
      </c>
      <c r="I206" s="184" t="s">
        <v>6721</v>
      </c>
      <c r="J206" s="184" t="s">
        <v>6722</v>
      </c>
      <c r="K206" s="184" t="s">
        <v>2048</v>
      </c>
      <c r="L206" s="184" t="s">
        <v>2059</v>
      </c>
      <c r="M206" s="184">
        <v>2021</v>
      </c>
      <c r="N206" s="184" t="s">
        <v>6724</v>
      </c>
      <c r="O206" s="184" t="s">
        <v>6725</v>
      </c>
      <c r="P206" s="187" t="s">
        <v>4</v>
      </c>
      <c r="Q206" s="187">
        <v>5.8</v>
      </c>
      <c r="R206" s="187" t="s">
        <v>6726</v>
      </c>
      <c r="S206" s="187" t="s">
        <v>1</v>
      </c>
      <c r="T206" s="187" t="s">
        <v>1</v>
      </c>
      <c r="U206" s="187" t="s">
        <v>1</v>
      </c>
      <c r="V206" s="187" t="s">
        <v>1</v>
      </c>
      <c r="W206" s="187" t="s">
        <v>1</v>
      </c>
      <c r="X206" s="187" t="s">
        <v>1</v>
      </c>
      <c r="Y206" s="187" t="s">
        <v>1</v>
      </c>
      <c r="Z206" s="187" t="s">
        <v>1</v>
      </c>
      <c r="AA206" s="187" t="s">
        <v>1</v>
      </c>
      <c r="AB206" s="184" t="s">
        <v>6627</v>
      </c>
      <c r="AC206" s="184" t="s">
        <v>6630</v>
      </c>
      <c r="AD206" s="184" t="s">
        <v>2365</v>
      </c>
      <c r="AE206" s="195" t="s">
        <v>6723</v>
      </c>
      <c r="AF206" s="58"/>
      <c r="AG206" s="58"/>
    </row>
    <row r="207" spans="1:34" s="173" customFormat="1" x14ac:dyDescent="0.2">
      <c r="A207" s="184"/>
      <c r="B207" s="184" t="s">
        <v>2033</v>
      </c>
      <c r="C207" s="193" t="s">
        <v>1691</v>
      </c>
      <c r="D207" s="185">
        <v>100</v>
      </c>
      <c r="E207" s="184" t="s">
        <v>7</v>
      </c>
      <c r="F207" s="185">
        <v>16</v>
      </c>
      <c r="G207" s="236">
        <f>F207+Q207+T207</f>
        <v>27.3</v>
      </c>
      <c r="H207" s="194">
        <v>44825</v>
      </c>
      <c r="I207" s="184" t="s">
        <v>6702</v>
      </c>
      <c r="J207" s="184" t="s">
        <v>6682</v>
      </c>
      <c r="K207" s="184" t="s">
        <v>2048</v>
      </c>
      <c r="L207" s="184" t="s">
        <v>2059</v>
      </c>
      <c r="M207" s="184">
        <v>2018</v>
      </c>
      <c r="N207" s="184"/>
      <c r="O207" s="184" t="s">
        <v>6683</v>
      </c>
      <c r="P207" s="187" t="s">
        <v>5</v>
      </c>
      <c r="Q207" s="187">
        <v>9.3000000000000007</v>
      </c>
      <c r="R207" s="187" t="s">
        <v>6690</v>
      </c>
      <c r="S207" s="187" t="s">
        <v>4</v>
      </c>
      <c r="T207" s="187">
        <v>2</v>
      </c>
      <c r="U207" s="187" t="s">
        <v>6697</v>
      </c>
      <c r="V207" s="187" t="s">
        <v>1</v>
      </c>
      <c r="W207" s="187" t="s">
        <v>1</v>
      </c>
      <c r="X207" s="187" t="s">
        <v>1</v>
      </c>
      <c r="Y207" s="187" t="s">
        <v>1</v>
      </c>
      <c r="Z207" s="187" t="s">
        <v>1</v>
      </c>
      <c r="AA207" s="187" t="s">
        <v>1</v>
      </c>
      <c r="AB207" s="184" t="s">
        <v>6627</v>
      </c>
      <c r="AC207" s="184" t="s">
        <v>6630</v>
      </c>
      <c r="AD207" s="184" t="s">
        <v>6681</v>
      </c>
      <c r="AE207" s="195" t="s">
        <v>6680</v>
      </c>
      <c r="AF207" s="58"/>
      <c r="AG207" s="58"/>
      <c r="AH207" s="184"/>
    </row>
    <row r="208" spans="1:34" x14ac:dyDescent="0.2">
      <c r="A208" s="184"/>
      <c r="B208" s="184" t="s">
        <v>548</v>
      </c>
      <c r="C208" s="193" t="s">
        <v>1691</v>
      </c>
      <c r="D208" s="186">
        <v>100</v>
      </c>
      <c r="E208" s="184" t="s">
        <v>7</v>
      </c>
      <c r="F208" s="186">
        <v>20</v>
      </c>
      <c r="G208" s="236"/>
      <c r="H208" s="194">
        <v>45077</v>
      </c>
      <c r="I208" s="184" t="s">
        <v>3072</v>
      </c>
      <c r="J208" s="184" t="s">
        <v>3071</v>
      </c>
      <c r="K208" s="184" t="s">
        <v>2048</v>
      </c>
      <c r="L208" s="184" t="s">
        <v>2065</v>
      </c>
      <c r="M208" s="184">
        <v>2018</v>
      </c>
      <c r="N208" s="184"/>
      <c r="O208" s="184" t="s">
        <v>3070</v>
      </c>
      <c r="P208" s="187" t="s">
        <v>5</v>
      </c>
      <c r="Q208" s="187">
        <v>10.5</v>
      </c>
      <c r="R208" s="187" t="s">
        <v>3069</v>
      </c>
      <c r="S208" s="187" t="s">
        <v>4</v>
      </c>
      <c r="T208" s="187">
        <v>4</v>
      </c>
      <c r="U208" s="187" t="s">
        <v>3068</v>
      </c>
      <c r="V208" s="187" t="s">
        <v>278</v>
      </c>
      <c r="W208" s="187">
        <v>0.5</v>
      </c>
      <c r="X208" s="187" t="s">
        <v>3067</v>
      </c>
      <c r="Y208" s="187" t="s">
        <v>1</v>
      </c>
      <c r="Z208" s="187" t="s">
        <v>1</v>
      </c>
      <c r="AA208" s="187" t="s">
        <v>1</v>
      </c>
      <c r="AB208" s="184" t="s">
        <v>2058</v>
      </c>
      <c r="AC208" s="184"/>
      <c r="AD208" s="184"/>
      <c r="AE208" s="184"/>
      <c r="AH208" s="184"/>
    </row>
    <row r="209" spans="1:34" x14ac:dyDescent="0.2">
      <c r="A209" s="184"/>
      <c r="B209" s="184" t="s">
        <v>725</v>
      </c>
      <c r="C209" s="193" t="s">
        <v>1691</v>
      </c>
      <c r="D209" s="186">
        <v>100</v>
      </c>
      <c r="E209" s="184" t="s">
        <v>5</v>
      </c>
      <c r="F209" s="186">
        <v>20</v>
      </c>
      <c r="G209" s="236"/>
      <c r="H209" s="194">
        <v>44676</v>
      </c>
      <c r="I209" s="184" t="s">
        <v>3066</v>
      </c>
      <c r="J209" s="184"/>
      <c r="K209" s="184" t="s">
        <v>2048</v>
      </c>
      <c r="L209" s="184" t="s">
        <v>2305</v>
      </c>
      <c r="M209" s="197" t="s">
        <v>2985</v>
      </c>
      <c r="N209" s="184"/>
      <c r="O209" s="184" t="s">
        <v>3065</v>
      </c>
      <c r="P209" s="187" t="s">
        <v>4</v>
      </c>
      <c r="Q209" s="187">
        <v>5</v>
      </c>
      <c r="R209" s="187" t="s">
        <v>3064</v>
      </c>
      <c r="S209" s="187" t="s">
        <v>278</v>
      </c>
      <c r="T209" s="187" t="s">
        <v>1</v>
      </c>
      <c r="U209" s="187" t="s">
        <v>3063</v>
      </c>
      <c r="V209" s="187" t="s">
        <v>1</v>
      </c>
      <c r="W209" s="187" t="s">
        <v>1</v>
      </c>
      <c r="X209" s="187" t="s">
        <v>1</v>
      </c>
      <c r="Y209" s="187" t="s">
        <v>1</v>
      </c>
      <c r="Z209" s="187" t="s">
        <v>1</v>
      </c>
      <c r="AA209" s="187" t="s">
        <v>1</v>
      </c>
      <c r="AB209" s="184" t="s">
        <v>2081</v>
      </c>
      <c r="AC209" s="184"/>
      <c r="AD209" s="184"/>
      <c r="AE209" s="25" t="s">
        <v>5064</v>
      </c>
      <c r="AH209" s="184"/>
    </row>
    <row r="210" spans="1:34" x14ac:dyDescent="0.2">
      <c r="A210" s="184"/>
      <c r="B210" s="184" t="s">
        <v>416</v>
      </c>
      <c r="C210" s="193" t="s">
        <v>1691</v>
      </c>
      <c r="D210" s="186">
        <v>100</v>
      </c>
      <c r="E210" s="184" t="s">
        <v>18</v>
      </c>
      <c r="F210" s="186">
        <v>23</v>
      </c>
      <c r="G210" s="236"/>
      <c r="H210" s="194">
        <v>44328</v>
      </c>
      <c r="I210" s="184" t="s">
        <v>2398</v>
      </c>
      <c r="J210" s="184" t="s">
        <v>3062</v>
      </c>
      <c r="K210" s="184" t="s">
        <v>2048</v>
      </c>
      <c r="L210" s="184" t="s">
        <v>2398</v>
      </c>
      <c r="M210" s="184">
        <v>2013</v>
      </c>
      <c r="N210" s="184"/>
      <c r="O210" s="184" t="s">
        <v>3061</v>
      </c>
      <c r="P210" s="187" t="s">
        <v>7</v>
      </c>
      <c r="Q210" s="187">
        <v>16</v>
      </c>
      <c r="R210" s="187" t="s">
        <v>3060</v>
      </c>
      <c r="S210" s="187" t="s">
        <v>5</v>
      </c>
      <c r="T210" s="187">
        <v>8</v>
      </c>
      <c r="U210" s="187" t="s">
        <v>3059</v>
      </c>
      <c r="V210" s="187" t="s">
        <v>4</v>
      </c>
      <c r="W210" s="187" t="s">
        <v>1</v>
      </c>
      <c r="X210" s="187" t="s">
        <v>3058</v>
      </c>
      <c r="Y210" s="187" t="s">
        <v>1</v>
      </c>
      <c r="Z210" s="187" t="s">
        <v>1</v>
      </c>
      <c r="AA210" s="187" t="s">
        <v>1</v>
      </c>
      <c r="AB210" s="184" t="s">
        <v>2051</v>
      </c>
      <c r="AC210" s="184"/>
      <c r="AD210" s="184"/>
      <c r="AE210" s="184"/>
      <c r="AH210" s="184"/>
    </row>
    <row r="211" spans="1:34" x14ac:dyDescent="0.2">
      <c r="A211" s="184"/>
      <c r="B211" s="184" t="s">
        <v>654</v>
      </c>
      <c r="C211" s="193" t="s">
        <v>1691</v>
      </c>
      <c r="D211" s="186">
        <v>100</v>
      </c>
      <c r="E211" s="184" t="s">
        <v>4</v>
      </c>
      <c r="F211" s="186">
        <v>12.8</v>
      </c>
      <c r="G211" s="236"/>
      <c r="H211" s="194">
        <v>44601</v>
      </c>
      <c r="I211" s="184" t="s">
        <v>3057</v>
      </c>
      <c r="J211" s="184" t="s">
        <v>3056</v>
      </c>
      <c r="K211" s="184" t="s">
        <v>2318</v>
      </c>
      <c r="L211" s="184" t="s">
        <v>2318</v>
      </c>
      <c r="M211" s="184">
        <v>2021</v>
      </c>
      <c r="N211" s="184" t="s">
        <v>3055</v>
      </c>
      <c r="O211" s="184" t="s">
        <v>3054</v>
      </c>
      <c r="P211" s="187" t="s">
        <v>1</v>
      </c>
      <c r="Q211" s="187" t="s">
        <v>1</v>
      </c>
      <c r="R211" s="187" t="s">
        <v>1</v>
      </c>
      <c r="S211" s="187" t="s">
        <v>1</v>
      </c>
      <c r="T211" s="187" t="s">
        <v>1</v>
      </c>
      <c r="U211" s="187" t="s">
        <v>1</v>
      </c>
      <c r="V211" s="187" t="s">
        <v>1</v>
      </c>
      <c r="W211" s="187" t="s">
        <v>1</v>
      </c>
      <c r="X211" s="187" t="s">
        <v>1</v>
      </c>
      <c r="Y211" s="187" t="s">
        <v>1</v>
      </c>
      <c r="Z211" s="187" t="s">
        <v>1</v>
      </c>
      <c r="AA211" s="187" t="s">
        <v>1</v>
      </c>
      <c r="AB211" s="184" t="s">
        <v>2355</v>
      </c>
      <c r="AC211" s="184"/>
      <c r="AD211" s="184"/>
      <c r="AE211" s="184"/>
      <c r="AH211" s="184"/>
    </row>
    <row r="212" spans="1:34" x14ac:dyDescent="0.2">
      <c r="A212" s="184"/>
      <c r="B212" s="184" t="s">
        <v>2042</v>
      </c>
      <c r="C212" s="193" t="s">
        <v>1691</v>
      </c>
      <c r="D212" s="186">
        <v>100</v>
      </c>
      <c r="E212" s="184" t="s">
        <v>5</v>
      </c>
      <c r="F212" s="186">
        <v>18</v>
      </c>
      <c r="G212" s="236">
        <f>F212+Q212</f>
        <v>22.3</v>
      </c>
      <c r="H212" s="194">
        <v>43445</v>
      </c>
      <c r="I212" s="184" t="s">
        <v>6412</v>
      </c>
      <c r="J212" s="184" t="s">
        <v>6414</v>
      </c>
      <c r="K212" s="184" t="s">
        <v>2048</v>
      </c>
      <c r="L212" s="184" t="s">
        <v>6413</v>
      </c>
      <c r="M212" s="184">
        <v>2017</v>
      </c>
      <c r="N212" s="184"/>
      <c r="O212" s="184" t="s">
        <v>6415</v>
      </c>
      <c r="P212" s="187" t="s">
        <v>5</v>
      </c>
      <c r="Q212" s="187">
        <v>4.3</v>
      </c>
      <c r="R212" s="187" t="s">
        <v>6419</v>
      </c>
      <c r="S212" s="187" t="s">
        <v>1</v>
      </c>
      <c r="T212" s="187" t="s">
        <v>1</v>
      </c>
      <c r="U212" s="187" t="s">
        <v>1</v>
      </c>
      <c r="V212" s="187" t="s">
        <v>1</v>
      </c>
      <c r="W212" s="187" t="s">
        <v>1</v>
      </c>
      <c r="X212" s="187" t="s">
        <v>1</v>
      </c>
      <c r="Y212" s="187" t="s">
        <v>1</v>
      </c>
      <c r="Z212" s="187" t="s">
        <v>1</v>
      </c>
      <c r="AA212" s="187" t="s">
        <v>1</v>
      </c>
      <c r="AB212" s="187" t="s">
        <v>2155</v>
      </c>
      <c r="AC212" s="187"/>
      <c r="AD212" s="187"/>
      <c r="AE212" s="25" t="s">
        <v>6409</v>
      </c>
      <c r="AH212" s="184"/>
    </row>
    <row r="213" spans="1:34" x14ac:dyDescent="0.2">
      <c r="A213" s="184"/>
      <c r="B213" s="184" t="s">
        <v>2041</v>
      </c>
      <c r="C213" s="193" t="s">
        <v>1691</v>
      </c>
      <c r="D213" s="186">
        <v>100</v>
      </c>
      <c r="E213" s="184" t="s">
        <v>7</v>
      </c>
      <c r="F213" s="186">
        <v>35</v>
      </c>
      <c r="G213" s="236">
        <f>F213+Q213+T213</f>
        <v>45</v>
      </c>
      <c r="H213" s="194">
        <v>44468</v>
      </c>
      <c r="I213" s="184" t="s">
        <v>2055</v>
      </c>
      <c r="J213" s="184" t="s">
        <v>6420</v>
      </c>
      <c r="K213" s="184" t="s">
        <v>2048</v>
      </c>
      <c r="L213" s="184" t="s">
        <v>2059</v>
      </c>
      <c r="M213" s="184">
        <v>2018</v>
      </c>
      <c r="N213" s="184"/>
      <c r="O213" s="184" t="s">
        <v>6422</v>
      </c>
      <c r="P213" s="187" t="s">
        <v>5</v>
      </c>
      <c r="Q213" s="187">
        <v>8</v>
      </c>
      <c r="R213" s="187" t="s">
        <v>6426</v>
      </c>
      <c r="S213" s="187" t="s">
        <v>4</v>
      </c>
      <c r="T213" s="187">
        <v>2</v>
      </c>
      <c r="U213" s="187" t="s">
        <v>6429</v>
      </c>
      <c r="V213" s="187" t="s">
        <v>1</v>
      </c>
      <c r="W213" s="187" t="s">
        <v>1</v>
      </c>
      <c r="X213" s="187" t="s">
        <v>1</v>
      </c>
      <c r="Y213" s="187" t="s">
        <v>1</v>
      </c>
      <c r="Z213" s="187" t="s">
        <v>1</v>
      </c>
      <c r="AA213" s="187" t="s">
        <v>1</v>
      </c>
      <c r="AB213" s="184" t="s">
        <v>2051</v>
      </c>
      <c r="AC213" s="184"/>
      <c r="AD213" s="184"/>
      <c r="AE213" s="25" t="s">
        <v>6421</v>
      </c>
      <c r="AH213" s="184"/>
    </row>
    <row r="214" spans="1:34" x14ac:dyDescent="0.2">
      <c r="B214" s="73" t="s">
        <v>2015</v>
      </c>
      <c r="C214" s="249" t="s">
        <v>1691</v>
      </c>
      <c r="D214" s="73">
        <v>100</v>
      </c>
      <c r="E214" s="250" t="s">
        <v>7</v>
      </c>
      <c r="F214" s="73">
        <v>20</v>
      </c>
      <c r="G214" s="88">
        <f>F214+Q214+T214+Z214</f>
        <v>33.799999999999997</v>
      </c>
      <c r="H214" s="79">
        <v>45001</v>
      </c>
      <c r="I214" s="250" t="s">
        <v>7448</v>
      </c>
      <c r="J214" s="250" t="s">
        <v>7434</v>
      </c>
      <c r="K214" s="250" t="s">
        <v>2048</v>
      </c>
      <c r="L214" s="250" t="s">
        <v>2059</v>
      </c>
      <c r="M214" s="79">
        <v>41879</v>
      </c>
      <c r="O214" s="250" t="s">
        <v>7438</v>
      </c>
      <c r="P214" s="250" t="s">
        <v>5</v>
      </c>
      <c r="Q214" s="77">
        <v>9</v>
      </c>
      <c r="R214" s="250" t="s">
        <v>7442</v>
      </c>
      <c r="S214" s="250" t="s">
        <v>4</v>
      </c>
      <c r="T214" s="77">
        <v>4</v>
      </c>
      <c r="U214" s="250" t="s">
        <v>7444</v>
      </c>
      <c r="V214" s="250" t="s">
        <v>4</v>
      </c>
      <c r="W214" s="250" t="s">
        <v>1</v>
      </c>
      <c r="X214" s="250" t="s">
        <v>7445</v>
      </c>
      <c r="Y214" s="250" t="s">
        <v>7446</v>
      </c>
      <c r="Z214" s="77">
        <v>0.8</v>
      </c>
      <c r="AA214" s="250" t="s">
        <v>7447</v>
      </c>
      <c r="AB214" s="250" t="s">
        <v>6652</v>
      </c>
      <c r="AD214" s="250" t="s">
        <v>2097</v>
      </c>
      <c r="AE214" s="250" t="s">
        <v>7433</v>
      </c>
      <c r="AF214" s="73"/>
      <c r="AG214" s="73"/>
    </row>
    <row r="215" spans="1:34" x14ac:dyDescent="0.2">
      <c r="A215" s="173"/>
      <c r="B215" s="173" t="s">
        <v>2040</v>
      </c>
      <c r="C215" s="174" t="s">
        <v>1691</v>
      </c>
      <c r="D215" s="175">
        <v>100</v>
      </c>
      <c r="E215" s="173" t="s">
        <v>7</v>
      </c>
      <c r="F215" s="175">
        <v>30</v>
      </c>
      <c r="G215" s="237">
        <f>F215+Q215+T215</f>
        <v>43.9</v>
      </c>
      <c r="H215" s="178">
        <v>44881</v>
      </c>
      <c r="I215" s="173" t="s">
        <v>2055</v>
      </c>
      <c r="J215" s="173" t="s">
        <v>6430</v>
      </c>
      <c r="K215" s="173" t="s">
        <v>2048</v>
      </c>
      <c r="L215" s="173" t="s">
        <v>6431</v>
      </c>
      <c r="M215" s="179">
        <v>42948</v>
      </c>
      <c r="N215" s="173" t="s">
        <v>6438</v>
      </c>
      <c r="O215" s="173" t="s">
        <v>6432</v>
      </c>
      <c r="P215" s="177" t="s">
        <v>5</v>
      </c>
      <c r="Q215" s="177">
        <v>11</v>
      </c>
      <c r="R215" s="177" t="s">
        <v>6433</v>
      </c>
      <c r="S215" s="177" t="s">
        <v>4</v>
      </c>
      <c r="T215" s="177">
        <v>2.9</v>
      </c>
      <c r="U215" s="177" t="s">
        <v>6437</v>
      </c>
      <c r="V215" s="177" t="s">
        <v>1</v>
      </c>
      <c r="W215" s="177" t="s">
        <v>1</v>
      </c>
      <c r="X215" s="177" t="s">
        <v>1</v>
      </c>
      <c r="Y215" s="177" t="s">
        <v>1</v>
      </c>
      <c r="Z215" s="177" t="s">
        <v>1</v>
      </c>
      <c r="AA215" s="177" t="s">
        <v>1</v>
      </c>
      <c r="AB215" s="173" t="s">
        <v>2051</v>
      </c>
      <c r="AC215" s="173"/>
      <c r="AD215" s="173"/>
      <c r="AE215" s="25" t="s">
        <v>6410</v>
      </c>
      <c r="AH215" s="173"/>
    </row>
    <row r="216" spans="1:34" x14ac:dyDescent="0.2">
      <c r="A216" s="173"/>
      <c r="B216" s="173" t="s">
        <v>3053</v>
      </c>
      <c r="C216" s="174" t="s">
        <v>1691</v>
      </c>
      <c r="D216" s="175">
        <v>100</v>
      </c>
      <c r="E216" s="173" t="s">
        <v>5</v>
      </c>
      <c r="F216" s="175">
        <v>6.5</v>
      </c>
      <c r="G216" s="237">
        <f>F216+Q216</f>
        <v>10.9</v>
      </c>
      <c r="H216" s="178">
        <v>43069</v>
      </c>
      <c r="I216" s="173" t="s">
        <v>6587</v>
      </c>
      <c r="J216" s="173" t="s">
        <v>3052</v>
      </c>
      <c r="K216" s="173" t="s">
        <v>2311</v>
      </c>
      <c r="L216" s="173" t="s">
        <v>3051</v>
      </c>
      <c r="M216" s="173">
        <v>2017</v>
      </c>
      <c r="N216" s="173"/>
      <c r="O216" s="173" t="s">
        <v>3050</v>
      </c>
      <c r="P216" s="177" t="s">
        <v>5</v>
      </c>
      <c r="Q216" s="177">
        <v>4.4000000000000004</v>
      </c>
      <c r="R216" s="177" t="s">
        <v>3049</v>
      </c>
      <c r="S216" s="177" t="s">
        <v>4</v>
      </c>
      <c r="T216" s="177" t="s">
        <v>1</v>
      </c>
      <c r="U216" s="177" t="s">
        <v>3048</v>
      </c>
      <c r="V216" s="177" t="s">
        <v>1</v>
      </c>
      <c r="W216" s="177" t="s">
        <v>1</v>
      </c>
      <c r="X216" s="177" t="s">
        <v>1</v>
      </c>
      <c r="Y216" s="177" t="s">
        <v>1</v>
      </c>
      <c r="Z216" s="177" t="s">
        <v>1</v>
      </c>
      <c r="AA216" s="177" t="s">
        <v>1</v>
      </c>
      <c r="AB216" s="177" t="s">
        <v>1</v>
      </c>
      <c r="AC216" s="177"/>
      <c r="AD216" s="177"/>
      <c r="AE216" s="173"/>
      <c r="AH216" s="173"/>
    </row>
    <row r="217" spans="1:34" x14ac:dyDescent="0.2">
      <c r="A217" s="173"/>
      <c r="B217" s="173" t="s">
        <v>2034</v>
      </c>
      <c r="C217" s="174" t="s">
        <v>1691</v>
      </c>
      <c r="D217" s="175">
        <v>100</v>
      </c>
      <c r="E217" s="173" t="s">
        <v>5</v>
      </c>
      <c r="F217" s="175">
        <v>23.9</v>
      </c>
      <c r="G217" s="237">
        <f>+Q217+F217</f>
        <v>28.299999999999997</v>
      </c>
      <c r="H217" s="178">
        <v>44719</v>
      </c>
      <c r="I217" s="173" t="s">
        <v>6677</v>
      </c>
      <c r="J217" s="173" t="s">
        <v>6676</v>
      </c>
      <c r="K217" s="173" t="s">
        <v>2048</v>
      </c>
      <c r="L217" s="173" t="s">
        <v>2059</v>
      </c>
      <c r="M217" s="173">
        <v>2021</v>
      </c>
      <c r="N217" s="173" t="s">
        <v>6678</v>
      </c>
      <c r="O217" s="173" t="s">
        <v>6679</v>
      </c>
      <c r="P217" s="177" t="s">
        <v>4</v>
      </c>
      <c r="Q217" s="177">
        <v>4.4000000000000004</v>
      </c>
      <c r="R217" s="177" t="s">
        <v>1</v>
      </c>
      <c r="S217" s="177" t="s">
        <v>1</v>
      </c>
      <c r="T217" s="177" t="s">
        <v>1</v>
      </c>
      <c r="U217" s="177" t="s">
        <v>1</v>
      </c>
      <c r="V217" s="177" t="s">
        <v>1</v>
      </c>
      <c r="W217" s="177" t="s">
        <v>1</v>
      </c>
      <c r="X217" s="177" t="s">
        <v>1</v>
      </c>
      <c r="Y217" s="177" t="s">
        <v>1</v>
      </c>
      <c r="Z217" s="177" t="s">
        <v>1</v>
      </c>
      <c r="AA217" s="177" t="s">
        <v>1</v>
      </c>
      <c r="AB217" s="173" t="s">
        <v>6627</v>
      </c>
      <c r="AC217" s="173" t="s">
        <v>6630</v>
      </c>
      <c r="AD217" s="173" t="s">
        <v>2365</v>
      </c>
      <c r="AE217" s="25" t="s">
        <v>4283</v>
      </c>
      <c r="AF217" s="64"/>
      <c r="AG217" s="59"/>
      <c r="AH217" s="173"/>
    </row>
    <row r="218" spans="1:34" x14ac:dyDescent="0.2">
      <c r="A218" s="173"/>
      <c r="B218" s="173" t="s">
        <v>2038</v>
      </c>
      <c r="C218" s="174" t="s">
        <v>1691</v>
      </c>
      <c r="D218" s="175">
        <v>100</v>
      </c>
      <c r="E218" s="173" t="s">
        <v>7</v>
      </c>
      <c r="F218" s="175">
        <v>21</v>
      </c>
      <c r="G218" s="175">
        <f>F218+Q218</f>
        <v>30.1</v>
      </c>
      <c r="H218" s="178">
        <v>44518</v>
      </c>
      <c r="I218" s="173" t="s">
        <v>6566</v>
      </c>
      <c r="J218" s="173" t="s">
        <v>6568</v>
      </c>
      <c r="K218" s="173" t="s">
        <v>2048</v>
      </c>
      <c r="L218" s="173" t="s">
        <v>6569</v>
      </c>
      <c r="M218" s="173">
        <v>2013</v>
      </c>
      <c r="N218" s="173"/>
      <c r="O218" s="173" t="s">
        <v>6570</v>
      </c>
      <c r="P218" s="177" t="s">
        <v>5</v>
      </c>
      <c r="Q218" s="177">
        <v>9.1</v>
      </c>
      <c r="R218" s="177" t="s">
        <v>6573</v>
      </c>
      <c r="S218" s="177" t="s">
        <v>1</v>
      </c>
      <c r="T218" s="177" t="s">
        <v>1</v>
      </c>
      <c r="U218" s="177" t="s">
        <v>1</v>
      </c>
      <c r="V218" s="177" t="s">
        <v>1</v>
      </c>
      <c r="W218" s="177" t="s">
        <v>1</v>
      </c>
      <c r="X218" s="177" t="s">
        <v>1</v>
      </c>
      <c r="Y218" s="177" t="s">
        <v>1</v>
      </c>
      <c r="Z218" s="177" t="s">
        <v>1</v>
      </c>
      <c r="AA218" s="177" t="s">
        <v>1</v>
      </c>
      <c r="AB218" s="173" t="s">
        <v>2058</v>
      </c>
      <c r="AC218" s="173"/>
      <c r="AD218" s="173"/>
      <c r="AE218" s="25" t="s">
        <v>6567</v>
      </c>
      <c r="AH218" s="173"/>
    </row>
    <row r="219" spans="1:34" s="12" customFormat="1" x14ac:dyDescent="0.2">
      <c r="A219" s="173"/>
      <c r="B219" s="184" t="s">
        <v>2026</v>
      </c>
      <c r="C219" s="193" t="s">
        <v>1691</v>
      </c>
      <c r="D219" s="186">
        <v>100</v>
      </c>
      <c r="E219" s="184" t="s">
        <v>5</v>
      </c>
      <c r="F219" s="186">
        <v>15.3</v>
      </c>
      <c r="G219" s="186">
        <f>F219+Q219</f>
        <v>18.8</v>
      </c>
      <c r="H219" s="194">
        <v>44733</v>
      </c>
      <c r="I219" s="184" t="s">
        <v>6752</v>
      </c>
      <c r="J219" s="184" t="s">
        <v>6751</v>
      </c>
      <c r="K219" s="184" t="s">
        <v>2048</v>
      </c>
      <c r="L219" s="184" t="s">
        <v>6441</v>
      </c>
      <c r="M219" s="184">
        <v>2020</v>
      </c>
      <c r="N219" s="184"/>
      <c r="O219" s="184" t="s">
        <v>6753</v>
      </c>
      <c r="P219" s="187" t="s">
        <v>4</v>
      </c>
      <c r="Q219" s="187">
        <v>3.5</v>
      </c>
      <c r="R219" s="187" t="s">
        <v>6755</v>
      </c>
      <c r="S219" s="187" t="s">
        <v>1</v>
      </c>
      <c r="T219" s="187" t="s">
        <v>1</v>
      </c>
      <c r="U219" s="187" t="s">
        <v>1</v>
      </c>
      <c r="V219" s="187" t="s">
        <v>1</v>
      </c>
      <c r="W219" s="187" t="s">
        <v>1</v>
      </c>
      <c r="X219" s="187" t="s">
        <v>1</v>
      </c>
      <c r="Y219" s="187" t="s">
        <v>1</v>
      </c>
      <c r="Z219" s="187" t="s">
        <v>1</v>
      </c>
      <c r="AA219" s="187" t="s">
        <v>1</v>
      </c>
      <c r="AB219" s="184" t="s">
        <v>6627</v>
      </c>
      <c r="AC219" s="184" t="s">
        <v>6630</v>
      </c>
      <c r="AD219" s="184" t="s">
        <v>2365</v>
      </c>
      <c r="AE219" s="25" t="s">
        <v>6750</v>
      </c>
      <c r="AF219" s="63"/>
      <c r="AG219" s="58"/>
      <c r="AH219" s="184"/>
    </row>
    <row r="220" spans="1:34" s="12" customFormat="1" x14ac:dyDescent="0.2">
      <c r="A220" s="173"/>
      <c r="B220" s="173" t="s">
        <v>2037</v>
      </c>
      <c r="C220" s="174" t="s">
        <v>1691</v>
      </c>
      <c r="D220" s="175">
        <v>100</v>
      </c>
      <c r="E220" s="173" t="s">
        <v>7</v>
      </c>
      <c r="F220" s="175">
        <v>25</v>
      </c>
      <c r="G220" s="175"/>
      <c r="H220" s="178">
        <v>44572</v>
      </c>
      <c r="I220" s="173" t="s">
        <v>2055</v>
      </c>
      <c r="J220" s="173" t="s">
        <v>6580</v>
      </c>
      <c r="K220" s="173" t="s">
        <v>2048</v>
      </c>
      <c r="L220" s="173" t="s">
        <v>2055</v>
      </c>
      <c r="M220" s="180">
        <v>42767</v>
      </c>
      <c r="N220" s="173"/>
      <c r="O220" s="173" t="s">
        <v>6581</v>
      </c>
      <c r="P220" s="177" t="s">
        <v>5</v>
      </c>
      <c r="Q220" s="177">
        <v>5</v>
      </c>
      <c r="R220" s="177" t="s">
        <v>6584</v>
      </c>
      <c r="S220" s="177" t="s">
        <v>4</v>
      </c>
      <c r="T220" s="177">
        <v>1</v>
      </c>
      <c r="U220" s="177" t="s">
        <v>6586</v>
      </c>
      <c r="V220" s="177" t="s">
        <v>1</v>
      </c>
      <c r="W220" s="177" t="s">
        <v>1</v>
      </c>
      <c r="X220" s="177" t="s">
        <v>1</v>
      </c>
      <c r="Y220" s="177" t="s">
        <v>1</v>
      </c>
      <c r="Z220" s="177" t="s">
        <v>1</v>
      </c>
      <c r="AA220" s="177" t="s">
        <v>1</v>
      </c>
      <c r="AB220" s="173" t="s">
        <v>6577</v>
      </c>
      <c r="AC220" s="173"/>
      <c r="AD220" s="173"/>
      <c r="AE220" s="25" t="s">
        <v>6578</v>
      </c>
      <c r="AF220" s="63"/>
      <c r="AG220" s="58"/>
      <c r="AH220" s="173"/>
    </row>
    <row r="221" spans="1:34" x14ac:dyDescent="0.2">
      <c r="A221" s="173"/>
      <c r="B221" s="73" t="s">
        <v>888</v>
      </c>
      <c r="C221" s="74" t="s">
        <v>1691</v>
      </c>
      <c r="D221" s="75">
        <v>80</v>
      </c>
      <c r="E221" s="73" t="s">
        <v>5</v>
      </c>
      <c r="F221" s="75">
        <v>20</v>
      </c>
      <c r="H221" s="78">
        <v>45009</v>
      </c>
      <c r="I221" s="73" t="s">
        <v>3047</v>
      </c>
      <c r="J221" s="73" t="s">
        <v>3046</v>
      </c>
      <c r="K221" s="73" t="s">
        <v>2048</v>
      </c>
      <c r="L221" s="73" t="s">
        <v>2701</v>
      </c>
      <c r="M221" s="73">
        <v>2021</v>
      </c>
      <c r="O221" s="73" t="s">
        <v>3045</v>
      </c>
      <c r="P221" s="77" t="s">
        <v>1</v>
      </c>
      <c r="Q221" s="77" t="s">
        <v>1</v>
      </c>
      <c r="R221" s="77" t="s">
        <v>1</v>
      </c>
      <c r="S221" s="77" t="s">
        <v>1</v>
      </c>
      <c r="T221" s="77" t="s">
        <v>1</v>
      </c>
      <c r="U221" s="77" t="s">
        <v>1</v>
      </c>
      <c r="V221" s="77" t="s">
        <v>1</v>
      </c>
      <c r="W221" s="77" t="s">
        <v>1</v>
      </c>
      <c r="X221" s="77" t="s">
        <v>1</v>
      </c>
      <c r="Y221" s="77" t="s">
        <v>1</v>
      </c>
      <c r="Z221" s="77" t="s">
        <v>1</v>
      </c>
      <c r="AA221" s="77" t="s">
        <v>1</v>
      </c>
      <c r="AB221" s="73" t="s">
        <v>3044</v>
      </c>
    </row>
    <row r="222" spans="1:34" x14ac:dyDescent="0.2">
      <c r="A222" s="173"/>
      <c r="B222" s="73" t="s">
        <v>559</v>
      </c>
      <c r="C222" s="74" t="s">
        <v>1691</v>
      </c>
      <c r="D222" s="75">
        <v>80</v>
      </c>
      <c r="E222" s="73" t="s">
        <v>5</v>
      </c>
      <c r="F222" s="75">
        <v>20</v>
      </c>
      <c r="H222" s="78">
        <v>44701</v>
      </c>
      <c r="I222" s="73" t="s">
        <v>3043</v>
      </c>
      <c r="J222" s="73" t="s">
        <v>3042</v>
      </c>
      <c r="K222" s="73" t="s">
        <v>2048</v>
      </c>
      <c r="L222" s="73" t="s">
        <v>3041</v>
      </c>
      <c r="M222" s="73">
        <v>2021</v>
      </c>
      <c r="O222" s="73" t="s">
        <v>3040</v>
      </c>
      <c r="P222" s="77" t="s">
        <v>1</v>
      </c>
      <c r="Q222" s="77" t="s">
        <v>1</v>
      </c>
      <c r="R222" s="77" t="s">
        <v>1</v>
      </c>
      <c r="S222" s="77" t="s">
        <v>1</v>
      </c>
      <c r="T222" s="77" t="s">
        <v>1</v>
      </c>
      <c r="U222" s="77" t="s">
        <v>1</v>
      </c>
      <c r="V222" s="77" t="s">
        <v>1</v>
      </c>
      <c r="W222" s="77" t="s">
        <v>1</v>
      </c>
      <c r="X222" s="77" t="s">
        <v>1</v>
      </c>
      <c r="Y222" s="77" t="s">
        <v>1</v>
      </c>
      <c r="Z222" s="77" t="s">
        <v>1</v>
      </c>
      <c r="AA222" s="77" t="s">
        <v>1</v>
      </c>
      <c r="AB222" s="73" t="s">
        <v>3039</v>
      </c>
    </row>
    <row r="223" spans="1:34" x14ac:dyDescent="0.2">
      <c r="A223" s="173"/>
      <c r="B223" s="73" t="s">
        <v>3038</v>
      </c>
      <c r="C223" s="74" t="s">
        <v>1691</v>
      </c>
      <c r="D223" s="75">
        <v>80</v>
      </c>
      <c r="E223" s="73" t="s">
        <v>7</v>
      </c>
      <c r="F223" s="75">
        <v>20</v>
      </c>
      <c r="H223" s="78">
        <v>44756</v>
      </c>
      <c r="I223" s="73" t="s">
        <v>2592</v>
      </c>
      <c r="J223" s="73" t="s">
        <v>3037</v>
      </c>
      <c r="K223" s="73" t="s">
        <v>2311</v>
      </c>
      <c r="L223" s="73" t="s">
        <v>3036</v>
      </c>
      <c r="M223" s="73">
        <v>2015</v>
      </c>
      <c r="N223" s="73" t="s">
        <v>3035</v>
      </c>
      <c r="O223" s="73" t="s">
        <v>3034</v>
      </c>
      <c r="P223" s="77" t="s">
        <v>5</v>
      </c>
      <c r="Q223" s="77">
        <v>5.5</v>
      </c>
      <c r="R223" s="77" t="s">
        <v>3033</v>
      </c>
      <c r="S223" s="77" t="s">
        <v>4</v>
      </c>
      <c r="T223" s="77">
        <v>2</v>
      </c>
      <c r="U223" s="77" t="s">
        <v>3032</v>
      </c>
      <c r="V223" s="77" t="s">
        <v>4</v>
      </c>
      <c r="W223" s="77">
        <v>1.3</v>
      </c>
      <c r="X223" s="77" t="s">
        <v>3031</v>
      </c>
      <c r="Y223" s="77" t="s">
        <v>4</v>
      </c>
      <c r="Z223" s="77">
        <v>0.4</v>
      </c>
      <c r="AA223" s="77" t="s">
        <v>1</v>
      </c>
      <c r="AB223" s="73" t="s">
        <v>2181</v>
      </c>
    </row>
    <row r="224" spans="1:34" x14ac:dyDescent="0.2">
      <c r="A224" s="173"/>
      <c r="B224" s="73" t="s">
        <v>456</v>
      </c>
      <c r="C224" s="74" t="s">
        <v>1691</v>
      </c>
      <c r="D224" s="75">
        <v>75</v>
      </c>
      <c r="E224" s="73" t="s">
        <v>7</v>
      </c>
      <c r="F224" s="75">
        <v>26.8</v>
      </c>
      <c r="H224" s="78">
        <v>44600</v>
      </c>
      <c r="I224" s="73" t="s">
        <v>3030</v>
      </c>
      <c r="J224" s="73" t="s">
        <v>3029</v>
      </c>
      <c r="K224" s="73" t="s">
        <v>2048</v>
      </c>
      <c r="L224" s="73" t="s">
        <v>3028</v>
      </c>
      <c r="M224" s="73">
        <v>2012</v>
      </c>
      <c r="O224" s="73" t="s">
        <v>3027</v>
      </c>
      <c r="P224" s="77" t="s">
        <v>5</v>
      </c>
      <c r="Q224" s="77">
        <v>8.3000000000000007</v>
      </c>
      <c r="R224" s="77" t="s">
        <v>3026</v>
      </c>
      <c r="S224" s="77" t="s">
        <v>4</v>
      </c>
      <c r="T224" s="77" t="s">
        <v>1</v>
      </c>
      <c r="U224" s="77" t="s">
        <v>3025</v>
      </c>
      <c r="V224" s="77" t="s">
        <v>1</v>
      </c>
      <c r="W224" s="77" t="s">
        <v>1</v>
      </c>
      <c r="X224" s="77" t="s">
        <v>1</v>
      </c>
      <c r="Y224" s="77" t="s">
        <v>1</v>
      </c>
      <c r="Z224" s="77" t="s">
        <v>1</v>
      </c>
      <c r="AA224" s="77" t="s">
        <v>1</v>
      </c>
      <c r="AB224" s="73" t="s">
        <v>3024</v>
      </c>
    </row>
    <row r="225" spans="1:34" x14ac:dyDescent="0.2">
      <c r="A225" s="173"/>
      <c r="B225" s="73" t="s">
        <v>3023</v>
      </c>
      <c r="C225" s="74" t="s">
        <v>1691</v>
      </c>
      <c r="D225" s="75">
        <v>75</v>
      </c>
      <c r="E225" s="73" t="s">
        <v>7</v>
      </c>
      <c r="F225" s="75">
        <v>26</v>
      </c>
      <c r="H225" s="78">
        <v>44594</v>
      </c>
      <c r="J225" s="73" t="s">
        <v>3022</v>
      </c>
      <c r="K225" s="73" t="s">
        <v>2048</v>
      </c>
      <c r="L225" s="73" t="s">
        <v>3021</v>
      </c>
      <c r="M225" s="73">
        <v>2015</v>
      </c>
      <c r="O225" s="73" t="s">
        <v>3020</v>
      </c>
      <c r="P225" s="77" t="s">
        <v>7</v>
      </c>
      <c r="Q225" s="77">
        <v>13</v>
      </c>
      <c r="R225" s="77" t="s">
        <v>941</v>
      </c>
      <c r="S225" s="77" t="s">
        <v>5</v>
      </c>
      <c r="T225" s="77">
        <v>5</v>
      </c>
      <c r="U225" s="77" t="s">
        <v>432</v>
      </c>
      <c r="V225" s="77" t="s">
        <v>4</v>
      </c>
      <c r="W225" s="77">
        <v>1.5</v>
      </c>
      <c r="X225" s="77" t="s">
        <v>1</v>
      </c>
      <c r="Y225" s="77" t="s">
        <v>1</v>
      </c>
      <c r="Z225" s="77" t="s">
        <v>1</v>
      </c>
      <c r="AA225" s="77" t="s">
        <v>1</v>
      </c>
      <c r="AB225" s="73" t="s">
        <v>2046</v>
      </c>
    </row>
    <row r="226" spans="1:34" s="12" customFormat="1" x14ac:dyDescent="0.2">
      <c r="A226" s="173"/>
      <c r="B226" s="73" t="s">
        <v>461</v>
      </c>
      <c r="C226" s="74" t="s">
        <v>1691</v>
      </c>
      <c r="D226" s="75">
        <v>75</v>
      </c>
      <c r="E226" s="73" t="s">
        <v>7</v>
      </c>
      <c r="F226" s="75">
        <v>25.7</v>
      </c>
      <c r="G226" s="75"/>
      <c r="H226" s="27">
        <v>43837</v>
      </c>
      <c r="I226" s="73" t="s">
        <v>3019</v>
      </c>
      <c r="J226" s="73" t="s">
        <v>3018</v>
      </c>
      <c r="K226" s="73" t="s">
        <v>2048</v>
      </c>
      <c r="L226" s="73" t="s">
        <v>2065</v>
      </c>
      <c r="M226" s="73">
        <v>2015</v>
      </c>
      <c r="N226" s="73"/>
      <c r="O226" s="73" t="s">
        <v>3017</v>
      </c>
      <c r="P226" s="77" t="s">
        <v>5</v>
      </c>
      <c r="Q226" s="77">
        <v>21.6</v>
      </c>
      <c r="R226" s="77" t="s">
        <v>3016</v>
      </c>
      <c r="S226" s="77" t="s">
        <v>1</v>
      </c>
      <c r="T226" s="77" t="s">
        <v>1</v>
      </c>
      <c r="U226" s="77" t="s">
        <v>1</v>
      </c>
      <c r="V226" s="77" t="s">
        <v>1</v>
      </c>
      <c r="W226" s="77" t="s">
        <v>1</v>
      </c>
      <c r="X226" s="77" t="s">
        <v>1</v>
      </c>
      <c r="Y226" s="77" t="s">
        <v>1</v>
      </c>
      <c r="Z226" s="77" t="s">
        <v>1</v>
      </c>
      <c r="AA226" s="77" t="s">
        <v>1</v>
      </c>
      <c r="AB226" s="73" t="s">
        <v>3015</v>
      </c>
      <c r="AC226" s="73"/>
      <c r="AD226" s="73"/>
      <c r="AE226" s="73"/>
      <c r="AF226" s="63"/>
      <c r="AG226" s="58"/>
      <c r="AH226" s="73"/>
    </row>
    <row r="227" spans="1:34" x14ac:dyDescent="0.2">
      <c r="A227" s="173"/>
      <c r="B227" s="73" t="s">
        <v>351</v>
      </c>
      <c r="C227" s="74" t="s">
        <v>1691</v>
      </c>
      <c r="D227" s="75">
        <v>75</v>
      </c>
      <c r="E227" s="73" t="s">
        <v>7</v>
      </c>
      <c r="F227" s="75">
        <v>22</v>
      </c>
      <c r="H227" s="78">
        <v>44861</v>
      </c>
      <c r="I227" s="73" t="s">
        <v>3014</v>
      </c>
      <c r="J227" s="73" t="s">
        <v>3013</v>
      </c>
      <c r="K227" s="73" t="s">
        <v>2048</v>
      </c>
      <c r="L227" s="73" t="s">
        <v>2065</v>
      </c>
      <c r="M227" s="73">
        <v>2018</v>
      </c>
      <c r="O227" s="73" t="s">
        <v>3012</v>
      </c>
      <c r="P227" s="77" t="s">
        <v>5</v>
      </c>
      <c r="Q227" s="77">
        <v>15</v>
      </c>
      <c r="R227" s="77" t="s">
        <v>3011</v>
      </c>
      <c r="S227" s="77" t="s">
        <v>4</v>
      </c>
      <c r="T227" s="77">
        <v>7</v>
      </c>
      <c r="U227" s="77" t="s">
        <v>352</v>
      </c>
      <c r="V227" s="77" t="s">
        <v>1</v>
      </c>
      <c r="W227" s="77" t="s">
        <v>1</v>
      </c>
      <c r="X227" s="77" t="s">
        <v>1</v>
      </c>
      <c r="Y227" s="77" t="s">
        <v>1</v>
      </c>
      <c r="Z227" s="77" t="s">
        <v>1</v>
      </c>
      <c r="AA227" s="77" t="s">
        <v>1</v>
      </c>
      <c r="AB227" s="73" t="s">
        <v>2081</v>
      </c>
    </row>
    <row r="228" spans="1:34" s="173" customFormat="1" x14ac:dyDescent="0.2">
      <c r="A228" s="73"/>
      <c r="B228" s="184" t="s">
        <v>2036</v>
      </c>
      <c r="C228" s="193" t="s">
        <v>1691</v>
      </c>
      <c r="D228" s="185">
        <v>75</v>
      </c>
      <c r="E228" s="184" t="s">
        <v>5</v>
      </c>
      <c r="F228" s="185">
        <v>25</v>
      </c>
      <c r="G228" s="185">
        <f>+F228+Q228</f>
        <v>30</v>
      </c>
      <c r="H228" s="78">
        <v>44454</v>
      </c>
      <c r="I228" s="184" t="s">
        <v>6655</v>
      </c>
      <c r="J228" s="184" t="s">
        <v>6654</v>
      </c>
      <c r="K228" s="184" t="s">
        <v>2048</v>
      </c>
      <c r="L228" s="184" t="s">
        <v>6658</v>
      </c>
      <c r="M228" s="184">
        <v>2020</v>
      </c>
      <c r="N228" s="184"/>
      <c r="O228" s="184" t="s">
        <v>6657</v>
      </c>
      <c r="P228" s="187" t="s">
        <v>4</v>
      </c>
      <c r="Q228" s="187">
        <v>5</v>
      </c>
      <c r="R228" s="187" t="s">
        <v>1000</v>
      </c>
      <c r="S228" s="187" t="s">
        <v>1</v>
      </c>
      <c r="T228" s="187" t="s">
        <v>1</v>
      </c>
      <c r="U228" s="187" t="s">
        <v>1</v>
      </c>
      <c r="V228" s="187" t="s">
        <v>1</v>
      </c>
      <c r="W228" s="187" t="s">
        <v>1</v>
      </c>
      <c r="X228" s="187" t="s">
        <v>1</v>
      </c>
      <c r="Y228" s="187" t="s">
        <v>1</v>
      </c>
      <c r="Z228" s="187" t="s">
        <v>1</v>
      </c>
      <c r="AA228" s="187" t="s">
        <v>1</v>
      </c>
      <c r="AB228" s="184" t="s">
        <v>6627</v>
      </c>
      <c r="AC228" s="184" t="s">
        <v>6630</v>
      </c>
      <c r="AD228" s="184" t="s">
        <v>6638</v>
      </c>
      <c r="AE228" s="195" t="s">
        <v>6656</v>
      </c>
      <c r="AF228" s="58"/>
      <c r="AG228" s="58"/>
      <c r="AH228" s="184"/>
    </row>
    <row r="229" spans="1:34" x14ac:dyDescent="0.2">
      <c r="B229" s="73" t="s">
        <v>722</v>
      </c>
      <c r="C229" s="74" t="s">
        <v>1691</v>
      </c>
      <c r="D229" s="75">
        <v>75</v>
      </c>
      <c r="E229" s="73" t="s">
        <v>5</v>
      </c>
      <c r="F229" s="75">
        <v>20</v>
      </c>
      <c r="H229" s="78">
        <v>44903</v>
      </c>
      <c r="I229" s="73" t="s">
        <v>3010</v>
      </c>
      <c r="J229" s="73" t="s">
        <v>3009</v>
      </c>
      <c r="K229" s="73" t="s">
        <v>2048</v>
      </c>
      <c r="L229" s="73" t="s">
        <v>3008</v>
      </c>
      <c r="M229" s="85" t="s">
        <v>2985</v>
      </c>
      <c r="O229" s="73" t="s">
        <v>3007</v>
      </c>
      <c r="P229" s="77" t="s">
        <v>5</v>
      </c>
      <c r="Q229" s="77">
        <v>11</v>
      </c>
      <c r="R229" s="77" t="s">
        <v>3006</v>
      </c>
      <c r="S229" s="77" t="s">
        <v>4</v>
      </c>
      <c r="T229" s="77">
        <v>3</v>
      </c>
      <c r="U229" s="77" t="s">
        <v>3005</v>
      </c>
      <c r="V229" s="77" t="s">
        <v>278</v>
      </c>
      <c r="W229" s="77">
        <v>1.2</v>
      </c>
      <c r="X229" s="77" t="s">
        <v>3004</v>
      </c>
      <c r="Y229" s="77" t="s">
        <v>1</v>
      </c>
      <c r="Z229" s="77" t="s">
        <v>1</v>
      </c>
      <c r="AA229" s="77" t="s">
        <v>1</v>
      </c>
      <c r="AB229" s="73" t="s">
        <v>2046</v>
      </c>
    </row>
    <row r="230" spans="1:34" x14ac:dyDescent="0.2">
      <c r="B230" s="73" t="s">
        <v>3003</v>
      </c>
      <c r="C230" s="74" t="s">
        <v>1691</v>
      </c>
      <c r="D230" s="75">
        <v>75</v>
      </c>
      <c r="E230" s="73" t="s">
        <v>5</v>
      </c>
      <c r="F230" s="75">
        <v>20</v>
      </c>
      <c r="H230" s="78">
        <v>44578</v>
      </c>
      <c r="I230" s="73" t="s">
        <v>2876</v>
      </c>
      <c r="K230" s="73" t="s">
        <v>2048</v>
      </c>
      <c r="L230" s="73" t="s">
        <v>2527</v>
      </c>
      <c r="M230" s="79">
        <v>43510</v>
      </c>
      <c r="O230" s="73" t="s">
        <v>3002</v>
      </c>
      <c r="P230" s="77" t="s">
        <v>4</v>
      </c>
      <c r="Q230" s="77">
        <v>6</v>
      </c>
      <c r="R230" s="77" t="s">
        <v>3001</v>
      </c>
      <c r="S230" s="77" t="s">
        <v>4</v>
      </c>
      <c r="T230" s="77" t="s">
        <v>1</v>
      </c>
      <c r="U230" s="77" t="s">
        <v>3000</v>
      </c>
      <c r="V230" s="77" t="s">
        <v>1</v>
      </c>
      <c r="W230" s="77" t="s">
        <v>1</v>
      </c>
      <c r="X230" s="77" t="s">
        <v>1</v>
      </c>
      <c r="Y230" s="77" t="s">
        <v>1</v>
      </c>
      <c r="Z230" s="77" t="s">
        <v>1</v>
      </c>
      <c r="AA230" s="77" t="s">
        <v>1</v>
      </c>
      <c r="AB230" s="73" t="s">
        <v>2438</v>
      </c>
    </row>
    <row r="231" spans="1:34" x14ac:dyDescent="0.2">
      <c r="B231" s="73" t="s">
        <v>2999</v>
      </c>
      <c r="C231" s="74" t="s">
        <v>1691</v>
      </c>
      <c r="D231" s="75">
        <v>75</v>
      </c>
      <c r="E231" s="73" t="s">
        <v>5</v>
      </c>
      <c r="F231" s="75">
        <v>20</v>
      </c>
      <c r="H231" s="78">
        <v>44602</v>
      </c>
      <c r="I231" s="73" t="s">
        <v>2998</v>
      </c>
      <c r="J231" s="73" t="s">
        <v>2997</v>
      </c>
      <c r="K231" s="73" t="s">
        <v>2048</v>
      </c>
      <c r="L231" s="73" t="s">
        <v>2527</v>
      </c>
      <c r="M231" s="73">
        <v>2019</v>
      </c>
      <c r="O231" s="73" t="s">
        <v>2996</v>
      </c>
      <c r="P231" s="77" t="s">
        <v>1</v>
      </c>
      <c r="Q231" s="77" t="s">
        <v>1</v>
      </c>
      <c r="R231" s="77" t="s">
        <v>1</v>
      </c>
      <c r="S231" s="77" t="s">
        <v>1</v>
      </c>
      <c r="T231" s="77" t="s">
        <v>1</v>
      </c>
      <c r="U231" s="77" t="s">
        <v>1</v>
      </c>
      <c r="V231" s="77" t="s">
        <v>1</v>
      </c>
      <c r="W231" s="77" t="s">
        <v>1</v>
      </c>
      <c r="X231" s="77" t="s">
        <v>1</v>
      </c>
      <c r="Y231" s="77" t="s">
        <v>1</v>
      </c>
      <c r="Z231" s="77" t="s">
        <v>1</v>
      </c>
      <c r="AA231" s="77" t="s">
        <v>1</v>
      </c>
      <c r="AB231" s="73" t="s">
        <v>2081</v>
      </c>
    </row>
    <row r="232" spans="1:34" x14ac:dyDescent="0.2">
      <c r="B232" s="12" t="s">
        <v>695</v>
      </c>
      <c r="C232" s="29" t="s">
        <v>1691</v>
      </c>
      <c r="D232" s="15">
        <v>75</v>
      </c>
      <c r="E232" s="12" t="s">
        <v>5</v>
      </c>
      <c r="F232" s="15">
        <v>20</v>
      </c>
      <c r="G232" s="15"/>
      <c r="H232" s="33">
        <v>44392</v>
      </c>
      <c r="I232" s="12" t="s">
        <v>2995</v>
      </c>
      <c r="J232" s="12" t="s">
        <v>2994</v>
      </c>
      <c r="K232" s="32" t="s">
        <v>2048</v>
      </c>
      <c r="L232" s="32" t="s">
        <v>2454</v>
      </c>
      <c r="M232" s="12">
        <v>2019</v>
      </c>
      <c r="N232" s="12"/>
      <c r="O232" s="12" t="s">
        <v>2993</v>
      </c>
      <c r="P232" s="24" t="s">
        <v>4</v>
      </c>
      <c r="Q232" s="24">
        <v>3.4</v>
      </c>
      <c r="R232" s="24" t="s">
        <v>696</v>
      </c>
      <c r="S232" s="24" t="s">
        <v>1</v>
      </c>
      <c r="T232" s="24" t="s">
        <v>1</v>
      </c>
      <c r="U232" s="24" t="s">
        <v>1</v>
      </c>
      <c r="V232" s="24" t="s">
        <v>1</v>
      </c>
      <c r="W232" s="24" t="s">
        <v>1</v>
      </c>
      <c r="X232" s="24" t="s">
        <v>1</v>
      </c>
      <c r="Y232" s="24" t="s">
        <v>1</v>
      </c>
      <c r="Z232" s="24" t="s">
        <v>1</v>
      </c>
      <c r="AA232" s="24" t="s">
        <v>1</v>
      </c>
      <c r="AB232" s="12" t="s">
        <v>2058</v>
      </c>
      <c r="AC232" s="12"/>
      <c r="AD232" s="12"/>
      <c r="AE232" s="12"/>
      <c r="AF232" s="65"/>
      <c r="AG232" s="60"/>
      <c r="AH232" s="12"/>
    </row>
    <row r="233" spans="1:34" x14ac:dyDescent="0.2">
      <c r="B233" s="12" t="s">
        <v>2992</v>
      </c>
      <c r="C233" s="29" t="s">
        <v>1691</v>
      </c>
      <c r="D233" s="15">
        <v>75</v>
      </c>
      <c r="E233" s="12" t="s">
        <v>5</v>
      </c>
      <c r="F233" s="15">
        <v>20</v>
      </c>
      <c r="G233" s="15"/>
      <c r="H233" s="14">
        <v>44614</v>
      </c>
      <c r="I233" s="12" t="s">
        <v>2991</v>
      </c>
      <c r="J233" s="12"/>
      <c r="K233" s="12" t="s">
        <v>2572</v>
      </c>
      <c r="L233" s="12" t="s">
        <v>2990</v>
      </c>
      <c r="M233" s="12">
        <v>2021</v>
      </c>
      <c r="N233" s="12"/>
      <c r="O233" s="12" t="s">
        <v>2989</v>
      </c>
      <c r="P233" s="24" t="s">
        <v>1</v>
      </c>
      <c r="Q233" s="24" t="s">
        <v>1</v>
      </c>
      <c r="R233" s="24" t="s">
        <v>1</v>
      </c>
      <c r="S233" s="24" t="s">
        <v>1</v>
      </c>
      <c r="T233" s="24" t="s">
        <v>1</v>
      </c>
      <c r="U233" s="24" t="s">
        <v>1</v>
      </c>
      <c r="V233" s="24" t="s">
        <v>1</v>
      </c>
      <c r="W233" s="24" t="s">
        <v>1</v>
      </c>
      <c r="X233" s="24" t="s">
        <v>1</v>
      </c>
      <c r="Y233" s="24" t="s">
        <v>1</v>
      </c>
      <c r="Z233" s="24" t="s">
        <v>1</v>
      </c>
      <c r="AA233" s="24" t="s">
        <v>1</v>
      </c>
      <c r="AB233" s="12" t="s">
        <v>2988</v>
      </c>
      <c r="AC233" s="12"/>
      <c r="AD233" s="12"/>
      <c r="AE233" s="12"/>
      <c r="AF233" s="65"/>
      <c r="AG233" s="60"/>
      <c r="AH233" s="12"/>
    </row>
    <row r="234" spans="1:34" x14ac:dyDescent="0.2">
      <c r="B234" s="12" t="s">
        <v>720</v>
      </c>
      <c r="C234" s="74" t="s">
        <v>1691</v>
      </c>
      <c r="D234" s="75">
        <v>75</v>
      </c>
      <c r="E234" s="73" t="s">
        <v>5</v>
      </c>
      <c r="F234" s="75">
        <v>20</v>
      </c>
      <c r="H234" s="27">
        <v>44455</v>
      </c>
      <c r="I234" s="73" t="s">
        <v>2987</v>
      </c>
      <c r="J234" s="73" t="s">
        <v>2986</v>
      </c>
      <c r="K234" s="73" t="s">
        <v>2572</v>
      </c>
      <c r="L234" s="73" t="s">
        <v>2398</v>
      </c>
      <c r="M234" s="87" t="s">
        <v>2985</v>
      </c>
      <c r="O234" s="73" t="s">
        <v>2984</v>
      </c>
      <c r="P234" s="77" t="s">
        <v>4</v>
      </c>
      <c r="Q234" s="77" t="s">
        <v>2983</v>
      </c>
      <c r="R234" s="77" t="s">
        <v>1</v>
      </c>
      <c r="S234" s="77" t="s">
        <v>1</v>
      </c>
      <c r="T234" s="77" t="s">
        <v>1</v>
      </c>
      <c r="U234" s="77" t="s">
        <v>1</v>
      </c>
      <c r="V234" s="77" t="s">
        <v>1</v>
      </c>
      <c r="W234" s="77" t="s">
        <v>1</v>
      </c>
      <c r="X234" s="77" t="s">
        <v>1</v>
      </c>
      <c r="Y234" s="77" t="s">
        <v>1</v>
      </c>
      <c r="Z234" s="77" t="s">
        <v>1</v>
      </c>
      <c r="AA234" s="77" t="s">
        <v>1</v>
      </c>
      <c r="AB234" s="73" t="s">
        <v>2982</v>
      </c>
    </row>
    <row r="235" spans="1:34" x14ac:dyDescent="0.2">
      <c r="B235" s="73" t="s">
        <v>1123</v>
      </c>
      <c r="C235" s="74" t="s">
        <v>1691</v>
      </c>
      <c r="D235" s="75">
        <v>75</v>
      </c>
      <c r="E235" s="73" t="s">
        <v>5</v>
      </c>
      <c r="F235" s="75">
        <v>20</v>
      </c>
      <c r="H235" s="27">
        <v>44371</v>
      </c>
      <c r="I235" s="73" t="s">
        <v>2981</v>
      </c>
      <c r="J235" s="73" t="s">
        <v>2980</v>
      </c>
      <c r="K235" s="73" t="s">
        <v>2048</v>
      </c>
      <c r="L235" s="73" t="s">
        <v>2233</v>
      </c>
      <c r="M235" s="87">
        <v>2020</v>
      </c>
      <c r="O235" s="73" t="s">
        <v>2979</v>
      </c>
      <c r="P235" s="77" t="s">
        <v>1</v>
      </c>
      <c r="Q235" s="77" t="s">
        <v>1</v>
      </c>
      <c r="R235" s="77" t="s">
        <v>1</v>
      </c>
      <c r="S235" s="77" t="s">
        <v>1</v>
      </c>
      <c r="T235" s="77" t="s">
        <v>1</v>
      </c>
      <c r="U235" s="77" t="s">
        <v>1</v>
      </c>
      <c r="V235" s="77" t="s">
        <v>1</v>
      </c>
      <c r="W235" s="77" t="s">
        <v>1</v>
      </c>
      <c r="X235" s="77" t="s">
        <v>1</v>
      </c>
      <c r="Y235" s="77" t="s">
        <v>1</v>
      </c>
      <c r="Z235" s="77" t="s">
        <v>1</v>
      </c>
      <c r="AA235" s="77" t="s">
        <v>1</v>
      </c>
      <c r="AB235" s="73" t="s">
        <v>2058</v>
      </c>
    </row>
    <row r="236" spans="1:34" x14ac:dyDescent="0.2">
      <c r="B236" s="73" t="s">
        <v>2978</v>
      </c>
      <c r="C236" s="74" t="s">
        <v>1691</v>
      </c>
      <c r="D236" s="75">
        <v>75</v>
      </c>
      <c r="E236" s="73" t="s">
        <v>4</v>
      </c>
      <c r="F236" s="75">
        <v>20</v>
      </c>
      <c r="H236" s="78">
        <v>44594</v>
      </c>
      <c r="I236" s="73" t="s">
        <v>2977</v>
      </c>
      <c r="J236" s="73" t="s">
        <v>2976</v>
      </c>
      <c r="K236" s="73" t="s">
        <v>2352</v>
      </c>
      <c r="L236" s="73" t="s">
        <v>2975</v>
      </c>
      <c r="M236" s="73">
        <v>2021</v>
      </c>
      <c r="O236" s="73" t="s">
        <v>1</v>
      </c>
      <c r="P236" s="73" t="s">
        <v>1</v>
      </c>
      <c r="Q236" s="73" t="s">
        <v>1</v>
      </c>
      <c r="R236" s="73" t="s">
        <v>1</v>
      </c>
      <c r="S236" s="73" t="s">
        <v>1</v>
      </c>
      <c r="T236" s="73" t="s">
        <v>1</v>
      </c>
      <c r="U236" s="73" t="s">
        <v>1</v>
      </c>
      <c r="V236" s="73" t="s">
        <v>1</v>
      </c>
      <c r="W236" s="73" t="s">
        <v>1</v>
      </c>
      <c r="X236" s="73" t="s">
        <v>1</v>
      </c>
      <c r="Y236" s="73" t="s">
        <v>1</v>
      </c>
      <c r="Z236" s="73" t="s">
        <v>1</v>
      </c>
      <c r="AA236" s="73" t="s">
        <v>1</v>
      </c>
      <c r="AB236" s="73" t="s">
        <v>2148</v>
      </c>
    </row>
    <row r="237" spans="1:34" x14ac:dyDescent="0.2">
      <c r="B237" s="73" t="s">
        <v>2974</v>
      </c>
      <c r="C237" s="74" t="s">
        <v>1691</v>
      </c>
      <c r="D237" s="75">
        <v>75</v>
      </c>
      <c r="E237" s="73" t="s">
        <v>4</v>
      </c>
      <c r="F237" s="75">
        <v>18</v>
      </c>
      <c r="H237" s="78">
        <v>45022</v>
      </c>
      <c r="I237" s="73" t="s">
        <v>2973</v>
      </c>
      <c r="K237" s="73" t="s">
        <v>2048</v>
      </c>
      <c r="L237" s="73" t="s">
        <v>1795</v>
      </c>
      <c r="M237" s="73">
        <v>2022</v>
      </c>
      <c r="N237" s="73" t="s">
        <v>1900</v>
      </c>
      <c r="O237" s="73" t="s">
        <v>2972</v>
      </c>
      <c r="P237" s="77" t="s">
        <v>278</v>
      </c>
      <c r="Q237" s="77">
        <v>2.2999999999999998</v>
      </c>
      <c r="R237" s="77" t="s">
        <v>2971</v>
      </c>
      <c r="S237" s="77" t="s">
        <v>1</v>
      </c>
      <c r="T237" s="77" t="s">
        <v>1</v>
      </c>
      <c r="U237" s="77" t="s">
        <v>1</v>
      </c>
      <c r="V237" s="77" t="s">
        <v>1</v>
      </c>
      <c r="W237" s="77" t="s">
        <v>1</v>
      </c>
      <c r="X237" s="77" t="s">
        <v>1</v>
      </c>
      <c r="Y237" s="77" t="s">
        <v>1</v>
      </c>
      <c r="Z237" s="77" t="s">
        <v>1</v>
      </c>
      <c r="AA237" s="77" t="s">
        <v>1</v>
      </c>
      <c r="AB237" s="73" t="s">
        <v>2051</v>
      </c>
    </row>
    <row r="238" spans="1:34" x14ac:dyDescent="0.2">
      <c r="B238" s="12" t="s">
        <v>663</v>
      </c>
      <c r="C238" s="29" t="s">
        <v>1691</v>
      </c>
      <c r="D238" s="15">
        <v>75</v>
      </c>
      <c r="E238" s="12" t="s">
        <v>5</v>
      </c>
      <c r="F238" s="15">
        <v>17</v>
      </c>
      <c r="G238" s="15"/>
      <c r="H238" s="14">
        <v>44679</v>
      </c>
      <c r="I238" s="12" t="s">
        <v>2970</v>
      </c>
      <c r="J238" s="12" t="s">
        <v>2969</v>
      </c>
      <c r="K238" s="12" t="s">
        <v>2572</v>
      </c>
      <c r="L238" s="12" t="s">
        <v>2398</v>
      </c>
      <c r="M238" s="12">
        <v>2019</v>
      </c>
      <c r="O238" s="73" t="s">
        <v>2968</v>
      </c>
      <c r="P238" s="77" t="s">
        <v>4</v>
      </c>
      <c r="Q238" s="77">
        <v>4.5</v>
      </c>
      <c r="R238" s="77" t="s">
        <v>2967</v>
      </c>
      <c r="S238" s="77" t="s">
        <v>1</v>
      </c>
      <c r="T238" s="77" t="s">
        <v>1</v>
      </c>
      <c r="U238" s="77" t="s">
        <v>1</v>
      </c>
      <c r="V238" s="77" t="s">
        <v>1</v>
      </c>
      <c r="W238" s="77" t="s">
        <v>1</v>
      </c>
      <c r="X238" s="77" t="s">
        <v>1</v>
      </c>
      <c r="Y238" s="77" t="s">
        <v>1</v>
      </c>
      <c r="Z238" s="77" t="s">
        <v>1</v>
      </c>
      <c r="AA238" s="77" t="s">
        <v>1</v>
      </c>
      <c r="AB238" s="73" t="s">
        <v>2365</v>
      </c>
    </row>
    <row r="239" spans="1:34" x14ac:dyDescent="0.2">
      <c r="B239" s="12" t="s">
        <v>2966</v>
      </c>
      <c r="C239" s="29" t="s">
        <v>1691</v>
      </c>
      <c r="D239" s="15">
        <v>75</v>
      </c>
      <c r="E239" s="12" t="s">
        <v>4</v>
      </c>
      <c r="F239" s="15">
        <v>16</v>
      </c>
      <c r="G239" s="15"/>
      <c r="H239" s="33">
        <v>44434</v>
      </c>
      <c r="I239" s="12" t="s">
        <v>2965</v>
      </c>
      <c r="J239" s="12" t="s">
        <v>2964</v>
      </c>
      <c r="K239" s="12" t="s">
        <v>2311</v>
      </c>
      <c r="L239" s="12" t="s">
        <v>2701</v>
      </c>
      <c r="M239" s="12">
        <v>2020</v>
      </c>
      <c r="N239" s="12"/>
      <c r="O239" s="12" t="s">
        <v>2963</v>
      </c>
      <c r="P239" s="24" t="s">
        <v>278</v>
      </c>
      <c r="Q239" s="24" t="s">
        <v>1</v>
      </c>
      <c r="R239" s="24" t="s">
        <v>2962</v>
      </c>
      <c r="S239" s="24" t="s">
        <v>1</v>
      </c>
      <c r="T239" s="24" t="s">
        <v>1</v>
      </c>
      <c r="U239" s="24" t="s">
        <v>1</v>
      </c>
      <c r="V239" s="24" t="s">
        <v>1</v>
      </c>
      <c r="W239" s="24" t="s">
        <v>1</v>
      </c>
      <c r="X239" s="24" t="s">
        <v>1</v>
      </c>
      <c r="Y239" s="24" t="s">
        <v>1</v>
      </c>
      <c r="Z239" s="24" t="s">
        <v>1</v>
      </c>
      <c r="AA239" s="24" t="s">
        <v>1</v>
      </c>
      <c r="AB239" s="12" t="s">
        <v>2438</v>
      </c>
      <c r="AC239" s="12"/>
      <c r="AD239" s="12"/>
      <c r="AE239" s="12"/>
      <c r="AF239" s="65"/>
      <c r="AG239" s="60"/>
      <c r="AH239" s="12"/>
    </row>
    <row r="240" spans="1:34" s="184" customFormat="1" x14ac:dyDescent="0.2">
      <c r="A240" s="73"/>
      <c r="B240" s="73" t="s">
        <v>848</v>
      </c>
      <c r="C240" s="74" t="s">
        <v>1691</v>
      </c>
      <c r="D240" s="75">
        <v>75</v>
      </c>
      <c r="E240" s="73" t="s">
        <v>4</v>
      </c>
      <c r="F240" s="75">
        <v>16</v>
      </c>
      <c r="G240" s="75"/>
      <c r="H240" s="27">
        <v>44298</v>
      </c>
      <c r="I240" s="73"/>
      <c r="J240" s="73" t="s">
        <v>2961</v>
      </c>
      <c r="K240" s="73" t="s">
        <v>2048</v>
      </c>
      <c r="L240" s="73" t="s">
        <v>2129</v>
      </c>
      <c r="M240" s="73">
        <v>2019</v>
      </c>
      <c r="N240" s="73"/>
      <c r="O240" s="73" t="s">
        <v>2960</v>
      </c>
      <c r="P240" s="77" t="s">
        <v>4</v>
      </c>
      <c r="Q240" s="77" t="s">
        <v>1</v>
      </c>
      <c r="R240" s="77" t="s">
        <v>2959</v>
      </c>
      <c r="S240" s="77" t="s">
        <v>1</v>
      </c>
      <c r="T240" s="77" t="s">
        <v>1</v>
      </c>
      <c r="U240" s="77" t="s">
        <v>1</v>
      </c>
      <c r="V240" s="77" t="s">
        <v>1</v>
      </c>
      <c r="W240" s="77" t="s">
        <v>1</v>
      </c>
      <c r="X240" s="77" t="s">
        <v>1</v>
      </c>
      <c r="Y240" s="77" t="s">
        <v>1</v>
      </c>
      <c r="Z240" s="77" t="s">
        <v>1</v>
      </c>
      <c r="AA240" s="77" t="s">
        <v>1</v>
      </c>
      <c r="AB240" s="73" t="s">
        <v>2365</v>
      </c>
      <c r="AC240" s="73"/>
      <c r="AD240" s="73"/>
      <c r="AE240" s="73"/>
      <c r="AF240" s="63"/>
      <c r="AG240" s="58"/>
      <c r="AH240" s="73"/>
    </row>
    <row r="241" spans="1:34" x14ac:dyDescent="0.2">
      <c r="B241" s="73" t="s">
        <v>2020</v>
      </c>
      <c r="C241" s="224" t="s">
        <v>1691</v>
      </c>
      <c r="D241" s="75">
        <v>75</v>
      </c>
      <c r="E241" s="225" t="s">
        <v>5</v>
      </c>
      <c r="F241" s="75">
        <v>10</v>
      </c>
      <c r="G241" s="75">
        <v>14</v>
      </c>
      <c r="H241" s="78">
        <v>44504</v>
      </c>
      <c r="I241" s="225" t="s">
        <v>7296</v>
      </c>
      <c r="J241" s="225" t="s">
        <v>7295</v>
      </c>
      <c r="K241" s="225" t="s">
        <v>2048</v>
      </c>
      <c r="L241" s="225" t="s">
        <v>2059</v>
      </c>
      <c r="M241" s="73">
        <v>2019</v>
      </c>
      <c r="N241" s="73" t="s">
        <v>7305</v>
      </c>
      <c r="O241" s="73" t="s">
        <v>7306</v>
      </c>
      <c r="P241" s="77" t="s">
        <v>4</v>
      </c>
      <c r="Q241" s="77">
        <v>4</v>
      </c>
      <c r="R241" s="77" t="s">
        <v>7307</v>
      </c>
      <c r="S241" s="77" t="s">
        <v>1</v>
      </c>
      <c r="T241" s="77" t="s">
        <v>1</v>
      </c>
      <c r="U241" s="77" t="s">
        <v>1</v>
      </c>
      <c r="V241" s="77" t="s">
        <v>1</v>
      </c>
      <c r="W241" s="77" t="s">
        <v>1</v>
      </c>
      <c r="X241" s="77" t="s">
        <v>1</v>
      </c>
      <c r="Y241" s="77" t="s">
        <v>1</v>
      </c>
      <c r="Z241" s="77" t="s">
        <v>1</v>
      </c>
      <c r="AA241" s="77" t="s">
        <v>1</v>
      </c>
      <c r="AB241" s="225" t="s">
        <v>6627</v>
      </c>
      <c r="AC241" s="225" t="s">
        <v>6629</v>
      </c>
      <c r="AD241" s="225" t="s">
        <v>2903</v>
      </c>
      <c r="AE241" s="25" t="s">
        <v>7294</v>
      </c>
    </row>
    <row r="242" spans="1:34" x14ac:dyDescent="0.2">
      <c r="B242" s="73" t="s">
        <v>289</v>
      </c>
      <c r="C242" s="74" t="s">
        <v>1691</v>
      </c>
      <c r="D242" s="75">
        <v>75</v>
      </c>
      <c r="E242" s="73" t="s">
        <v>5</v>
      </c>
      <c r="F242" s="75">
        <v>30</v>
      </c>
      <c r="H242" s="78">
        <v>44474</v>
      </c>
      <c r="I242" s="73" t="s">
        <v>2958</v>
      </c>
      <c r="J242" s="73" t="s">
        <v>2957</v>
      </c>
      <c r="K242" s="73" t="s">
        <v>2048</v>
      </c>
      <c r="L242" s="73" t="s">
        <v>2082</v>
      </c>
      <c r="M242" s="73">
        <v>2017</v>
      </c>
      <c r="O242" s="73" t="s">
        <v>2956</v>
      </c>
      <c r="P242" s="77" t="s">
        <v>4</v>
      </c>
      <c r="Q242" s="77">
        <v>15</v>
      </c>
      <c r="R242" s="77" t="s">
        <v>2955</v>
      </c>
      <c r="S242" s="77" t="s">
        <v>1</v>
      </c>
      <c r="T242" s="77" t="s">
        <v>1</v>
      </c>
      <c r="U242" s="77" t="s">
        <v>1</v>
      </c>
      <c r="V242" s="77" t="s">
        <v>1</v>
      </c>
      <c r="W242" s="77" t="s">
        <v>1</v>
      </c>
      <c r="X242" s="77" t="s">
        <v>1</v>
      </c>
      <c r="Y242" s="77" t="s">
        <v>1</v>
      </c>
      <c r="Z242" s="77" t="s">
        <v>1</v>
      </c>
      <c r="AA242" s="77" t="s">
        <v>1</v>
      </c>
      <c r="AB242" s="73" t="s">
        <v>2954</v>
      </c>
    </row>
    <row r="243" spans="1:34" s="12" customFormat="1" x14ac:dyDescent="0.2">
      <c r="A243" s="73"/>
      <c r="B243" s="73" t="s">
        <v>1122</v>
      </c>
      <c r="C243" s="74" t="s">
        <v>1691</v>
      </c>
      <c r="D243" s="75">
        <v>75</v>
      </c>
      <c r="E243" s="73" t="s">
        <v>5</v>
      </c>
      <c r="F243" s="75">
        <v>15</v>
      </c>
      <c r="G243" s="75"/>
      <c r="H243" s="78">
        <v>44468</v>
      </c>
      <c r="I243" s="12" t="s">
        <v>2953</v>
      </c>
      <c r="J243" s="73"/>
      <c r="K243" s="73" t="s">
        <v>2048</v>
      </c>
      <c r="L243" s="73" t="s">
        <v>2459</v>
      </c>
      <c r="M243" s="73">
        <v>2021</v>
      </c>
      <c r="N243" s="73"/>
      <c r="O243" s="73" t="s">
        <v>2952</v>
      </c>
      <c r="P243" s="77" t="s">
        <v>1</v>
      </c>
      <c r="Q243" s="77" t="s">
        <v>1</v>
      </c>
      <c r="R243" s="77" t="s">
        <v>1</v>
      </c>
      <c r="S243" s="77" t="s">
        <v>1</v>
      </c>
      <c r="T243" s="77" t="s">
        <v>1</v>
      </c>
      <c r="U243" s="77" t="s">
        <v>1</v>
      </c>
      <c r="V243" s="77" t="s">
        <v>1</v>
      </c>
      <c r="W243" s="77" t="s">
        <v>1</v>
      </c>
      <c r="X243" s="77" t="s">
        <v>1</v>
      </c>
      <c r="Y243" s="77" t="s">
        <v>1</v>
      </c>
      <c r="Z243" s="77" t="s">
        <v>1</v>
      </c>
      <c r="AA243" s="77" t="s">
        <v>1</v>
      </c>
      <c r="AB243" s="73" t="s">
        <v>2907</v>
      </c>
      <c r="AC243" s="73"/>
      <c r="AD243" s="73"/>
      <c r="AE243" s="73"/>
      <c r="AF243" s="63"/>
      <c r="AG243" s="58"/>
      <c r="AH243" s="73"/>
    </row>
    <row r="244" spans="1:34" x14ac:dyDescent="0.2">
      <c r="B244" s="73" t="s">
        <v>2951</v>
      </c>
      <c r="C244" s="74" t="s">
        <v>1691</v>
      </c>
      <c r="D244" s="75">
        <v>75</v>
      </c>
      <c r="E244" s="73" t="s">
        <v>5</v>
      </c>
      <c r="F244" s="75">
        <v>13</v>
      </c>
      <c r="H244" s="78">
        <v>44516</v>
      </c>
      <c r="I244" s="73" t="s">
        <v>2950</v>
      </c>
      <c r="J244" s="73" t="s">
        <v>2949</v>
      </c>
      <c r="K244" s="73" t="s">
        <v>2048</v>
      </c>
      <c r="L244" s="73" t="s">
        <v>2948</v>
      </c>
      <c r="M244" s="73">
        <v>2017</v>
      </c>
      <c r="O244" s="73" t="s">
        <v>2947</v>
      </c>
      <c r="P244" s="77" t="s">
        <v>4</v>
      </c>
      <c r="Q244" s="77">
        <v>2.5</v>
      </c>
      <c r="R244" s="77" t="s">
        <v>2946</v>
      </c>
      <c r="S244" s="77" t="s">
        <v>4</v>
      </c>
      <c r="T244" s="77" t="s">
        <v>1</v>
      </c>
      <c r="U244" s="77" t="s">
        <v>2945</v>
      </c>
      <c r="V244" s="77" t="s">
        <v>1</v>
      </c>
      <c r="W244" s="77" t="s">
        <v>1</v>
      </c>
      <c r="X244" s="77" t="s">
        <v>1</v>
      </c>
      <c r="Y244" s="77" t="s">
        <v>1</v>
      </c>
      <c r="Z244" s="77" t="s">
        <v>1</v>
      </c>
      <c r="AA244" s="77" t="s">
        <v>1</v>
      </c>
      <c r="AB244" s="73" t="s">
        <v>2051</v>
      </c>
    </row>
    <row r="245" spans="1:34" x14ac:dyDescent="0.2">
      <c r="B245" s="73" t="s">
        <v>2011</v>
      </c>
      <c r="C245" s="249" t="s">
        <v>1691</v>
      </c>
      <c r="D245" s="73">
        <v>75</v>
      </c>
      <c r="E245" s="250" t="s">
        <v>5</v>
      </c>
      <c r="F245" s="88">
        <v>11.5</v>
      </c>
      <c r="G245" s="88">
        <f>F245+Q245</f>
        <v>18.5</v>
      </c>
      <c r="H245" s="79">
        <v>45063</v>
      </c>
      <c r="I245" s="250" t="s">
        <v>7474</v>
      </c>
      <c r="J245" s="250" t="s">
        <v>7473</v>
      </c>
      <c r="K245" s="250" t="s">
        <v>2048</v>
      </c>
      <c r="L245" s="250" t="s">
        <v>2172</v>
      </c>
      <c r="M245" s="79">
        <v>43497</v>
      </c>
      <c r="N245" s="250" t="s">
        <v>7475</v>
      </c>
      <c r="O245" s="250" t="s">
        <v>7476</v>
      </c>
      <c r="P245" s="250" t="s">
        <v>4</v>
      </c>
      <c r="Q245" s="164">
        <v>7</v>
      </c>
      <c r="R245" s="250" t="s">
        <v>7479</v>
      </c>
      <c r="S245" s="250" t="s">
        <v>7446</v>
      </c>
      <c r="T245" s="250" t="s">
        <v>1</v>
      </c>
      <c r="U245" s="250" t="s">
        <v>7480</v>
      </c>
      <c r="V245" s="250" t="s">
        <v>1</v>
      </c>
      <c r="W245" s="250" t="s">
        <v>1</v>
      </c>
      <c r="X245" s="250" t="s">
        <v>1</v>
      </c>
      <c r="Y245" s="250" t="s">
        <v>1</v>
      </c>
      <c r="Z245" s="250" t="s">
        <v>1</v>
      </c>
      <c r="AA245" s="250" t="s">
        <v>1</v>
      </c>
      <c r="AB245" s="250" t="s">
        <v>6787</v>
      </c>
      <c r="AD245" s="250" t="s">
        <v>2854</v>
      </c>
      <c r="AE245" s="250" t="s">
        <v>7472</v>
      </c>
      <c r="AF245" s="73"/>
      <c r="AG245" s="73"/>
    </row>
    <row r="246" spans="1:34" s="12" customFormat="1" x14ac:dyDescent="0.2">
      <c r="A246" s="73"/>
      <c r="B246" s="73" t="s">
        <v>2944</v>
      </c>
      <c r="C246" s="74" t="s">
        <v>1691</v>
      </c>
      <c r="D246" s="75">
        <v>60</v>
      </c>
      <c r="E246" s="73" t="s">
        <v>5</v>
      </c>
      <c r="F246" s="75">
        <v>21.7</v>
      </c>
      <c r="G246" s="75"/>
      <c r="H246" s="78">
        <v>44909</v>
      </c>
      <c r="I246" s="73" t="s">
        <v>2943</v>
      </c>
      <c r="J246" s="73"/>
      <c r="K246" s="73" t="s">
        <v>2103</v>
      </c>
      <c r="L246" s="73" t="s">
        <v>2942</v>
      </c>
      <c r="M246" s="73">
        <v>2022</v>
      </c>
      <c r="N246" s="73"/>
      <c r="O246" s="73" t="s">
        <v>2941</v>
      </c>
      <c r="P246" s="77" t="s">
        <v>1</v>
      </c>
      <c r="Q246" s="77" t="s">
        <v>1</v>
      </c>
      <c r="R246" s="77" t="s">
        <v>1</v>
      </c>
      <c r="S246" s="77" t="s">
        <v>1</v>
      </c>
      <c r="T246" s="77" t="s">
        <v>1</v>
      </c>
      <c r="U246" s="77" t="s">
        <v>1</v>
      </c>
      <c r="V246" s="77" t="s">
        <v>1</v>
      </c>
      <c r="W246" s="77" t="s">
        <v>1</v>
      </c>
      <c r="X246" s="77" t="s">
        <v>1</v>
      </c>
      <c r="Y246" s="77" t="s">
        <v>1</v>
      </c>
      <c r="Z246" s="77" t="s">
        <v>1</v>
      </c>
      <c r="AA246" s="77" t="s">
        <v>1</v>
      </c>
      <c r="AB246" s="73" t="s">
        <v>2280</v>
      </c>
      <c r="AC246" s="73"/>
      <c r="AD246" s="73"/>
      <c r="AE246" s="73"/>
      <c r="AF246" s="63"/>
      <c r="AG246" s="58"/>
      <c r="AH246" s="73"/>
    </row>
    <row r="247" spans="1:34" s="12" customFormat="1" x14ac:dyDescent="0.2">
      <c r="A247" s="73"/>
      <c r="B247" s="73" t="s">
        <v>302</v>
      </c>
      <c r="C247" s="74" t="s">
        <v>1691</v>
      </c>
      <c r="D247" s="75">
        <v>60</v>
      </c>
      <c r="E247" s="73" t="s">
        <v>5</v>
      </c>
      <c r="F247" s="75">
        <v>10</v>
      </c>
      <c r="G247" s="75"/>
      <c r="H247" s="78">
        <v>44637</v>
      </c>
      <c r="I247" s="73" t="s">
        <v>2940</v>
      </c>
      <c r="J247" s="73" t="s">
        <v>2939</v>
      </c>
      <c r="K247" s="73" t="s">
        <v>2048</v>
      </c>
      <c r="L247" s="73" t="s">
        <v>2938</v>
      </c>
      <c r="M247" s="73">
        <v>2014</v>
      </c>
      <c r="N247" s="73"/>
      <c r="O247" s="73" t="s">
        <v>2937</v>
      </c>
      <c r="P247" s="77" t="s">
        <v>4</v>
      </c>
      <c r="Q247" s="77">
        <v>4.5</v>
      </c>
      <c r="R247" s="77" t="s">
        <v>2936</v>
      </c>
      <c r="S247" s="77" t="s">
        <v>4</v>
      </c>
      <c r="T247" s="77">
        <v>1.8</v>
      </c>
      <c r="U247" s="77" t="s">
        <v>2935</v>
      </c>
      <c r="V247" s="77" t="s">
        <v>1</v>
      </c>
      <c r="W247" s="77" t="s">
        <v>1</v>
      </c>
      <c r="X247" s="77" t="s">
        <v>1</v>
      </c>
      <c r="Y247" s="77" t="s">
        <v>1</v>
      </c>
      <c r="Z247" s="77" t="s">
        <v>1</v>
      </c>
      <c r="AA247" s="77" t="s">
        <v>1</v>
      </c>
      <c r="AB247" s="73" t="s">
        <v>2051</v>
      </c>
      <c r="AC247" s="73"/>
      <c r="AD247" s="73"/>
      <c r="AE247" s="73"/>
      <c r="AF247" s="63"/>
      <c r="AG247" s="58"/>
      <c r="AH247" s="73"/>
    </row>
    <row r="248" spans="1:34" s="184" customFormat="1" x14ac:dyDescent="0.2">
      <c r="A248" s="73"/>
      <c r="B248" s="73" t="s">
        <v>2052</v>
      </c>
      <c r="C248" s="74" t="s">
        <v>1691</v>
      </c>
      <c r="D248" s="75">
        <v>50</v>
      </c>
      <c r="E248" s="73" t="s">
        <v>5</v>
      </c>
      <c r="F248" s="75">
        <v>25</v>
      </c>
      <c r="G248" s="75">
        <f>F248+Z248</f>
        <v>30</v>
      </c>
      <c r="H248" s="78">
        <v>44594</v>
      </c>
      <c r="I248" s="135" t="s">
        <v>6317</v>
      </c>
      <c r="J248" s="135" t="s">
        <v>6315</v>
      </c>
      <c r="K248" s="135" t="s">
        <v>2103</v>
      </c>
      <c r="L248" s="135" t="s">
        <v>2082</v>
      </c>
      <c r="M248" s="84">
        <v>42887</v>
      </c>
      <c r="N248" s="73"/>
      <c r="O248" s="135" t="s">
        <v>6318</v>
      </c>
      <c r="P248" s="140" t="s">
        <v>4</v>
      </c>
      <c r="Q248" s="140" t="s">
        <v>1</v>
      </c>
      <c r="R248" s="140" t="s">
        <v>6324</v>
      </c>
      <c r="S248" s="153" t="s">
        <v>4</v>
      </c>
      <c r="T248" s="153" t="s">
        <v>1</v>
      </c>
      <c r="U248" s="140" t="s">
        <v>6325</v>
      </c>
      <c r="V248" s="140" t="s">
        <v>278</v>
      </c>
      <c r="W248" s="153" t="s">
        <v>1</v>
      </c>
      <c r="X248" s="140" t="s">
        <v>6326</v>
      </c>
      <c r="Y248" s="140" t="s">
        <v>4</v>
      </c>
      <c r="Z248" s="77">
        <v>5</v>
      </c>
      <c r="AA248" s="140" t="s">
        <v>6327</v>
      </c>
      <c r="AB248" s="73" t="s">
        <v>2051</v>
      </c>
      <c r="AC248" s="73"/>
      <c r="AD248" s="73"/>
      <c r="AE248" s="25" t="s">
        <v>2050</v>
      </c>
      <c r="AF248" s="64"/>
      <c r="AG248" s="59"/>
      <c r="AH248" s="73"/>
    </row>
    <row r="249" spans="1:34" s="184" customFormat="1" x14ac:dyDescent="0.2">
      <c r="A249" s="73"/>
      <c r="B249" s="73" t="s">
        <v>2934</v>
      </c>
      <c r="C249" s="74" t="s">
        <v>1691</v>
      </c>
      <c r="D249" s="75">
        <v>50</v>
      </c>
      <c r="E249" s="73" t="s">
        <v>5</v>
      </c>
      <c r="F249" s="75">
        <v>20.9</v>
      </c>
      <c r="G249" s="75"/>
      <c r="H249" s="78">
        <v>44411</v>
      </c>
      <c r="I249" s="73" t="s">
        <v>2933</v>
      </c>
      <c r="J249" s="73" t="s">
        <v>2932</v>
      </c>
      <c r="K249" s="73" t="s">
        <v>2048</v>
      </c>
      <c r="L249" s="73" t="s">
        <v>2931</v>
      </c>
      <c r="M249" s="73">
        <v>2018</v>
      </c>
      <c r="N249" s="73"/>
      <c r="O249" s="73" t="s">
        <v>2930</v>
      </c>
      <c r="P249" s="77" t="s">
        <v>4</v>
      </c>
      <c r="Q249" s="77">
        <v>1.5</v>
      </c>
      <c r="R249" s="77" t="s">
        <v>2929</v>
      </c>
      <c r="S249" s="77" t="s">
        <v>1</v>
      </c>
      <c r="T249" s="77" t="s">
        <v>1</v>
      </c>
      <c r="U249" s="77" t="s">
        <v>1</v>
      </c>
      <c r="V249" s="77" t="s">
        <v>1</v>
      </c>
      <c r="W249" s="77" t="s">
        <v>1</v>
      </c>
      <c r="X249" s="77" t="s">
        <v>1</v>
      </c>
      <c r="Y249" s="77" t="s">
        <v>1</v>
      </c>
      <c r="Z249" s="77" t="s">
        <v>1</v>
      </c>
      <c r="AA249" s="77" t="s">
        <v>1</v>
      </c>
      <c r="AB249" s="73" t="s">
        <v>2201</v>
      </c>
      <c r="AC249" s="73"/>
      <c r="AD249" s="73"/>
      <c r="AE249" s="73"/>
      <c r="AF249" s="63"/>
      <c r="AG249" s="58"/>
      <c r="AH249" s="73"/>
    </row>
    <row r="250" spans="1:34" s="184" customFormat="1" x14ac:dyDescent="0.2">
      <c r="A250" s="73"/>
      <c r="B250" s="73" t="s">
        <v>1094</v>
      </c>
      <c r="C250" s="74" t="s">
        <v>1691</v>
      </c>
      <c r="D250" s="75">
        <v>50</v>
      </c>
      <c r="E250" s="73" t="s">
        <v>4</v>
      </c>
      <c r="F250" s="15">
        <v>18.5</v>
      </c>
      <c r="G250" s="15"/>
      <c r="H250" s="78">
        <v>45050</v>
      </c>
      <c r="I250" s="73" t="s">
        <v>2928</v>
      </c>
      <c r="J250" s="73" t="s">
        <v>2927</v>
      </c>
      <c r="K250" s="73" t="s">
        <v>2048</v>
      </c>
      <c r="L250" s="73" t="s">
        <v>2059</v>
      </c>
      <c r="M250" s="73">
        <v>2023</v>
      </c>
      <c r="N250" s="73"/>
      <c r="O250" s="73" t="s">
        <v>2926</v>
      </c>
      <c r="P250" s="77" t="s">
        <v>1</v>
      </c>
      <c r="Q250" s="77" t="s">
        <v>1</v>
      </c>
      <c r="R250" s="77" t="s">
        <v>1</v>
      </c>
      <c r="S250" s="77" t="s">
        <v>1</v>
      </c>
      <c r="T250" s="77" t="s">
        <v>1</v>
      </c>
      <c r="U250" s="77" t="s">
        <v>1</v>
      </c>
      <c r="V250" s="77" t="s">
        <v>1</v>
      </c>
      <c r="W250" s="77" t="s">
        <v>1</v>
      </c>
      <c r="X250" s="77" t="s">
        <v>1</v>
      </c>
      <c r="Y250" s="77" t="s">
        <v>1</v>
      </c>
      <c r="Z250" s="77" t="s">
        <v>1</v>
      </c>
      <c r="AA250" s="77" t="s">
        <v>1</v>
      </c>
      <c r="AB250" s="73" t="s">
        <v>2365</v>
      </c>
      <c r="AC250" s="73"/>
      <c r="AD250" s="73"/>
      <c r="AE250" s="73"/>
      <c r="AF250" s="63"/>
      <c r="AG250" s="58"/>
      <c r="AH250" s="73"/>
    </row>
    <row r="251" spans="1:34" s="184" customFormat="1" x14ac:dyDescent="0.2">
      <c r="A251" s="73"/>
      <c r="B251" s="73" t="s">
        <v>2028</v>
      </c>
      <c r="C251" s="74" t="s">
        <v>1691</v>
      </c>
      <c r="D251" s="75">
        <v>50</v>
      </c>
      <c r="E251" s="73" t="s">
        <v>5</v>
      </c>
      <c r="F251" s="75">
        <v>18</v>
      </c>
      <c r="G251" s="75"/>
      <c r="H251" s="78">
        <v>44866</v>
      </c>
      <c r="I251" s="73" t="s">
        <v>4379</v>
      </c>
      <c r="J251" s="73" t="s">
        <v>4378</v>
      </c>
      <c r="K251" s="73" t="s">
        <v>2048</v>
      </c>
      <c r="L251" s="73" t="s">
        <v>2059</v>
      </c>
      <c r="M251" s="73">
        <v>2021</v>
      </c>
      <c r="N251" s="73"/>
      <c r="O251" s="73" t="s">
        <v>4380</v>
      </c>
      <c r="P251" s="77" t="s">
        <v>4</v>
      </c>
      <c r="Q251" s="77">
        <v>5.0999999999999996</v>
      </c>
      <c r="R251" s="77" t="s">
        <v>4382</v>
      </c>
      <c r="S251" s="77" t="s">
        <v>1</v>
      </c>
      <c r="T251" s="77" t="s">
        <v>1</v>
      </c>
      <c r="U251" s="77" t="s">
        <v>1</v>
      </c>
      <c r="V251" s="77" t="s">
        <v>1</v>
      </c>
      <c r="W251" s="77" t="s">
        <v>1</v>
      </c>
      <c r="X251" s="77" t="s">
        <v>1</v>
      </c>
      <c r="Y251" s="77" t="s">
        <v>1</v>
      </c>
      <c r="Z251" s="77" t="s">
        <v>1</v>
      </c>
      <c r="AA251" s="77" t="s">
        <v>1</v>
      </c>
      <c r="AB251" s="73" t="s">
        <v>2051</v>
      </c>
      <c r="AC251" s="73"/>
      <c r="AD251" s="73"/>
      <c r="AE251" s="25" t="s">
        <v>4377</v>
      </c>
      <c r="AF251" s="64"/>
      <c r="AG251" s="59"/>
      <c r="AH251" s="73"/>
    </row>
    <row r="252" spans="1:34" s="184" customFormat="1" x14ac:dyDescent="0.2">
      <c r="A252" s="73"/>
      <c r="B252" s="73" t="s">
        <v>465</v>
      </c>
      <c r="C252" s="74" t="s">
        <v>1691</v>
      </c>
      <c r="D252" s="75">
        <v>50</v>
      </c>
      <c r="E252" s="73" t="s">
        <v>5</v>
      </c>
      <c r="F252" s="75">
        <v>15.5</v>
      </c>
      <c r="G252" s="75"/>
      <c r="H252" s="78">
        <v>44727</v>
      </c>
      <c r="I252" s="73" t="s">
        <v>2925</v>
      </c>
      <c r="J252" s="73" t="s">
        <v>2924</v>
      </c>
      <c r="K252" s="73" t="s">
        <v>2048</v>
      </c>
      <c r="L252" s="73" t="s">
        <v>2240</v>
      </c>
      <c r="M252" s="73">
        <v>2013</v>
      </c>
      <c r="N252" s="73"/>
      <c r="O252" s="73" t="s">
        <v>2923</v>
      </c>
      <c r="P252" s="77" t="s">
        <v>5</v>
      </c>
      <c r="Q252" s="77">
        <v>12</v>
      </c>
      <c r="R252" s="83" t="s">
        <v>2922</v>
      </c>
      <c r="S252" s="77" t="s">
        <v>4</v>
      </c>
      <c r="T252" s="77">
        <v>2</v>
      </c>
      <c r="U252" s="77" t="s">
        <v>1097</v>
      </c>
      <c r="V252" s="77" t="s">
        <v>1</v>
      </c>
      <c r="W252" s="77" t="s">
        <v>1</v>
      </c>
      <c r="X252" s="77" t="s">
        <v>1</v>
      </c>
      <c r="Y252" s="77" t="s">
        <v>1</v>
      </c>
      <c r="Z252" s="77" t="s">
        <v>1</v>
      </c>
      <c r="AA252" s="77" t="s">
        <v>1</v>
      </c>
      <c r="AB252" s="73" t="s">
        <v>2081</v>
      </c>
      <c r="AC252" s="73"/>
      <c r="AD252" s="73"/>
      <c r="AE252" s="73"/>
      <c r="AF252" s="63"/>
      <c r="AG252" s="58"/>
      <c r="AH252" s="73"/>
    </row>
    <row r="253" spans="1:34" s="184" customFormat="1" x14ac:dyDescent="0.2">
      <c r="A253" s="73"/>
      <c r="B253" s="73" t="s">
        <v>355</v>
      </c>
      <c r="C253" s="74" t="s">
        <v>1691</v>
      </c>
      <c r="D253" s="75">
        <v>50</v>
      </c>
      <c r="E253" s="73" t="s">
        <v>5</v>
      </c>
      <c r="F253" s="75">
        <v>16</v>
      </c>
      <c r="G253" s="75"/>
      <c r="H253" s="78">
        <v>44663</v>
      </c>
      <c r="I253" s="73" t="s">
        <v>2921</v>
      </c>
      <c r="J253" s="73" t="s">
        <v>2920</v>
      </c>
      <c r="K253" s="73" t="s">
        <v>2048</v>
      </c>
      <c r="L253" s="73" t="s">
        <v>2229</v>
      </c>
      <c r="M253" s="73">
        <v>2019</v>
      </c>
      <c r="N253" s="73"/>
      <c r="O253" s="73" t="s">
        <v>2919</v>
      </c>
      <c r="P253" s="77" t="s">
        <v>4</v>
      </c>
      <c r="Q253" s="77">
        <v>12</v>
      </c>
      <c r="R253" s="77" t="s">
        <v>2918</v>
      </c>
      <c r="S253" s="77" t="s">
        <v>1</v>
      </c>
      <c r="T253" s="77" t="s">
        <v>1</v>
      </c>
      <c r="U253" s="77" t="s">
        <v>1</v>
      </c>
      <c r="V253" s="77" t="s">
        <v>1</v>
      </c>
      <c r="W253" s="77" t="s">
        <v>1</v>
      </c>
      <c r="X253" s="77" t="s">
        <v>1</v>
      </c>
      <c r="Y253" s="77" t="s">
        <v>1</v>
      </c>
      <c r="Z253" s="77" t="s">
        <v>1</v>
      </c>
      <c r="AA253" s="77" t="s">
        <v>1</v>
      </c>
      <c r="AB253" s="73" t="s">
        <v>2081</v>
      </c>
      <c r="AC253" s="73"/>
      <c r="AD253" s="73"/>
      <c r="AE253" s="73"/>
      <c r="AF253" s="63"/>
      <c r="AG253" s="58"/>
      <c r="AH253" s="73"/>
    </row>
    <row r="254" spans="1:34" s="184" customFormat="1" x14ac:dyDescent="0.2">
      <c r="B254" s="184" t="s">
        <v>2021</v>
      </c>
      <c r="C254" s="193" t="s">
        <v>1691</v>
      </c>
      <c r="D254" s="186">
        <v>50</v>
      </c>
      <c r="E254" s="184" t="s">
        <v>5</v>
      </c>
      <c r="F254" s="186">
        <v>16</v>
      </c>
      <c r="G254" s="186" t="e">
        <f>F254+Companies!Q240</f>
        <v>#VALUE!</v>
      </c>
      <c r="H254" s="194">
        <v>44966</v>
      </c>
      <c r="I254" s="184" t="s">
        <v>7071</v>
      </c>
      <c r="J254" s="184" t="s">
        <v>7069</v>
      </c>
      <c r="K254" s="184" t="s">
        <v>2048</v>
      </c>
      <c r="L254" s="184" t="s">
        <v>2268</v>
      </c>
      <c r="M254" s="184">
        <v>2020</v>
      </c>
      <c r="O254" s="184" t="s">
        <v>7070</v>
      </c>
      <c r="P254" s="187" t="s">
        <v>4</v>
      </c>
      <c r="Q254" s="187">
        <v>4.8</v>
      </c>
      <c r="R254" s="187" t="s">
        <v>7072</v>
      </c>
      <c r="S254" s="187" t="s">
        <v>1</v>
      </c>
      <c r="T254" s="187" t="s">
        <v>1</v>
      </c>
      <c r="U254" s="187" t="s">
        <v>1</v>
      </c>
      <c r="V254" s="187" t="s">
        <v>1</v>
      </c>
      <c r="W254" s="187" t="s">
        <v>1</v>
      </c>
      <c r="X254" s="187" t="s">
        <v>1</v>
      </c>
      <c r="Y254" s="187" t="s">
        <v>1</v>
      </c>
      <c r="Z254" s="187" t="s">
        <v>1</v>
      </c>
      <c r="AA254" s="187" t="s">
        <v>1</v>
      </c>
      <c r="AB254" s="184" t="s">
        <v>6627</v>
      </c>
      <c r="AC254" s="184" t="s">
        <v>6630</v>
      </c>
      <c r="AD254" s="184" t="s">
        <v>2365</v>
      </c>
      <c r="AE254" s="25" t="s">
        <v>7068</v>
      </c>
      <c r="AF254" s="63"/>
      <c r="AG254" s="58"/>
    </row>
    <row r="255" spans="1:34" s="184" customFormat="1" x14ac:dyDescent="0.2">
      <c r="A255" s="73"/>
      <c r="B255" s="73" t="s">
        <v>298</v>
      </c>
      <c r="C255" s="74" t="s">
        <v>1691</v>
      </c>
      <c r="D255" s="75">
        <v>50</v>
      </c>
      <c r="E255" s="73" t="s">
        <v>5</v>
      </c>
      <c r="F255" s="75">
        <v>15</v>
      </c>
      <c r="G255" s="75"/>
      <c r="H255" s="78">
        <v>44314</v>
      </c>
      <c r="I255" s="73" t="s">
        <v>2917</v>
      </c>
      <c r="J255" s="73" t="s">
        <v>2916</v>
      </c>
      <c r="K255" s="73" t="s">
        <v>2048</v>
      </c>
      <c r="L255" s="73" t="s">
        <v>2915</v>
      </c>
      <c r="M255" s="73">
        <v>2017</v>
      </c>
      <c r="N255" s="73"/>
      <c r="O255" s="73" t="s">
        <v>2914</v>
      </c>
      <c r="P255" s="77" t="s">
        <v>278</v>
      </c>
      <c r="Q255" s="77" t="s">
        <v>1</v>
      </c>
      <c r="R255" s="77" t="s">
        <v>2913</v>
      </c>
      <c r="S255" s="77" t="s">
        <v>1</v>
      </c>
      <c r="T255" s="77" t="s">
        <v>1</v>
      </c>
      <c r="U255" s="77" t="s">
        <v>1</v>
      </c>
      <c r="V255" s="77" t="s">
        <v>1</v>
      </c>
      <c r="W255" s="77" t="s">
        <v>1</v>
      </c>
      <c r="X255" s="77" t="s">
        <v>1</v>
      </c>
      <c r="Y255" s="77" t="s">
        <v>1</v>
      </c>
      <c r="Z255" s="77" t="s">
        <v>1</v>
      </c>
      <c r="AA255" s="77" t="s">
        <v>1</v>
      </c>
      <c r="AB255" s="73" t="s">
        <v>2912</v>
      </c>
      <c r="AC255" s="73"/>
      <c r="AD255" s="73"/>
      <c r="AE255" s="73"/>
      <c r="AF255" s="63"/>
      <c r="AG255" s="58"/>
      <c r="AH255" s="73"/>
    </row>
    <row r="256" spans="1:34" x14ac:dyDescent="0.2">
      <c r="B256" s="12" t="s">
        <v>2911</v>
      </c>
      <c r="C256" s="29" t="s">
        <v>1691</v>
      </c>
      <c r="D256" s="15">
        <v>50</v>
      </c>
      <c r="E256" s="12" t="s">
        <v>5</v>
      </c>
      <c r="F256" s="15">
        <v>11</v>
      </c>
      <c r="G256" s="15"/>
      <c r="H256" s="14">
        <v>45070</v>
      </c>
      <c r="I256" s="12" t="s">
        <v>2098</v>
      </c>
      <c r="J256" s="12"/>
      <c r="K256" s="32" t="s">
        <v>2048</v>
      </c>
      <c r="L256" s="32" t="s">
        <v>2459</v>
      </c>
      <c r="M256" s="12">
        <v>2018</v>
      </c>
      <c r="N256" s="12"/>
      <c r="O256" s="12" t="s">
        <v>2910</v>
      </c>
      <c r="P256" s="24" t="s">
        <v>4</v>
      </c>
      <c r="Q256" s="24" t="s">
        <v>1</v>
      </c>
      <c r="R256" s="24" t="s">
        <v>2909</v>
      </c>
      <c r="S256" s="24" t="s">
        <v>278</v>
      </c>
      <c r="T256" s="24" t="s">
        <v>1</v>
      </c>
      <c r="U256" s="24" t="s">
        <v>2908</v>
      </c>
      <c r="V256" s="77" t="s">
        <v>1</v>
      </c>
      <c r="W256" s="77" t="s">
        <v>1</v>
      </c>
      <c r="X256" s="77" t="s">
        <v>1</v>
      </c>
      <c r="Y256" s="77" t="s">
        <v>1</v>
      </c>
      <c r="Z256" s="77" t="s">
        <v>1</v>
      </c>
      <c r="AA256" s="77" t="s">
        <v>1</v>
      </c>
      <c r="AB256" s="12" t="s">
        <v>2907</v>
      </c>
      <c r="AC256" s="12"/>
      <c r="AD256" s="12"/>
      <c r="AE256" s="12"/>
      <c r="AF256" s="65"/>
      <c r="AG256" s="60"/>
      <c r="AH256" s="12"/>
    </row>
    <row r="257" spans="1:34" x14ac:dyDescent="0.2">
      <c r="B257" s="73" t="s">
        <v>682</v>
      </c>
      <c r="C257" s="74" t="s">
        <v>1691</v>
      </c>
      <c r="D257" s="75">
        <v>50</v>
      </c>
      <c r="E257" s="73" t="s">
        <v>5</v>
      </c>
      <c r="F257" s="75">
        <v>15</v>
      </c>
      <c r="H257" s="78">
        <v>44838</v>
      </c>
      <c r="I257" s="73" t="s">
        <v>2906</v>
      </c>
      <c r="J257" s="73" t="s">
        <v>2905</v>
      </c>
      <c r="K257" s="73" t="s">
        <v>2048</v>
      </c>
      <c r="L257" s="73" t="s">
        <v>2736</v>
      </c>
      <c r="M257" s="73">
        <v>2020</v>
      </c>
      <c r="O257" s="73" t="s">
        <v>2904</v>
      </c>
      <c r="P257" s="77" t="s">
        <v>1</v>
      </c>
      <c r="Q257" s="77" t="s">
        <v>1</v>
      </c>
      <c r="R257" s="77" t="s">
        <v>1</v>
      </c>
      <c r="S257" s="77" t="s">
        <v>1</v>
      </c>
      <c r="T257" s="77" t="s">
        <v>1</v>
      </c>
      <c r="U257" s="77" t="s">
        <v>1</v>
      </c>
      <c r="V257" s="77" t="s">
        <v>1</v>
      </c>
      <c r="W257" s="77" t="s">
        <v>1</v>
      </c>
      <c r="X257" s="77" t="s">
        <v>1</v>
      </c>
      <c r="Y257" s="77" t="s">
        <v>1</v>
      </c>
      <c r="Z257" s="77" t="s">
        <v>1</v>
      </c>
      <c r="AA257" s="77" t="s">
        <v>1</v>
      </c>
      <c r="AB257" s="73" t="s">
        <v>2903</v>
      </c>
    </row>
    <row r="258" spans="1:34" x14ac:dyDescent="0.2">
      <c r="B258" s="12" t="s">
        <v>716</v>
      </c>
      <c r="C258" s="29" t="s">
        <v>1691</v>
      </c>
      <c r="D258" s="15">
        <v>50</v>
      </c>
      <c r="E258" s="12" t="s">
        <v>5</v>
      </c>
      <c r="F258" s="15">
        <v>12.5</v>
      </c>
      <c r="G258" s="15"/>
      <c r="H258" s="14">
        <v>44784</v>
      </c>
      <c r="I258" s="12" t="s">
        <v>2902</v>
      </c>
      <c r="J258" s="12" t="s">
        <v>2901</v>
      </c>
      <c r="K258" s="12" t="s">
        <v>2048</v>
      </c>
      <c r="L258" s="12" t="s">
        <v>2065</v>
      </c>
      <c r="M258" s="31">
        <v>2018</v>
      </c>
      <c r="N258" s="12"/>
      <c r="O258" s="12" t="s">
        <v>2900</v>
      </c>
      <c r="P258" s="24" t="s">
        <v>5</v>
      </c>
      <c r="Q258" s="24">
        <v>10</v>
      </c>
      <c r="R258" s="24" t="s">
        <v>2899</v>
      </c>
      <c r="S258" s="24" t="s">
        <v>278</v>
      </c>
      <c r="T258" s="24" t="s">
        <v>1</v>
      </c>
      <c r="U258" s="24" t="s">
        <v>2898</v>
      </c>
      <c r="V258" s="24" t="s">
        <v>4</v>
      </c>
      <c r="W258" s="24" t="s">
        <v>1</v>
      </c>
      <c r="X258" s="24" t="s">
        <v>2897</v>
      </c>
      <c r="Y258" s="24" t="s">
        <v>1</v>
      </c>
      <c r="Z258" s="24" t="s">
        <v>1</v>
      </c>
      <c r="AA258" s="24" t="s">
        <v>1</v>
      </c>
      <c r="AB258" s="12" t="s">
        <v>2896</v>
      </c>
      <c r="AC258" s="12"/>
      <c r="AD258" s="12"/>
      <c r="AE258" s="12"/>
      <c r="AF258" s="65"/>
      <c r="AG258" s="60"/>
      <c r="AH258" s="12"/>
    </row>
    <row r="259" spans="1:34" s="12" customFormat="1" x14ac:dyDescent="0.2">
      <c r="A259" s="73"/>
      <c r="B259" s="12" t="s">
        <v>680</v>
      </c>
      <c r="C259" s="29" t="s">
        <v>1691</v>
      </c>
      <c r="D259" s="15">
        <v>50</v>
      </c>
      <c r="E259" s="12" t="s">
        <v>4</v>
      </c>
      <c r="F259" s="15">
        <v>5.3</v>
      </c>
      <c r="G259" s="15"/>
      <c r="H259" s="14">
        <v>45069</v>
      </c>
      <c r="I259" s="12" t="s">
        <v>2895</v>
      </c>
      <c r="J259" s="12" t="s">
        <v>2894</v>
      </c>
      <c r="K259" s="12" t="s">
        <v>2048</v>
      </c>
      <c r="L259" s="12" t="s">
        <v>2305</v>
      </c>
      <c r="M259" s="30">
        <v>44531</v>
      </c>
      <c r="O259" s="12" t="s">
        <v>2893</v>
      </c>
      <c r="P259" s="24" t="s">
        <v>278</v>
      </c>
      <c r="Q259" s="24" t="s">
        <v>1</v>
      </c>
      <c r="R259" s="24" t="s">
        <v>681</v>
      </c>
      <c r="S259" s="24" t="s">
        <v>1</v>
      </c>
      <c r="T259" s="24" t="s">
        <v>1</v>
      </c>
      <c r="U259" s="24" t="s">
        <v>1</v>
      </c>
      <c r="V259" s="24" t="s">
        <v>1</v>
      </c>
      <c r="W259" s="24" t="s">
        <v>1</v>
      </c>
      <c r="X259" s="24" t="s">
        <v>1</v>
      </c>
      <c r="Y259" s="24" t="s">
        <v>1</v>
      </c>
      <c r="Z259" s="24" t="s">
        <v>1</v>
      </c>
      <c r="AA259" s="24" t="s">
        <v>1</v>
      </c>
      <c r="AB259" s="12" t="s">
        <v>2892</v>
      </c>
      <c r="AF259" s="65"/>
      <c r="AG259" s="60"/>
    </row>
    <row r="260" spans="1:34" x14ac:dyDescent="0.2">
      <c r="A260" s="184"/>
      <c r="B260" s="184" t="s">
        <v>678</v>
      </c>
      <c r="C260" s="193" t="s">
        <v>1691</v>
      </c>
      <c r="D260" s="186">
        <v>50</v>
      </c>
      <c r="E260" s="184" t="s">
        <v>4</v>
      </c>
      <c r="F260" s="186">
        <v>15</v>
      </c>
      <c r="G260" s="186"/>
      <c r="H260" s="194">
        <v>44691</v>
      </c>
      <c r="I260" s="184" t="s">
        <v>2876</v>
      </c>
      <c r="J260" s="184" t="s">
        <v>2891</v>
      </c>
      <c r="K260" s="184" t="s">
        <v>2048</v>
      </c>
      <c r="L260" s="184" t="s">
        <v>2633</v>
      </c>
      <c r="M260" s="200">
        <v>44362</v>
      </c>
      <c r="N260" s="184"/>
      <c r="O260" s="184" t="s">
        <v>2890</v>
      </c>
      <c r="P260" s="187" t="s">
        <v>1</v>
      </c>
      <c r="Q260" s="187" t="s">
        <v>1</v>
      </c>
      <c r="R260" s="187" t="s">
        <v>1</v>
      </c>
      <c r="S260" s="187" t="s">
        <v>1</v>
      </c>
      <c r="T260" s="187" t="s">
        <v>1</v>
      </c>
      <c r="U260" s="187" t="s">
        <v>1</v>
      </c>
      <c r="V260" s="187" t="s">
        <v>1</v>
      </c>
      <c r="W260" s="187" t="s">
        <v>1</v>
      </c>
      <c r="X260" s="187" t="s">
        <v>1</v>
      </c>
      <c r="Y260" s="187" t="s">
        <v>1</v>
      </c>
      <c r="Z260" s="187" t="s">
        <v>1</v>
      </c>
      <c r="AA260" s="187" t="s">
        <v>1</v>
      </c>
      <c r="AB260" s="184" t="s">
        <v>2155</v>
      </c>
      <c r="AC260" s="184"/>
      <c r="AD260" s="184"/>
      <c r="AE260" s="184"/>
      <c r="AH260" s="184"/>
    </row>
    <row r="261" spans="1:34" x14ac:dyDescent="0.2">
      <c r="A261" s="184"/>
      <c r="B261" s="184" t="s">
        <v>676</v>
      </c>
      <c r="C261" s="193" t="s">
        <v>1691</v>
      </c>
      <c r="D261" s="186">
        <v>50</v>
      </c>
      <c r="E261" s="184" t="s">
        <v>5</v>
      </c>
      <c r="F261" s="186">
        <v>15</v>
      </c>
      <c r="G261" s="186"/>
      <c r="H261" s="194">
        <v>44482</v>
      </c>
      <c r="I261" s="184" t="s">
        <v>2889</v>
      </c>
      <c r="J261" s="184" t="s">
        <v>2888</v>
      </c>
      <c r="K261" s="184" t="s">
        <v>2048</v>
      </c>
      <c r="L261" s="184" t="s">
        <v>2059</v>
      </c>
      <c r="M261" s="184">
        <v>2020</v>
      </c>
      <c r="N261" s="184"/>
      <c r="O261" s="184" t="s">
        <v>2887</v>
      </c>
      <c r="P261" s="187" t="s">
        <v>4</v>
      </c>
      <c r="Q261" s="187">
        <v>4.5</v>
      </c>
      <c r="R261" s="187" t="s">
        <v>2886</v>
      </c>
      <c r="S261" s="187" t="s">
        <v>278</v>
      </c>
      <c r="T261" s="187">
        <v>0.125</v>
      </c>
      <c r="U261" s="187" t="s">
        <v>1068</v>
      </c>
      <c r="V261" s="187" t="s">
        <v>1</v>
      </c>
      <c r="W261" s="187" t="s">
        <v>1</v>
      </c>
      <c r="X261" s="187" t="s">
        <v>1</v>
      </c>
      <c r="Y261" s="187" t="s">
        <v>1</v>
      </c>
      <c r="Z261" s="187" t="s">
        <v>1</v>
      </c>
      <c r="AA261" s="187" t="s">
        <v>1</v>
      </c>
      <c r="AB261" s="184" t="s">
        <v>2097</v>
      </c>
      <c r="AC261" s="184"/>
      <c r="AD261" s="184"/>
      <c r="AE261" s="184"/>
      <c r="AH261" s="184"/>
    </row>
    <row r="262" spans="1:34" x14ac:dyDescent="0.2">
      <c r="A262" s="184"/>
      <c r="B262" s="184" t="s">
        <v>672</v>
      </c>
      <c r="C262" s="193" t="s">
        <v>1691</v>
      </c>
      <c r="D262" s="186">
        <v>50</v>
      </c>
      <c r="E262" s="184" t="s">
        <v>5</v>
      </c>
      <c r="F262" s="186">
        <v>14.5</v>
      </c>
      <c r="G262" s="186"/>
      <c r="H262" s="194">
        <v>44389</v>
      </c>
      <c r="I262" s="184" t="s">
        <v>2885</v>
      </c>
      <c r="J262" s="184" t="s">
        <v>2884</v>
      </c>
      <c r="K262" s="184" t="s">
        <v>2048</v>
      </c>
      <c r="L262" s="184" t="s">
        <v>2059</v>
      </c>
      <c r="M262" s="184">
        <v>2019</v>
      </c>
      <c r="N262" s="184"/>
      <c r="O262" s="184" t="s">
        <v>2883</v>
      </c>
      <c r="P262" s="187" t="s">
        <v>4</v>
      </c>
      <c r="Q262" s="187">
        <v>3</v>
      </c>
      <c r="R262" s="187" t="s">
        <v>2882</v>
      </c>
      <c r="S262" s="187" t="s">
        <v>278</v>
      </c>
      <c r="T262" s="187" t="s">
        <v>1</v>
      </c>
      <c r="U262" s="187" t="s">
        <v>2881</v>
      </c>
      <c r="V262" s="187" t="s">
        <v>1</v>
      </c>
      <c r="W262" s="187" t="s">
        <v>1</v>
      </c>
      <c r="X262" s="187" t="s">
        <v>1</v>
      </c>
      <c r="Y262" s="187" t="s">
        <v>1</v>
      </c>
      <c r="Z262" s="187" t="s">
        <v>1</v>
      </c>
      <c r="AA262" s="187" t="s">
        <v>1</v>
      </c>
      <c r="AB262" s="184" t="s">
        <v>2365</v>
      </c>
      <c r="AC262" s="184"/>
      <c r="AD262" s="184"/>
      <c r="AE262" s="184"/>
      <c r="AH262" s="184"/>
    </row>
    <row r="263" spans="1:34" x14ac:dyDescent="0.2">
      <c r="A263" s="184"/>
      <c r="B263" s="184" t="s">
        <v>776</v>
      </c>
      <c r="C263" s="193" t="s">
        <v>1691</v>
      </c>
      <c r="D263" s="186">
        <v>50</v>
      </c>
      <c r="E263" s="184" t="s">
        <v>4</v>
      </c>
      <c r="F263" s="186">
        <v>15</v>
      </c>
      <c r="G263" s="186"/>
      <c r="H263" s="194">
        <v>44999</v>
      </c>
      <c r="I263" s="184" t="s">
        <v>2880</v>
      </c>
      <c r="J263" s="184" t="s">
        <v>2879</v>
      </c>
      <c r="K263" s="184" t="s">
        <v>2048</v>
      </c>
      <c r="L263" s="184" t="s">
        <v>2059</v>
      </c>
      <c r="M263" s="184">
        <v>2021</v>
      </c>
      <c r="N263" s="184" t="s">
        <v>2878</v>
      </c>
      <c r="O263" s="184" t="s">
        <v>1</v>
      </c>
      <c r="P263" s="187" t="s">
        <v>278</v>
      </c>
      <c r="Q263" s="187">
        <v>4.5</v>
      </c>
      <c r="R263" s="187" t="s">
        <v>2877</v>
      </c>
      <c r="S263" s="187" t="s">
        <v>1</v>
      </c>
      <c r="T263" s="187" t="s">
        <v>1</v>
      </c>
      <c r="U263" s="187" t="s">
        <v>1</v>
      </c>
      <c r="V263" s="187" t="s">
        <v>1</v>
      </c>
      <c r="W263" s="187" t="s">
        <v>1</v>
      </c>
      <c r="X263" s="187" t="s">
        <v>1</v>
      </c>
      <c r="Y263" s="187" t="s">
        <v>1</v>
      </c>
      <c r="Z263" s="187" t="s">
        <v>1</v>
      </c>
      <c r="AA263" s="187" t="s">
        <v>1</v>
      </c>
      <c r="AB263" s="184" t="s">
        <v>2365</v>
      </c>
      <c r="AC263" s="184"/>
      <c r="AD263" s="184"/>
      <c r="AE263" s="184"/>
      <c r="AH263" s="184"/>
    </row>
    <row r="264" spans="1:34" x14ac:dyDescent="0.2">
      <c r="A264" s="184"/>
      <c r="B264" s="184" t="s">
        <v>669</v>
      </c>
      <c r="C264" s="193" t="s">
        <v>1691</v>
      </c>
      <c r="D264" s="186">
        <v>50</v>
      </c>
      <c r="E264" s="184" t="s">
        <v>5</v>
      </c>
      <c r="F264" s="186">
        <v>14</v>
      </c>
      <c r="G264" s="186"/>
      <c r="H264" s="194">
        <v>44705</v>
      </c>
      <c r="I264" s="184" t="s">
        <v>2876</v>
      </c>
      <c r="J264" s="184" t="s">
        <v>2875</v>
      </c>
      <c r="K264" s="184" t="s">
        <v>2048</v>
      </c>
      <c r="L264" s="184" t="s">
        <v>2633</v>
      </c>
      <c r="M264" s="184">
        <v>2019</v>
      </c>
      <c r="N264" s="184"/>
      <c r="O264" s="184" t="s">
        <v>2874</v>
      </c>
      <c r="P264" s="187" t="s">
        <v>4</v>
      </c>
      <c r="Q264" s="187">
        <v>5</v>
      </c>
      <c r="R264" s="187" t="s">
        <v>2873</v>
      </c>
      <c r="S264" s="187" t="s">
        <v>278</v>
      </c>
      <c r="T264" s="187">
        <v>0.62</v>
      </c>
      <c r="U264" s="187" t="s">
        <v>2872</v>
      </c>
      <c r="V264" s="187" t="s">
        <v>1</v>
      </c>
      <c r="W264" s="187" t="s">
        <v>1</v>
      </c>
      <c r="X264" s="187" t="s">
        <v>1</v>
      </c>
      <c r="Y264" s="187" t="s">
        <v>1</v>
      </c>
      <c r="Z264" s="187" t="s">
        <v>1</v>
      </c>
      <c r="AA264" s="187" t="s">
        <v>1</v>
      </c>
      <c r="AB264" s="184" t="s">
        <v>2693</v>
      </c>
      <c r="AC264" s="184"/>
      <c r="AD264" s="184"/>
      <c r="AE264" s="184"/>
      <c r="AH264" s="184"/>
    </row>
    <row r="265" spans="1:34" x14ac:dyDescent="0.2">
      <c r="A265" s="184"/>
      <c r="B265" s="184" t="s">
        <v>2871</v>
      </c>
      <c r="C265" s="193" t="s">
        <v>1691</v>
      </c>
      <c r="D265" s="186">
        <v>50</v>
      </c>
      <c r="E265" s="184" t="s">
        <v>5</v>
      </c>
      <c r="F265" s="186">
        <v>13.6</v>
      </c>
      <c r="G265" s="186"/>
      <c r="H265" s="194">
        <v>44134</v>
      </c>
      <c r="I265" s="184" t="s">
        <v>2870</v>
      </c>
      <c r="J265" s="184" t="s">
        <v>2869</v>
      </c>
      <c r="K265" s="184" t="s">
        <v>2048</v>
      </c>
      <c r="L265" s="184" t="s">
        <v>2853</v>
      </c>
      <c r="M265" s="184">
        <v>2016</v>
      </c>
      <c r="N265" s="184"/>
      <c r="O265" s="184" t="s">
        <v>2868</v>
      </c>
      <c r="P265" s="187" t="s">
        <v>5</v>
      </c>
      <c r="Q265" s="187">
        <v>6</v>
      </c>
      <c r="R265" s="187" t="s">
        <v>2867</v>
      </c>
      <c r="S265" s="187" t="s">
        <v>4</v>
      </c>
      <c r="T265" s="187">
        <v>5</v>
      </c>
      <c r="U265" s="187" t="s">
        <v>2867</v>
      </c>
      <c r="V265" s="187" t="s">
        <v>4</v>
      </c>
      <c r="W265" s="187">
        <v>3</v>
      </c>
      <c r="X265" s="187" t="s">
        <v>2866</v>
      </c>
      <c r="Y265" s="187" t="s">
        <v>4</v>
      </c>
      <c r="Z265" s="187">
        <v>2</v>
      </c>
      <c r="AA265" s="187" t="s">
        <v>2866</v>
      </c>
      <c r="AB265" s="184" t="s">
        <v>2209</v>
      </c>
      <c r="AC265" s="184"/>
      <c r="AD265" s="184"/>
      <c r="AE265" s="184"/>
      <c r="AH265" s="184"/>
    </row>
    <row r="266" spans="1:34" x14ac:dyDescent="0.2">
      <c r="A266" s="184"/>
      <c r="B266" s="184" t="s">
        <v>2865</v>
      </c>
      <c r="C266" s="193" t="s">
        <v>1691</v>
      </c>
      <c r="D266" s="186">
        <v>50</v>
      </c>
      <c r="E266" s="184" t="s">
        <v>4</v>
      </c>
      <c r="F266" s="186">
        <v>13.75</v>
      </c>
      <c r="G266" s="186"/>
      <c r="H266" s="194">
        <v>45014</v>
      </c>
      <c r="I266" s="184" t="s">
        <v>2864</v>
      </c>
      <c r="J266" s="184" t="s">
        <v>2863</v>
      </c>
      <c r="K266" s="184" t="s">
        <v>2572</v>
      </c>
      <c r="L266" s="184" t="s">
        <v>2862</v>
      </c>
      <c r="M266" s="184">
        <v>2021</v>
      </c>
      <c r="N266" s="184" t="s">
        <v>2861</v>
      </c>
      <c r="O266" s="184" t="s">
        <v>1</v>
      </c>
      <c r="P266" s="187" t="s">
        <v>4</v>
      </c>
      <c r="Q266" s="187">
        <v>5.4</v>
      </c>
      <c r="R266" s="187" t="s">
        <v>1</v>
      </c>
      <c r="S266" s="187" t="s">
        <v>1</v>
      </c>
      <c r="T266" s="187" t="s">
        <v>1</v>
      </c>
      <c r="U266" s="187" t="s">
        <v>1</v>
      </c>
      <c r="V266" s="187" t="s">
        <v>1</v>
      </c>
      <c r="W266" s="187" t="s">
        <v>1</v>
      </c>
      <c r="X266" s="187" t="s">
        <v>1</v>
      </c>
      <c r="Y266" s="187" t="s">
        <v>1</v>
      </c>
      <c r="Z266" s="187" t="s">
        <v>1</v>
      </c>
      <c r="AA266" s="187" t="s">
        <v>1</v>
      </c>
      <c r="AB266" s="184" t="s">
        <v>2097</v>
      </c>
      <c r="AC266" s="184"/>
      <c r="AD266" s="184"/>
      <c r="AE266" s="184"/>
      <c r="AH266" s="184"/>
    </row>
    <row r="267" spans="1:34" x14ac:dyDescent="0.2">
      <c r="A267" s="184"/>
      <c r="B267" s="184" t="s">
        <v>666</v>
      </c>
      <c r="C267" s="193" t="s">
        <v>1691</v>
      </c>
      <c r="D267" s="186">
        <v>50</v>
      </c>
      <c r="E267" s="184" t="s">
        <v>5</v>
      </c>
      <c r="F267" s="186">
        <v>12.7</v>
      </c>
      <c r="G267" s="186"/>
      <c r="H267" s="194">
        <v>44952</v>
      </c>
      <c r="I267" s="184" t="s">
        <v>2860</v>
      </c>
      <c r="J267" s="184" t="s">
        <v>2859</v>
      </c>
      <c r="K267" s="184" t="s">
        <v>2048</v>
      </c>
      <c r="L267" s="184" t="s">
        <v>2530</v>
      </c>
      <c r="M267" s="184">
        <v>2021</v>
      </c>
      <c r="N267" s="184"/>
      <c r="O267" s="184" t="s">
        <v>2858</v>
      </c>
      <c r="P267" s="187" t="s">
        <v>4</v>
      </c>
      <c r="Q267" s="187">
        <v>5</v>
      </c>
      <c r="R267" s="187" t="s">
        <v>667</v>
      </c>
      <c r="S267" s="187" t="s">
        <v>1</v>
      </c>
      <c r="T267" s="187" t="s">
        <v>1</v>
      </c>
      <c r="U267" s="187" t="s">
        <v>1</v>
      </c>
      <c r="V267" s="187" t="s">
        <v>1</v>
      </c>
      <c r="W267" s="187" t="s">
        <v>1</v>
      </c>
      <c r="X267" s="187" t="s">
        <v>1</v>
      </c>
      <c r="Y267" s="187" t="s">
        <v>1</v>
      </c>
      <c r="Z267" s="187" t="s">
        <v>1</v>
      </c>
      <c r="AA267" s="187" t="s">
        <v>1</v>
      </c>
      <c r="AB267" s="184" t="s">
        <v>2058</v>
      </c>
      <c r="AC267" s="184"/>
      <c r="AD267" s="184"/>
      <c r="AE267" s="184"/>
      <c r="AH267" s="184"/>
    </row>
    <row r="268" spans="1:34" s="184" customFormat="1" x14ac:dyDescent="0.2">
      <c r="A268" s="73"/>
      <c r="B268" s="12" t="s">
        <v>661</v>
      </c>
      <c r="C268" s="29" t="s">
        <v>1691</v>
      </c>
      <c r="D268" s="15">
        <v>50</v>
      </c>
      <c r="E268" s="12" t="s">
        <v>4</v>
      </c>
      <c r="F268" s="15">
        <v>13</v>
      </c>
      <c r="G268" s="15"/>
      <c r="H268" s="14">
        <v>44896</v>
      </c>
      <c r="I268" s="12" t="s">
        <v>2857</v>
      </c>
      <c r="J268" s="73" t="s">
        <v>2856</v>
      </c>
      <c r="K268" s="12" t="s">
        <v>2048</v>
      </c>
      <c r="L268" s="12" t="s">
        <v>2454</v>
      </c>
      <c r="M268" s="12">
        <v>2019</v>
      </c>
      <c r="N268" s="73"/>
      <c r="O268" s="73" t="s">
        <v>2855</v>
      </c>
      <c r="P268" s="77" t="s">
        <v>278</v>
      </c>
      <c r="Q268" s="77">
        <v>1</v>
      </c>
      <c r="R268" s="77" t="s">
        <v>1</v>
      </c>
      <c r="S268" s="77" t="s">
        <v>1</v>
      </c>
      <c r="T268" s="77" t="s">
        <v>1</v>
      </c>
      <c r="U268" s="77" t="s">
        <v>1</v>
      </c>
      <c r="V268" s="77" t="s">
        <v>1</v>
      </c>
      <c r="W268" s="77" t="s">
        <v>1</v>
      </c>
      <c r="X268" s="77" t="s">
        <v>1</v>
      </c>
      <c r="Y268" s="77" t="s">
        <v>1</v>
      </c>
      <c r="Z268" s="77" t="s">
        <v>1</v>
      </c>
      <c r="AA268" s="77" t="s">
        <v>1</v>
      </c>
      <c r="AB268" s="73" t="s">
        <v>2854</v>
      </c>
      <c r="AC268" s="73"/>
      <c r="AD268" s="73"/>
      <c r="AE268" s="73"/>
      <c r="AF268" s="63"/>
      <c r="AG268" s="58"/>
      <c r="AH268" s="73"/>
    </row>
    <row r="269" spans="1:34" s="184" customFormat="1" x14ac:dyDescent="0.2">
      <c r="A269" s="73"/>
      <c r="B269" s="73" t="s">
        <v>656</v>
      </c>
      <c r="C269" s="74" t="s">
        <v>1691</v>
      </c>
      <c r="D269" s="75">
        <v>50</v>
      </c>
      <c r="E269" s="73" t="s">
        <v>5</v>
      </c>
      <c r="F269" s="75">
        <v>12.6</v>
      </c>
      <c r="G269" s="75"/>
      <c r="H269" s="78">
        <v>44579</v>
      </c>
      <c r="I269" s="73" t="s">
        <v>2853</v>
      </c>
      <c r="J269" s="73" t="s">
        <v>2852</v>
      </c>
      <c r="K269" s="73" t="s">
        <v>2048</v>
      </c>
      <c r="L269" s="73" t="s">
        <v>2059</v>
      </c>
      <c r="M269" s="73">
        <v>2020</v>
      </c>
      <c r="N269" s="73"/>
      <c r="O269" s="73" t="s">
        <v>2851</v>
      </c>
      <c r="P269" s="77" t="s">
        <v>4</v>
      </c>
      <c r="Q269" s="77">
        <v>3</v>
      </c>
      <c r="R269" s="77" t="s">
        <v>2850</v>
      </c>
      <c r="S269" s="73" t="s">
        <v>1</v>
      </c>
      <c r="T269" s="73" t="s">
        <v>1</v>
      </c>
      <c r="U269" s="73" t="s">
        <v>1</v>
      </c>
      <c r="V269" s="73" t="s">
        <v>1</v>
      </c>
      <c r="W269" s="73" t="s">
        <v>1</v>
      </c>
      <c r="X269" s="73" t="s">
        <v>1</v>
      </c>
      <c r="Y269" s="73" t="s">
        <v>1</v>
      </c>
      <c r="Z269" s="73" t="s">
        <v>1</v>
      </c>
      <c r="AA269" s="73" t="s">
        <v>1</v>
      </c>
      <c r="AB269" s="73" t="s">
        <v>2365</v>
      </c>
      <c r="AC269" s="73"/>
      <c r="AD269" s="73"/>
      <c r="AE269" s="73"/>
      <c r="AF269" s="63"/>
      <c r="AG269" s="58"/>
      <c r="AH269" s="73"/>
    </row>
    <row r="270" spans="1:34" s="184" customFormat="1" x14ac:dyDescent="0.2">
      <c r="A270" s="73"/>
      <c r="B270" s="73" t="s">
        <v>688</v>
      </c>
      <c r="C270" s="74" t="s">
        <v>1691</v>
      </c>
      <c r="D270" s="75">
        <v>50</v>
      </c>
      <c r="E270" s="73" t="s">
        <v>5</v>
      </c>
      <c r="F270" s="75">
        <v>12.5</v>
      </c>
      <c r="G270" s="75"/>
      <c r="H270" s="78">
        <v>45005</v>
      </c>
      <c r="I270" s="73" t="s">
        <v>2849</v>
      </c>
      <c r="J270" s="73"/>
      <c r="K270" s="73" t="s">
        <v>2048</v>
      </c>
      <c r="L270" s="73" t="s">
        <v>2059</v>
      </c>
      <c r="M270" s="73">
        <v>2021</v>
      </c>
      <c r="N270" s="73"/>
      <c r="O270" s="73" t="s">
        <v>2848</v>
      </c>
      <c r="P270" s="77" t="s">
        <v>4</v>
      </c>
      <c r="Q270" s="77">
        <v>5</v>
      </c>
      <c r="R270" s="77" t="s">
        <v>698</v>
      </c>
      <c r="S270" s="77" t="s">
        <v>1</v>
      </c>
      <c r="T270" s="77" t="s">
        <v>1</v>
      </c>
      <c r="U270" s="77" t="s">
        <v>1</v>
      </c>
      <c r="V270" s="77" t="s">
        <v>1</v>
      </c>
      <c r="W270" s="77" t="s">
        <v>1</v>
      </c>
      <c r="X270" s="77" t="s">
        <v>1</v>
      </c>
      <c r="Y270" s="77" t="s">
        <v>1</v>
      </c>
      <c r="Z270" s="77" t="s">
        <v>1</v>
      </c>
      <c r="AA270" s="77" t="s">
        <v>1</v>
      </c>
      <c r="AB270" s="73" t="s">
        <v>2649</v>
      </c>
      <c r="AC270" s="73"/>
      <c r="AD270" s="73"/>
      <c r="AE270" s="73"/>
      <c r="AF270" s="63"/>
      <c r="AG270" s="58"/>
      <c r="AH270" s="73"/>
    </row>
    <row r="271" spans="1:34" s="184" customFormat="1" x14ac:dyDescent="0.2">
      <c r="A271" s="73"/>
      <c r="B271" s="12" t="s">
        <v>1069</v>
      </c>
      <c r="C271" s="29" t="s">
        <v>1691</v>
      </c>
      <c r="D271" s="15">
        <v>50</v>
      </c>
      <c r="E271" s="12" t="s">
        <v>5</v>
      </c>
      <c r="F271" s="15">
        <v>12.5</v>
      </c>
      <c r="G271" s="15"/>
      <c r="H271" s="14">
        <v>44978</v>
      </c>
      <c r="I271" s="12" t="s">
        <v>2847</v>
      </c>
      <c r="J271" s="12" t="s">
        <v>2846</v>
      </c>
      <c r="K271" s="12" t="s">
        <v>2048</v>
      </c>
      <c r="L271" s="12" t="s">
        <v>2059</v>
      </c>
      <c r="M271" s="12">
        <v>2019</v>
      </c>
      <c r="N271" s="12" t="s">
        <v>1900</v>
      </c>
      <c r="O271" s="12" t="s">
        <v>2845</v>
      </c>
      <c r="P271" s="24" t="s">
        <v>4</v>
      </c>
      <c r="Q271" s="24" t="s">
        <v>1</v>
      </c>
      <c r="R271" s="24" t="s">
        <v>1068</v>
      </c>
      <c r="S271" s="24" t="s">
        <v>1</v>
      </c>
      <c r="T271" s="24" t="s">
        <v>1</v>
      </c>
      <c r="U271" s="24" t="s">
        <v>1</v>
      </c>
      <c r="V271" s="24" t="s">
        <v>1</v>
      </c>
      <c r="W271" s="24" t="s">
        <v>1</v>
      </c>
      <c r="X271" s="24" t="s">
        <v>1</v>
      </c>
      <c r="Y271" s="24" t="s">
        <v>1</v>
      </c>
      <c r="Z271" s="24" t="s">
        <v>1</v>
      </c>
      <c r="AA271" s="24" t="s">
        <v>1</v>
      </c>
      <c r="AB271" s="12" t="s">
        <v>2365</v>
      </c>
      <c r="AC271" s="12"/>
      <c r="AD271" s="12"/>
      <c r="AE271" s="12"/>
      <c r="AF271" s="65"/>
      <c r="AG271" s="60"/>
      <c r="AH271" s="12"/>
    </row>
    <row r="272" spans="1:34" s="184" customFormat="1" x14ac:dyDescent="0.2">
      <c r="A272" s="73"/>
      <c r="B272" s="73" t="s">
        <v>773</v>
      </c>
      <c r="C272" s="74" t="s">
        <v>1691</v>
      </c>
      <c r="D272" s="75">
        <v>50</v>
      </c>
      <c r="E272" s="73" t="s">
        <v>5</v>
      </c>
      <c r="F272" s="75">
        <v>12.8</v>
      </c>
      <c r="G272" s="75"/>
      <c r="H272" s="78">
        <v>44698</v>
      </c>
      <c r="I272" s="73" t="s">
        <v>2844</v>
      </c>
      <c r="J272" s="73"/>
      <c r="K272" s="73" t="s">
        <v>2048</v>
      </c>
      <c r="L272" s="73" t="s">
        <v>2059</v>
      </c>
      <c r="M272" s="73">
        <v>2020</v>
      </c>
      <c r="N272" s="73"/>
      <c r="O272" s="73" t="s">
        <v>2843</v>
      </c>
      <c r="P272" s="77" t="s">
        <v>4</v>
      </c>
      <c r="Q272" s="77">
        <v>5.5</v>
      </c>
      <c r="R272" s="77" t="s">
        <v>2842</v>
      </c>
      <c r="S272" s="73" t="s">
        <v>1</v>
      </c>
      <c r="T272" s="73" t="s">
        <v>1</v>
      </c>
      <c r="U272" s="73" t="s">
        <v>1</v>
      </c>
      <c r="V272" s="73" t="s">
        <v>1</v>
      </c>
      <c r="W272" s="73" t="s">
        <v>1</v>
      </c>
      <c r="X272" s="73" t="s">
        <v>1</v>
      </c>
      <c r="Y272" s="73" t="s">
        <v>1</v>
      </c>
      <c r="Z272" s="73" t="s">
        <v>1</v>
      </c>
      <c r="AA272" s="73" t="s">
        <v>1</v>
      </c>
      <c r="AB272" s="73" t="s">
        <v>2365</v>
      </c>
      <c r="AC272" s="73"/>
      <c r="AD272" s="73"/>
      <c r="AE272" s="73"/>
      <c r="AF272" s="63"/>
      <c r="AG272" s="58"/>
      <c r="AH272" s="73"/>
    </row>
    <row r="273" spans="1:34" s="184" customFormat="1" x14ac:dyDescent="0.2">
      <c r="A273" s="73"/>
      <c r="B273" s="73" t="s">
        <v>644</v>
      </c>
      <c r="C273" s="74" t="s">
        <v>1691</v>
      </c>
      <c r="D273" s="75">
        <v>50</v>
      </c>
      <c r="E273" s="73" t="s">
        <v>5</v>
      </c>
      <c r="F273" s="75">
        <v>12.5</v>
      </c>
      <c r="G273" s="75"/>
      <c r="H273" s="78">
        <v>43391</v>
      </c>
      <c r="I273" s="73" t="s">
        <v>2841</v>
      </c>
      <c r="J273" s="73" t="s">
        <v>2840</v>
      </c>
      <c r="K273" s="73" t="s">
        <v>2048</v>
      </c>
      <c r="L273" s="73" t="s">
        <v>2059</v>
      </c>
      <c r="M273" s="73">
        <v>2018</v>
      </c>
      <c r="N273" s="73"/>
      <c r="O273" s="73" t="s">
        <v>2839</v>
      </c>
      <c r="P273" s="77" t="s">
        <v>4</v>
      </c>
      <c r="Q273" s="77">
        <v>2</v>
      </c>
      <c r="R273" s="77" t="s">
        <v>816</v>
      </c>
      <c r="S273" s="77" t="s">
        <v>1</v>
      </c>
      <c r="T273" s="77" t="s">
        <v>1</v>
      </c>
      <c r="U273" s="77" t="s">
        <v>1</v>
      </c>
      <c r="V273" s="77" t="s">
        <v>1</v>
      </c>
      <c r="W273" s="77" t="s">
        <v>1</v>
      </c>
      <c r="X273" s="77" t="s">
        <v>1</v>
      </c>
      <c r="Y273" s="77" t="s">
        <v>1</v>
      </c>
      <c r="Z273" s="77" t="s">
        <v>1</v>
      </c>
      <c r="AA273" s="77" t="s">
        <v>1</v>
      </c>
      <c r="AB273" s="73" t="s">
        <v>2838</v>
      </c>
      <c r="AC273" s="73"/>
      <c r="AD273" s="73"/>
      <c r="AE273" s="73"/>
      <c r="AF273" s="63"/>
      <c r="AG273" s="58"/>
      <c r="AH273" s="73"/>
    </row>
    <row r="274" spans="1:34" s="184" customFormat="1" x14ac:dyDescent="0.2">
      <c r="A274" s="73"/>
      <c r="B274" s="73" t="s">
        <v>646</v>
      </c>
      <c r="C274" s="74" t="s">
        <v>1691</v>
      </c>
      <c r="D274" s="75">
        <v>50</v>
      </c>
      <c r="E274" s="73" t="s">
        <v>5</v>
      </c>
      <c r="F274" s="75">
        <v>13</v>
      </c>
      <c r="G274" s="75"/>
      <c r="H274" s="78">
        <v>44642</v>
      </c>
      <c r="I274" s="73" t="s">
        <v>2837</v>
      </c>
      <c r="J274" s="73" t="s">
        <v>2836</v>
      </c>
      <c r="K274" s="73" t="s">
        <v>2048</v>
      </c>
      <c r="L274" s="73" t="s">
        <v>2059</v>
      </c>
      <c r="M274" s="73">
        <v>2019</v>
      </c>
      <c r="N274" s="73"/>
      <c r="O274" s="73" t="s">
        <v>2835</v>
      </c>
      <c r="P274" s="77" t="s">
        <v>4</v>
      </c>
      <c r="Q274" s="77">
        <v>3.5</v>
      </c>
      <c r="R274" s="77" t="s">
        <v>2834</v>
      </c>
      <c r="S274" s="77" t="s">
        <v>278</v>
      </c>
      <c r="T274" s="77">
        <v>1</v>
      </c>
      <c r="U274" s="77" t="s">
        <v>2833</v>
      </c>
      <c r="V274" s="77" t="s">
        <v>1</v>
      </c>
      <c r="W274" s="77" t="s">
        <v>1</v>
      </c>
      <c r="X274" s="77" t="s">
        <v>1</v>
      </c>
      <c r="Y274" s="77" t="s">
        <v>1</v>
      </c>
      <c r="Z274" s="77" t="s">
        <v>1</v>
      </c>
      <c r="AA274" s="77" t="s">
        <v>1</v>
      </c>
      <c r="AB274" s="73" t="s">
        <v>2832</v>
      </c>
      <c r="AC274" s="73"/>
      <c r="AD274" s="73"/>
      <c r="AE274" s="73"/>
      <c r="AF274" s="63"/>
      <c r="AG274" s="58"/>
      <c r="AH274" s="73"/>
    </row>
    <row r="275" spans="1:34" s="184" customFormat="1" x14ac:dyDescent="0.2">
      <c r="A275" s="73"/>
      <c r="B275" s="73" t="s">
        <v>651</v>
      </c>
      <c r="C275" s="74" t="s">
        <v>1691</v>
      </c>
      <c r="D275" s="75">
        <v>50</v>
      </c>
      <c r="E275" s="73" t="s">
        <v>4</v>
      </c>
      <c r="F275" s="75">
        <v>12.25</v>
      </c>
      <c r="G275" s="75"/>
      <c r="H275" s="78">
        <v>44622</v>
      </c>
      <c r="I275" s="73" t="s">
        <v>2831</v>
      </c>
      <c r="J275" s="73" t="s">
        <v>2830</v>
      </c>
      <c r="K275" s="73" t="s">
        <v>2048</v>
      </c>
      <c r="L275" s="73" t="s">
        <v>2059</v>
      </c>
      <c r="M275" s="73">
        <v>2019</v>
      </c>
      <c r="N275" s="73" t="s">
        <v>2829</v>
      </c>
      <c r="O275" s="73" t="s">
        <v>2828</v>
      </c>
      <c r="P275" s="77" t="s">
        <v>4</v>
      </c>
      <c r="Q275" s="77">
        <v>3.8</v>
      </c>
      <c r="R275" s="77" t="s">
        <v>1</v>
      </c>
      <c r="S275" s="77" t="s">
        <v>1</v>
      </c>
      <c r="T275" s="77" t="s">
        <v>1</v>
      </c>
      <c r="U275" s="77" t="s">
        <v>1</v>
      </c>
      <c r="V275" s="77" t="s">
        <v>1</v>
      </c>
      <c r="W275" s="77" t="s">
        <v>1</v>
      </c>
      <c r="X275" s="77" t="s">
        <v>1</v>
      </c>
      <c r="Y275" s="77" t="s">
        <v>1</v>
      </c>
      <c r="Z275" s="77" t="s">
        <v>1</v>
      </c>
      <c r="AA275" s="77" t="s">
        <v>1</v>
      </c>
      <c r="AB275" s="73" t="s">
        <v>2365</v>
      </c>
      <c r="AC275" s="73"/>
      <c r="AD275" s="73"/>
      <c r="AE275" s="73"/>
      <c r="AF275" s="63"/>
      <c r="AG275" s="58"/>
      <c r="AH275" s="73"/>
    </row>
    <row r="276" spans="1:34" s="184" customFormat="1" x14ac:dyDescent="0.2">
      <c r="A276" s="73"/>
      <c r="B276" s="73" t="s">
        <v>516</v>
      </c>
      <c r="C276" s="74" t="s">
        <v>1691</v>
      </c>
      <c r="D276" s="75">
        <v>50</v>
      </c>
      <c r="E276" s="73" t="s">
        <v>5</v>
      </c>
      <c r="F276" s="75">
        <v>12</v>
      </c>
      <c r="G276" s="75"/>
      <c r="H276" s="78">
        <v>44340</v>
      </c>
      <c r="I276" s="73" t="s">
        <v>2827</v>
      </c>
      <c r="J276" s="73" t="s">
        <v>2826</v>
      </c>
      <c r="K276" s="73" t="s">
        <v>2048</v>
      </c>
      <c r="L276" s="73" t="s">
        <v>2082</v>
      </c>
      <c r="M276" s="73">
        <v>2014</v>
      </c>
      <c r="N276" s="73"/>
      <c r="O276" s="73" t="s">
        <v>2825</v>
      </c>
      <c r="P276" s="77" t="s">
        <v>4</v>
      </c>
      <c r="Q276" s="77">
        <v>4</v>
      </c>
      <c r="R276" s="77" t="s">
        <v>2824</v>
      </c>
      <c r="S276" s="77" t="s">
        <v>4</v>
      </c>
      <c r="T276" s="77">
        <v>1.7</v>
      </c>
      <c r="U276" s="77" t="s">
        <v>2823</v>
      </c>
      <c r="V276" s="77" t="s">
        <v>4</v>
      </c>
      <c r="W276" s="77" t="s">
        <v>1</v>
      </c>
      <c r="X276" s="77" t="s">
        <v>2822</v>
      </c>
      <c r="Y276" s="77" t="s">
        <v>4</v>
      </c>
      <c r="Z276" s="77" t="s">
        <v>1</v>
      </c>
      <c r="AA276" s="77" t="s">
        <v>2821</v>
      </c>
      <c r="AB276" s="73" t="s">
        <v>2820</v>
      </c>
      <c r="AC276" s="73"/>
      <c r="AD276" s="73"/>
      <c r="AE276" s="73"/>
      <c r="AF276" s="63"/>
      <c r="AG276" s="58"/>
      <c r="AH276" s="73"/>
    </row>
    <row r="277" spans="1:34" s="184" customFormat="1" x14ac:dyDescent="0.2">
      <c r="A277" s="73"/>
      <c r="B277" s="73" t="s">
        <v>649</v>
      </c>
      <c r="C277" s="74" t="s">
        <v>1691</v>
      </c>
      <c r="D277" s="75">
        <v>50</v>
      </c>
      <c r="E277" s="73" t="s">
        <v>5</v>
      </c>
      <c r="F277" s="75">
        <v>12</v>
      </c>
      <c r="G277" s="75"/>
      <c r="H277" s="78">
        <v>44677</v>
      </c>
      <c r="I277" s="73" t="s">
        <v>2819</v>
      </c>
      <c r="J277" s="73" t="s">
        <v>2818</v>
      </c>
      <c r="K277" s="73" t="s">
        <v>2048</v>
      </c>
      <c r="L277" s="73" t="s">
        <v>2059</v>
      </c>
      <c r="M277" s="73">
        <v>2019</v>
      </c>
      <c r="N277" s="73"/>
      <c r="O277" s="73" t="s">
        <v>2817</v>
      </c>
      <c r="P277" s="77" t="s">
        <v>4</v>
      </c>
      <c r="Q277" s="77">
        <v>8</v>
      </c>
      <c r="R277" s="73" t="s">
        <v>2816</v>
      </c>
      <c r="S277" s="77" t="s">
        <v>1</v>
      </c>
      <c r="T277" s="77" t="s">
        <v>1</v>
      </c>
      <c r="U277" s="77" t="s">
        <v>1</v>
      </c>
      <c r="V277" s="77" t="s">
        <v>1</v>
      </c>
      <c r="W277" s="77" t="s">
        <v>1</v>
      </c>
      <c r="X277" s="77" t="s">
        <v>1</v>
      </c>
      <c r="Y277" s="77" t="s">
        <v>1</v>
      </c>
      <c r="Z277" s="77" t="s">
        <v>1</v>
      </c>
      <c r="AA277" s="77" t="s">
        <v>1</v>
      </c>
      <c r="AB277" s="73" t="s">
        <v>2365</v>
      </c>
      <c r="AC277" s="73"/>
      <c r="AD277" s="73"/>
      <c r="AE277" s="73"/>
      <c r="AF277" s="63"/>
      <c r="AG277" s="58"/>
      <c r="AH277" s="73"/>
    </row>
    <row r="278" spans="1:34" s="184" customFormat="1" x14ac:dyDescent="0.2">
      <c r="A278" s="73"/>
      <c r="B278" s="73" t="s">
        <v>642</v>
      </c>
      <c r="C278" s="74" t="s">
        <v>1691</v>
      </c>
      <c r="D278" s="75">
        <v>50</v>
      </c>
      <c r="E278" s="73" t="s">
        <v>5</v>
      </c>
      <c r="F278" s="75">
        <v>12</v>
      </c>
      <c r="G278" s="75"/>
      <c r="H278" s="78">
        <v>44860</v>
      </c>
      <c r="I278" s="73" t="s">
        <v>2398</v>
      </c>
      <c r="J278" s="73" t="s">
        <v>2815</v>
      </c>
      <c r="K278" s="73" t="s">
        <v>2048</v>
      </c>
      <c r="L278" s="73" t="s">
        <v>2059</v>
      </c>
      <c r="M278" s="73">
        <v>2020</v>
      </c>
      <c r="N278" s="73" t="s">
        <v>2814</v>
      </c>
      <c r="O278" s="73" t="s">
        <v>2813</v>
      </c>
      <c r="P278" s="77" t="s">
        <v>4</v>
      </c>
      <c r="Q278" s="77">
        <v>2.8</v>
      </c>
      <c r="R278" s="77" t="s">
        <v>2812</v>
      </c>
      <c r="S278" s="77" t="s">
        <v>1</v>
      </c>
      <c r="T278" s="77" t="s">
        <v>1</v>
      </c>
      <c r="U278" s="77" t="s">
        <v>1</v>
      </c>
      <c r="V278" s="77" t="s">
        <v>1</v>
      </c>
      <c r="W278" s="77" t="s">
        <v>1</v>
      </c>
      <c r="X278" s="77" t="s">
        <v>1</v>
      </c>
      <c r="Y278" s="77" t="s">
        <v>1</v>
      </c>
      <c r="Z278" s="77" t="s">
        <v>1</v>
      </c>
      <c r="AA278" s="77" t="s">
        <v>1</v>
      </c>
      <c r="AB278" s="73" t="s">
        <v>2811</v>
      </c>
      <c r="AC278" s="73"/>
      <c r="AD278" s="73"/>
      <c r="AE278" s="73"/>
      <c r="AF278" s="63"/>
      <c r="AG278" s="58"/>
      <c r="AH278" s="73"/>
    </row>
    <row r="279" spans="1:34" s="184" customFormat="1" x14ac:dyDescent="0.2">
      <c r="A279" s="73"/>
      <c r="B279" s="73" t="s">
        <v>652</v>
      </c>
      <c r="C279" s="74" t="s">
        <v>1691</v>
      </c>
      <c r="D279" s="75">
        <v>50</v>
      </c>
      <c r="E279" s="73" t="s">
        <v>5</v>
      </c>
      <c r="F279" s="75">
        <v>12</v>
      </c>
      <c r="G279" s="75"/>
      <c r="H279" s="78">
        <v>44971</v>
      </c>
      <c r="I279" s="73" t="s">
        <v>2810</v>
      </c>
      <c r="J279" s="73" t="s">
        <v>2809</v>
      </c>
      <c r="K279" s="73" t="s">
        <v>2048</v>
      </c>
      <c r="L279" s="73" t="s">
        <v>2059</v>
      </c>
      <c r="M279" s="73">
        <v>2022</v>
      </c>
      <c r="N279" s="73"/>
      <c r="O279" s="73" t="s">
        <v>2808</v>
      </c>
      <c r="P279" s="77" t="s">
        <v>4</v>
      </c>
      <c r="Q279" s="77">
        <v>5</v>
      </c>
      <c r="R279" s="77" t="s">
        <v>2807</v>
      </c>
      <c r="S279" s="77" t="s">
        <v>1</v>
      </c>
      <c r="T279" s="77" t="s">
        <v>1</v>
      </c>
      <c r="U279" s="77" t="s">
        <v>1</v>
      </c>
      <c r="V279" s="77" t="s">
        <v>1</v>
      </c>
      <c r="W279" s="77" t="s">
        <v>1</v>
      </c>
      <c r="X279" s="77" t="s">
        <v>1</v>
      </c>
      <c r="Y279" s="77" t="s">
        <v>1</v>
      </c>
      <c r="Z279" s="77" t="s">
        <v>1</v>
      </c>
      <c r="AA279" s="77" t="s">
        <v>1</v>
      </c>
      <c r="AB279" s="73" t="s">
        <v>2125</v>
      </c>
      <c r="AC279" s="73"/>
      <c r="AD279" s="73"/>
      <c r="AE279" s="73"/>
      <c r="AF279" s="63"/>
      <c r="AG279" s="58"/>
      <c r="AH279" s="73"/>
    </row>
    <row r="280" spans="1:34" s="184" customFormat="1" x14ac:dyDescent="0.2">
      <c r="B280" s="184" t="s">
        <v>719</v>
      </c>
      <c r="C280" s="193" t="s">
        <v>1691</v>
      </c>
      <c r="D280" s="186">
        <v>50</v>
      </c>
      <c r="E280" s="184" t="s">
        <v>5</v>
      </c>
      <c r="F280" s="186">
        <v>11</v>
      </c>
      <c r="G280" s="186"/>
      <c r="H280" s="194">
        <v>44483</v>
      </c>
      <c r="I280" s="184" t="s">
        <v>2806</v>
      </c>
      <c r="J280" s="184" t="s">
        <v>2805</v>
      </c>
      <c r="K280" s="184" t="s">
        <v>2048</v>
      </c>
      <c r="L280" s="184" t="s">
        <v>2126</v>
      </c>
      <c r="M280" s="184">
        <v>2020</v>
      </c>
      <c r="O280" s="184" t="s">
        <v>2804</v>
      </c>
      <c r="P280" s="187" t="s">
        <v>4</v>
      </c>
      <c r="Q280" s="187">
        <v>2.9</v>
      </c>
      <c r="R280" s="187" t="s">
        <v>2803</v>
      </c>
      <c r="S280" s="187" t="s">
        <v>278</v>
      </c>
      <c r="T280" s="187" t="s">
        <v>1</v>
      </c>
      <c r="U280" s="187" t="s">
        <v>2802</v>
      </c>
      <c r="V280" s="187" t="s">
        <v>1</v>
      </c>
      <c r="W280" s="187" t="s">
        <v>1</v>
      </c>
      <c r="X280" s="187" t="s">
        <v>1</v>
      </c>
      <c r="Y280" s="187" t="s">
        <v>1</v>
      </c>
      <c r="Z280" s="187" t="s">
        <v>1</v>
      </c>
      <c r="AA280" s="187" t="s">
        <v>1</v>
      </c>
      <c r="AB280" s="184" t="s">
        <v>2801</v>
      </c>
      <c r="AF280" s="63"/>
      <c r="AG280" s="58"/>
    </row>
    <row r="281" spans="1:34" s="184" customFormat="1" x14ac:dyDescent="0.2">
      <c r="B281" s="184" t="s">
        <v>6790</v>
      </c>
      <c r="C281" s="193" t="s">
        <v>1691</v>
      </c>
      <c r="D281" s="186">
        <v>50</v>
      </c>
      <c r="E281" s="184" t="s">
        <v>5</v>
      </c>
      <c r="F281" s="186">
        <v>11</v>
      </c>
      <c r="G281" s="186">
        <f>F281</f>
        <v>11</v>
      </c>
      <c r="H281" s="27">
        <v>43215</v>
      </c>
      <c r="I281" s="184" t="s">
        <v>6791</v>
      </c>
      <c r="J281" s="184" t="s">
        <v>6789</v>
      </c>
      <c r="K281" s="184" t="s">
        <v>2048</v>
      </c>
      <c r="L281" s="184" t="s">
        <v>2059</v>
      </c>
      <c r="M281" s="184">
        <v>2016</v>
      </c>
      <c r="O281" s="184" t="s">
        <v>6792</v>
      </c>
      <c r="P281" s="187" t="s">
        <v>1</v>
      </c>
      <c r="Q281" s="187" t="s">
        <v>1</v>
      </c>
      <c r="R281" s="187" t="s">
        <v>1</v>
      </c>
      <c r="S281" s="187" t="s">
        <v>1</v>
      </c>
      <c r="T281" s="187" t="s">
        <v>1</v>
      </c>
      <c r="U281" s="187" t="s">
        <v>1</v>
      </c>
      <c r="V281" s="187" t="s">
        <v>1</v>
      </c>
      <c r="W281" s="187" t="s">
        <v>1</v>
      </c>
      <c r="X281" s="187" t="s">
        <v>1</v>
      </c>
      <c r="Y281" s="187" t="s">
        <v>1</v>
      </c>
      <c r="Z281" s="187" t="s">
        <v>1</v>
      </c>
      <c r="AA281" s="187" t="s">
        <v>1</v>
      </c>
      <c r="AB281" s="184" t="s">
        <v>6787</v>
      </c>
      <c r="AC281" s="184" t="s">
        <v>2854</v>
      </c>
      <c r="AD281" s="184" t="s">
        <v>2854</v>
      </c>
      <c r="AE281" s="25" t="s">
        <v>6788</v>
      </c>
      <c r="AF281" s="63"/>
      <c r="AG281" s="58"/>
    </row>
    <row r="282" spans="1:34" s="184" customFormat="1" x14ac:dyDescent="0.2">
      <c r="B282" s="184" t="s">
        <v>2800</v>
      </c>
      <c r="C282" s="193" t="s">
        <v>1691</v>
      </c>
      <c r="D282" s="186">
        <v>50</v>
      </c>
      <c r="E282" s="184" t="s">
        <v>5</v>
      </c>
      <c r="F282" s="186">
        <v>11</v>
      </c>
      <c r="G282" s="186"/>
      <c r="H282" s="194">
        <v>44959</v>
      </c>
      <c r="I282" s="184" t="s">
        <v>2799</v>
      </c>
      <c r="J282" s="184" t="s">
        <v>2798</v>
      </c>
      <c r="K282" s="184" t="s">
        <v>2048</v>
      </c>
      <c r="L282" s="184" t="s">
        <v>2126</v>
      </c>
      <c r="M282" s="184">
        <v>2020</v>
      </c>
      <c r="O282" s="184" t="s">
        <v>2797</v>
      </c>
      <c r="P282" s="187" t="s">
        <v>4</v>
      </c>
      <c r="Q282" s="187">
        <v>2.2000000000000002</v>
      </c>
      <c r="R282" s="187" t="s">
        <v>2796</v>
      </c>
      <c r="S282" s="187" t="s">
        <v>1</v>
      </c>
      <c r="T282" s="187" t="s">
        <v>1</v>
      </c>
      <c r="U282" s="187" t="s">
        <v>1</v>
      </c>
      <c r="V282" s="187" t="s">
        <v>1</v>
      </c>
      <c r="W282" s="187" t="s">
        <v>1</v>
      </c>
      <c r="X282" s="187" t="s">
        <v>1</v>
      </c>
      <c r="Y282" s="187" t="s">
        <v>1</v>
      </c>
      <c r="Z282" s="187" t="s">
        <v>1</v>
      </c>
      <c r="AA282" s="187" t="s">
        <v>1</v>
      </c>
      <c r="AB282" s="184" t="s">
        <v>2058</v>
      </c>
      <c r="AF282" s="63"/>
      <c r="AG282" s="58"/>
    </row>
    <row r="283" spans="1:34" s="12" customFormat="1" x14ac:dyDescent="0.2">
      <c r="B283" s="12" t="s">
        <v>2795</v>
      </c>
      <c r="C283" s="29" t="s">
        <v>1691</v>
      </c>
      <c r="D283" s="15">
        <v>50</v>
      </c>
      <c r="E283" s="12" t="s">
        <v>5</v>
      </c>
      <c r="F283" s="15">
        <v>10.6</v>
      </c>
      <c r="G283" s="15"/>
      <c r="H283" s="14">
        <v>44819</v>
      </c>
      <c r="I283" s="12" t="s">
        <v>2794</v>
      </c>
      <c r="J283" s="12" t="s">
        <v>2793</v>
      </c>
      <c r="K283" s="12" t="s">
        <v>2048</v>
      </c>
      <c r="L283" s="12" t="s">
        <v>2305</v>
      </c>
      <c r="M283" s="12">
        <v>2019</v>
      </c>
      <c r="O283" s="12" t="s">
        <v>2792</v>
      </c>
      <c r="P283" s="24" t="s">
        <v>4</v>
      </c>
      <c r="Q283" s="24">
        <v>1.5</v>
      </c>
      <c r="R283" s="24" t="s">
        <v>2791</v>
      </c>
      <c r="S283" s="24" t="s">
        <v>278</v>
      </c>
      <c r="T283" s="24">
        <v>0.1</v>
      </c>
      <c r="U283" s="24" t="s">
        <v>639</v>
      </c>
      <c r="V283" s="24" t="s">
        <v>1</v>
      </c>
      <c r="W283" s="24" t="s">
        <v>1</v>
      </c>
      <c r="X283" s="24" t="s">
        <v>1</v>
      </c>
      <c r="Y283" s="24" t="s">
        <v>1</v>
      </c>
      <c r="Z283" s="24" t="s">
        <v>1</v>
      </c>
      <c r="AA283" s="24" t="s">
        <v>1</v>
      </c>
      <c r="AB283" s="12" t="s">
        <v>2051</v>
      </c>
      <c r="AF283" s="65"/>
      <c r="AG283" s="60"/>
    </row>
    <row r="284" spans="1:34" s="184" customFormat="1" x14ac:dyDescent="0.2">
      <c r="B284" s="184" t="s">
        <v>635</v>
      </c>
      <c r="C284" s="193" t="s">
        <v>1691</v>
      </c>
      <c r="D284" s="186">
        <v>50</v>
      </c>
      <c r="E284" s="184" t="s">
        <v>4</v>
      </c>
      <c r="F284" s="186">
        <v>10.6</v>
      </c>
      <c r="G284" s="186"/>
      <c r="H284" s="194">
        <v>45007</v>
      </c>
      <c r="I284" s="184" t="s">
        <v>2790</v>
      </c>
      <c r="J284" s="184" t="s">
        <v>2789</v>
      </c>
      <c r="K284" s="184" t="s">
        <v>2048</v>
      </c>
      <c r="L284" s="184" t="s">
        <v>2240</v>
      </c>
      <c r="M284" s="184">
        <v>2022</v>
      </c>
      <c r="O284" s="184" t="s">
        <v>2788</v>
      </c>
      <c r="P284" s="187" t="s">
        <v>1</v>
      </c>
      <c r="Q284" s="187" t="s">
        <v>1</v>
      </c>
      <c r="R284" s="187" t="s">
        <v>1</v>
      </c>
      <c r="S284" s="187" t="s">
        <v>1</v>
      </c>
      <c r="T284" s="187" t="s">
        <v>1</v>
      </c>
      <c r="U284" s="187" t="s">
        <v>1</v>
      </c>
      <c r="V284" s="187" t="s">
        <v>1</v>
      </c>
      <c r="W284" s="187" t="s">
        <v>1</v>
      </c>
      <c r="X284" s="187" t="s">
        <v>1</v>
      </c>
      <c r="Y284" s="187" t="s">
        <v>1</v>
      </c>
      <c r="Z284" s="187" t="s">
        <v>1</v>
      </c>
      <c r="AA284" s="187" t="s">
        <v>1</v>
      </c>
      <c r="AB284" s="184" t="s">
        <v>2081</v>
      </c>
      <c r="AF284" s="63"/>
      <c r="AG284" s="58"/>
    </row>
    <row r="285" spans="1:34" s="184" customFormat="1" x14ac:dyDescent="0.2">
      <c r="B285" s="184" t="s">
        <v>632</v>
      </c>
      <c r="C285" s="193" t="s">
        <v>1691</v>
      </c>
      <c r="D285" s="186">
        <v>50</v>
      </c>
      <c r="E285" s="184" t="s">
        <v>4</v>
      </c>
      <c r="F285" s="186">
        <v>10.5</v>
      </c>
      <c r="G285" s="186"/>
      <c r="H285" s="194">
        <v>44984</v>
      </c>
      <c r="I285" s="184" t="s">
        <v>2098</v>
      </c>
      <c r="J285" s="184" t="s">
        <v>2787</v>
      </c>
      <c r="K285" s="184" t="s">
        <v>2048</v>
      </c>
      <c r="L285" s="184" t="s">
        <v>2459</v>
      </c>
      <c r="M285" s="184">
        <v>2019</v>
      </c>
      <c r="O285" s="184" t="s">
        <v>2786</v>
      </c>
      <c r="P285" s="187" t="s">
        <v>4</v>
      </c>
      <c r="Q285" s="187">
        <v>3</v>
      </c>
      <c r="R285" s="187" t="s">
        <v>2785</v>
      </c>
      <c r="S285" s="187" t="s">
        <v>4</v>
      </c>
      <c r="T285" s="187">
        <v>2</v>
      </c>
      <c r="U285" s="187" t="s">
        <v>2784</v>
      </c>
      <c r="V285" s="187" t="s">
        <v>278</v>
      </c>
      <c r="W285" s="187">
        <v>0.6</v>
      </c>
      <c r="X285" s="187" t="s">
        <v>1</v>
      </c>
      <c r="Y285" s="187" t="s">
        <v>1</v>
      </c>
      <c r="Z285" s="187" t="s">
        <v>1</v>
      </c>
      <c r="AA285" s="187" t="s">
        <v>1</v>
      </c>
      <c r="AB285" s="184" t="s">
        <v>2097</v>
      </c>
      <c r="AF285" s="63"/>
      <c r="AG285" s="58"/>
    </row>
    <row r="286" spans="1:34" x14ac:dyDescent="0.2">
      <c r="B286" s="73" t="s">
        <v>2016</v>
      </c>
      <c r="C286" s="249" t="s">
        <v>1691</v>
      </c>
      <c r="D286" s="73">
        <v>50</v>
      </c>
      <c r="E286" s="250" t="s">
        <v>4</v>
      </c>
      <c r="F286" s="73">
        <v>11</v>
      </c>
      <c r="G286" s="73">
        <f>F286</f>
        <v>11</v>
      </c>
      <c r="H286" s="79">
        <v>44686</v>
      </c>
      <c r="I286" s="250" t="s">
        <v>7426</v>
      </c>
      <c r="J286" s="250" t="s">
        <v>7423</v>
      </c>
      <c r="K286" s="250" t="s">
        <v>2048</v>
      </c>
      <c r="L286" s="250" t="s">
        <v>3260</v>
      </c>
      <c r="M286" s="73">
        <v>2020</v>
      </c>
      <c r="O286" s="250" t="s">
        <v>7427</v>
      </c>
      <c r="P286" s="250" t="s">
        <v>1</v>
      </c>
      <c r="Q286" s="250" t="s">
        <v>1</v>
      </c>
      <c r="R286" s="250" t="s">
        <v>1</v>
      </c>
      <c r="S286" s="250" t="s">
        <v>1</v>
      </c>
      <c r="T286" s="250" t="s">
        <v>1</v>
      </c>
      <c r="U286" s="250" t="s">
        <v>1</v>
      </c>
      <c r="V286" s="250" t="s">
        <v>1</v>
      </c>
      <c r="W286" s="250" t="s">
        <v>1</v>
      </c>
      <c r="X286" s="250" t="s">
        <v>1</v>
      </c>
      <c r="Y286" s="250" t="s">
        <v>1</v>
      </c>
      <c r="Z286" s="250" t="s">
        <v>1</v>
      </c>
      <c r="AA286" s="250" t="s">
        <v>1</v>
      </c>
      <c r="AB286" s="250" t="s">
        <v>6651</v>
      </c>
      <c r="AD286" s="250" t="s">
        <v>2148</v>
      </c>
      <c r="AE286" s="250" t="s">
        <v>7422</v>
      </c>
      <c r="AF286" s="73"/>
      <c r="AG286" s="73"/>
    </row>
    <row r="287" spans="1:34" s="184" customFormat="1" x14ac:dyDescent="0.2">
      <c r="B287" s="184" t="s">
        <v>573</v>
      </c>
      <c r="C287" s="193" t="s">
        <v>1691</v>
      </c>
      <c r="D287" s="186">
        <v>50</v>
      </c>
      <c r="E287" s="184" t="s">
        <v>4</v>
      </c>
      <c r="F287" s="186">
        <v>10</v>
      </c>
      <c r="G287" s="186"/>
      <c r="H287" s="194">
        <v>44887</v>
      </c>
      <c r="I287" s="184" t="s">
        <v>2783</v>
      </c>
      <c r="J287" s="184" t="s">
        <v>2782</v>
      </c>
      <c r="K287" s="184" t="s">
        <v>2048</v>
      </c>
      <c r="L287" s="184" t="s">
        <v>2065</v>
      </c>
      <c r="M287" s="184">
        <v>2021</v>
      </c>
      <c r="O287" s="184" t="s">
        <v>2781</v>
      </c>
      <c r="P287" s="187" t="s">
        <v>1</v>
      </c>
      <c r="Q287" s="187" t="s">
        <v>1</v>
      </c>
      <c r="R287" s="187" t="s">
        <v>1</v>
      </c>
      <c r="S287" s="187" t="s">
        <v>1</v>
      </c>
      <c r="T287" s="187" t="s">
        <v>1</v>
      </c>
      <c r="U287" s="187" t="s">
        <v>1</v>
      </c>
      <c r="V287" s="187" t="s">
        <v>1</v>
      </c>
      <c r="W287" s="187" t="s">
        <v>1</v>
      </c>
      <c r="X287" s="187" t="s">
        <v>1</v>
      </c>
      <c r="Y287" s="187" t="s">
        <v>1</v>
      </c>
      <c r="Z287" s="187" t="s">
        <v>1</v>
      </c>
      <c r="AA287" s="187" t="s">
        <v>1</v>
      </c>
      <c r="AB287" s="184" t="s">
        <v>2058</v>
      </c>
      <c r="AF287" s="63"/>
      <c r="AG287" s="58"/>
    </row>
    <row r="288" spans="1:34" s="184" customFormat="1" x14ac:dyDescent="0.2">
      <c r="B288" s="184" t="s">
        <v>771</v>
      </c>
      <c r="C288" s="193" t="s">
        <v>1691</v>
      </c>
      <c r="D288" s="186">
        <v>50</v>
      </c>
      <c r="E288" s="184" t="s">
        <v>4</v>
      </c>
      <c r="F288" s="186">
        <v>10</v>
      </c>
      <c r="G288" s="186"/>
      <c r="H288" s="194">
        <v>44858</v>
      </c>
      <c r="I288" s="184" t="s">
        <v>2780</v>
      </c>
      <c r="J288" s="184" t="s">
        <v>2779</v>
      </c>
      <c r="K288" s="184" t="s">
        <v>2311</v>
      </c>
      <c r="L288" s="184" t="s">
        <v>2778</v>
      </c>
      <c r="M288" s="184">
        <v>2021</v>
      </c>
      <c r="O288" s="184" t="s">
        <v>2777</v>
      </c>
      <c r="P288" s="187" t="s">
        <v>4</v>
      </c>
      <c r="Q288" s="187">
        <v>4.5999999999999996</v>
      </c>
      <c r="R288" s="187" t="s">
        <v>2776</v>
      </c>
      <c r="S288" s="187" t="s">
        <v>1</v>
      </c>
      <c r="T288" s="187" t="s">
        <v>1</v>
      </c>
      <c r="U288" s="187" t="s">
        <v>1</v>
      </c>
      <c r="V288" s="187" t="s">
        <v>1</v>
      </c>
      <c r="W288" s="187" t="s">
        <v>1</v>
      </c>
      <c r="X288" s="187" t="s">
        <v>1</v>
      </c>
      <c r="Y288" s="187" t="s">
        <v>1</v>
      </c>
      <c r="Z288" s="187" t="s">
        <v>1</v>
      </c>
      <c r="AA288" s="187" t="s">
        <v>1</v>
      </c>
      <c r="AB288" s="184" t="s">
        <v>2775</v>
      </c>
      <c r="AF288" s="63"/>
      <c r="AG288" s="58"/>
    </row>
    <row r="289" spans="2:33" s="250" customFormat="1" x14ac:dyDescent="0.2">
      <c r="B289" s="250" t="s">
        <v>2010</v>
      </c>
      <c r="C289" s="249" t="s">
        <v>1691</v>
      </c>
      <c r="D289" s="250">
        <v>50</v>
      </c>
      <c r="E289" s="250" t="s">
        <v>5</v>
      </c>
      <c r="F289" s="250">
        <v>10</v>
      </c>
      <c r="G289" s="250">
        <v>10</v>
      </c>
      <c r="H289" s="163">
        <v>44307</v>
      </c>
      <c r="I289" s="250" t="s">
        <v>7604</v>
      </c>
      <c r="J289" s="250" t="s">
        <v>7603</v>
      </c>
      <c r="K289" s="250" t="s">
        <v>2048</v>
      </c>
      <c r="L289" s="250" t="s">
        <v>2268</v>
      </c>
      <c r="M289" s="166">
        <v>44105</v>
      </c>
      <c r="O289" s="250" t="s">
        <v>7605</v>
      </c>
      <c r="P289" s="250" t="s">
        <v>1</v>
      </c>
      <c r="Q289" s="250" t="s">
        <v>1</v>
      </c>
      <c r="R289" s="250" t="s">
        <v>1</v>
      </c>
      <c r="S289" s="250" t="s">
        <v>1</v>
      </c>
      <c r="T289" s="250" t="s">
        <v>1</v>
      </c>
      <c r="U289" s="250" t="s">
        <v>1</v>
      </c>
      <c r="V289" s="250" t="s">
        <v>1</v>
      </c>
      <c r="W289" s="250" t="s">
        <v>1</v>
      </c>
      <c r="X289" s="250" t="s">
        <v>1</v>
      </c>
      <c r="Y289" s="250" t="s">
        <v>1</v>
      </c>
      <c r="Z289" s="250" t="s">
        <v>1</v>
      </c>
      <c r="AA289" s="250" t="s">
        <v>1</v>
      </c>
      <c r="AB289" s="250" t="s">
        <v>6627</v>
      </c>
      <c r="AC289" s="250" t="s">
        <v>6630</v>
      </c>
      <c r="AD289" s="250" t="s">
        <v>2365</v>
      </c>
      <c r="AE289" s="263" t="s">
        <v>7602</v>
      </c>
    </row>
    <row r="290" spans="2:33" s="184" customFormat="1" x14ac:dyDescent="0.2">
      <c r="B290" s="184" t="s">
        <v>408</v>
      </c>
      <c r="C290" s="193" t="s">
        <v>1691</v>
      </c>
      <c r="D290" s="186">
        <v>50</v>
      </c>
      <c r="E290" s="184" t="s">
        <v>5</v>
      </c>
      <c r="F290" s="186">
        <v>10</v>
      </c>
      <c r="G290" s="186"/>
      <c r="H290" s="194">
        <v>44740</v>
      </c>
      <c r="I290" s="184" t="s">
        <v>2774</v>
      </c>
      <c r="J290" s="184" t="s">
        <v>2773</v>
      </c>
      <c r="K290" s="184" t="s">
        <v>2048</v>
      </c>
      <c r="L290" s="184" t="s">
        <v>2396</v>
      </c>
      <c r="M290" s="184">
        <v>2016</v>
      </c>
      <c r="O290" s="184" t="s">
        <v>2772</v>
      </c>
      <c r="P290" s="187" t="s">
        <v>4</v>
      </c>
      <c r="Q290" s="187">
        <v>4</v>
      </c>
      <c r="R290" s="187" t="s">
        <v>2771</v>
      </c>
      <c r="S290" s="187" t="s">
        <v>1</v>
      </c>
      <c r="T290" s="187" t="s">
        <v>1</v>
      </c>
      <c r="U290" s="187" t="s">
        <v>1</v>
      </c>
      <c r="V290" s="187" t="s">
        <v>1</v>
      </c>
      <c r="W290" s="187" t="s">
        <v>1</v>
      </c>
      <c r="X290" s="187" t="s">
        <v>1</v>
      </c>
      <c r="Y290" s="187" t="s">
        <v>1</v>
      </c>
      <c r="Z290" s="187" t="s">
        <v>1</v>
      </c>
      <c r="AA290" s="187" t="s">
        <v>1</v>
      </c>
      <c r="AB290" s="184" t="s">
        <v>2088</v>
      </c>
      <c r="AF290" s="63"/>
      <c r="AG290" s="58"/>
    </row>
    <row r="291" spans="2:33" s="12" customFormat="1" x14ac:dyDescent="0.2">
      <c r="B291" s="12" t="s">
        <v>2012</v>
      </c>
      <c r="C291" s="29" t="s">
        <v>1691</v>
      </c>
      <c r="D291" s="12">
        <v>50</v>
      </c>
      <c r="E291" s="12" t="s">
        <v>5</v>
      </c>
      <c r="F291" s="12">
        <v>10</v>
      </c>
      <c r="G291" s="12">
        <f>F291</f>
        <v>10</v>
      </c>
      <c r="H291" s="261">
        <v>44384</v>
      </c>
      <c r="I291" s="12" t="s">
        <v>2597</v>
      </c>
      <c r="J291" s="12" t="s">
        <v>7465</v>
      </c>
      <c r="K291" s="12" t="s">
        <v>2048</v>
      </c>
      <c r="L291" s="12" t="s">
        <v>3334</v>
      </c>
      <c r="M291" s="261">
        <v>43101</v>
      </c>
      <c r="O291" s="12" t="s">
        <v>7467</v>
      </c>
      <c r="P291" s="12" t="s">
        <v>1</v>
      </c>
      <c r="Q291" s="12" t="s">
        <v>1</v>
      </c>
      <c r="R291" s="12" t="s">
        <v>1</v>
      </c>
      <c r="S291" s="12" t="s">
        <v>1</v>
      </c>
      <c r="T291" s="12" t="s">
        <v>1</v>
      </c>
      <c r="U291" s="12" t="s">
        <v>1</v>
      </c>
      <c r="V291" s="12" t="s">
        <v>1</v>
      </c>
      <c r="W291" s="12" t="s">
        <v>1</v>
      </c>
      <c r="X291" s="12" t="s">
        <v>1</v>
      </c>
      <c r="Y291" s="12" t="s">
        <v>1</v>
      </c>
      <c r="Z291" s="12" t="s">
        <v>1</v>
      </c>
      <c r="AA291" s="12" t="s">
        <v>1</v>
      </c>
      <c r="AB291" s="12" t="s">
        <v>6627</v>
      </c>
      <c r="AC291" s="12" t="s">
        <v>6629</v>
      </c>
      <c r="AD291" s="12" t="s">
        <v>2903</v>
      </c>
      <c r="AE291" s="12" t="s">
        <v>7464</v>
      </c>
    </row>
    <row r="292" spans="2:33" s="184" customFormat="1" x14ac:dyDescent="0.2">
      <c r="B292" s="184" t="s">
        <v>565</v>
      </c>
      <c r="C292" s="193" t="s">
        <v>1691</v>
      </c>
      <c r="D292" s="186">
        <v>50</v>
      </c>
      <c r="E292" s="184" t="s">
        <v>4</v>
      </c>
      <c r="F292" s="186">
        <v>9</v>
      </c>
      <c r="G292" s="186"/>
      <c r="H292" s="194">
        <v>44859</v>
      </c>
      <c r="I292" s="184" t="s">
        <v>2770</v>
      </c>
      <c r="J292" s="184" t="s">
        <v>2769</v>
      </c>
      <c r="K292" s="184" t="s">
        <v>2048</v>
      </c>
      <c r="L292" s="184" t="s">
        <v>2768</v>
      </c>
      <c r="M292" s="184">
        <v>2021</v>
      </c>
      <c r="N292" s="184" t="s">
        <v>2767</v>
      </c>
      <c r="O292" s="184" t="s">
        <v>2766</v>
      </c>
      <c r="P292" s="187" t="s">
        <v>1</v>
      </c>
      <c r="Q292" s="187" t="s">
        <v>1</v>
      </c>
      <c r="R292" s="187" t="s">
        <v>1</v>
      </c>
      <c r="S292" s="187" t="s">
        <v>1</v>
      </c>
      <c r="T292" s="187" t="s">
        <v>1</v>
      </c>
      <c r="U292" s="187" t="s">
        <v>1</v>
      </c>
      <c r="V292" s="187" t="s">
        <v>1</v>
      </c>
      <c r="W292" s="187" t="s">
        <v>1</v>
      </c>
      <c r="X292" s="187" t="s">
        <v>1</v>
      </c>
      <c r="Y292" s="187" t="s">
        <v>1</v>
      </c>
      <c r="Z292" s="187" t="s">
        <v>1</v>
      </c>
      <c r="AA292" s="187" t="s">
        <v>1</v>
      </c>
      <c r="AB292" s="184" t="s">
        <v>2081</v>
      </c>
      <c r="AF292" s="63"/>
      <c r="AG292" s="58"/>
    </row>
    <row r="293" spans="2:33" x14ac:dyDescent="0.2">
      <c r="B293" s="73" t="s">
        <v>2013</v>
      </c>
      <c r="C293" s="249" t="s">
        <v>1691</v>
      </c>
      <c r="D293" s="73">
        <v>50</v>
      </c>
      <c r="E293" s="250" t="s">
        <v>5</v>
      </c>
      <c r="F293" s="73">
        <v>9</v>
      </c>
      <c r="G293" s="88">
        <f>F293+Q293</f>
        <v>11.5</v>
      </c>
      <c r="H293" s="79">
        <v>44540</v>
      </c>
      <c r="I293" s="250" t="s">
        <v>7452</v>
      </c>
      <c r="J293" s="250" t="s">
        <v>7454</v>
      </c>
      <c r="K293" s="250" t="s">
        <v>2048</v>
      </c>
      <c r="L293" s="250" t="s">
        <v>7452</v>
      </c>
      <c r="M293" s="73">
        <v>2016</v>
      </c>
      <c r="N293" s="250" t="s">
        <v>7456</v>
      </c>
      <c r="O293" s="250" t="s">
        <v>7455</v>
      </c>
      <c r="P293" s="250" t="s">
        <v>4</v>
      </c>
      <c r="Q293" s="73">
        <v>2.5</v>
      </c>
      <c r="R293" s="250" t="s">
        <v>7461</v>
      </c>
      <c r="S293" s="250" t="s">
        <v>1</v>
      </c>
      <c r="T293" s="250" t="s">
        <v>1</v>
      </c>
      <c r="U293" s="250" t="s">
        <v>1</v>
      </c>
      <c r="V293" s="250" t="s">
        <v>1</v>
      </c>
      <c r="W293" s="250" t="s">
        <v>1</v>
      </c>
      <c r="X293" s="250" t="s">
        <v>1</v>
      </c>
      <c r="Y293" s="250" t="s">
        <v>1</v>
      </c>
      <c r="Z293" s="250" t="s">
        <v>1</v>
      </c>
      <c r="AA293" s="250" t="s">
        <v>1</v>
      </c>
      <c r="AB293" s="250" t="s">
        <v>6627</v>
      </c>
      <c r="AC293" s="250" t="s">
        <v>6630</v>
      </c>
      <c r="AD293" s="250" t="s">
        <v>2657</v>
      </c>
      <c r="AE293" s="250" t="s">
        <v>7453</v>
      </c>
      <c r="AF293" s="73"/>
      <c r="AG293" s="73"/>
    </row>
    <row r="294" spans="2:33" s="184" customFormat="1" x14ac:dyDescent="0.2">
      <c r="B294" s="184" t="s">
        <v>428</v>
      </c>
      <c r="C294" s="193" t="s">
        <v>1691</v>
      </c>
      <c r="D294" s="186">
        <v>50</v>
      </c>
      <c r="E294" s="184" t="s">
        <v>5</v>
      </c>
      <c r="F294" s="186">
        <v>8.5</v>
      </c>
      <c r="G294" s="186"/>
      <c r="H294" s="194">
        <v>44307</v>
      </c>
      <c r="I294" s="184" t="s">
        <v>2765</v>
      </c>
      <c r="J294" s="184" t="s">
        <v>2764</v>
      </c>
      <c r="K294" s="184" t="s">
        <v>2048</v>
      </c>
      <c r="L294" s="184" t="s">
        <v>2763</v>
      </c>
      <c r="M294" s="184">
        <v>2016</v>
      </c>
      <c r="O294" s="184" t="s">
        <v>2762</v>
      </c>
      <c r="P294" s="187" t="s">
        <v>4</v>
      </c>
      <c r="Q294" s="187">
        <v>4.4000000000000004</v>
      </c>
      <c r="R294" s="187" t="s">
        <v>1</v>
      </c>
      <c r="S294" s="187" t="s">
        <v>1</v>
      </c>
      <c r="T294" s="187" t="s">
        <v>1</v>
      </c>
      <c r="U294" s="187" t="s">
        <v>1</v>
      </c>
      <c r="V294" s="187" t="s">
        <v>1</v>
      </c>
      <c r="W294" s="187" t="s">
        <v>1</v>
      </c>
      <c r="X294" s="187" t="s">
        <v>1</v>
      </c>
      <c r="Y294" s="187" t="s">
        <v>1</v>
      </c>
      <c r="Z294" s="187" t="s">
        <v>1</v>
      </c>
      <c r="AA294" s="187" t="s">
        <v>1</v>
      </c>
      <c r="AB294" s="184" t="s">
        <v>2054</v>
      </c>
      <c r="AF294" s="63"/>
      <c r="AG294" s="58"/>
    </row>
    <row r="295" spans="2:33" s="184" customFormat="1" x14ac:dyDescent="0.2">
      <c r="B295" s="184" t="s">
        <v>580</v>
      </c>
      <c r="C295" s="193" t="s">
        <v>1691</v>
      </c>
      <c r="D295" s="186">
        <v>50</v>
      </c>
      <c r="E295" s="184" t="s">
        <v>4</v>
      </c>
      <c r="F295" s="186">
        <v>8</v>
      </c>
      <c r="G295" s="186"/>
      <c r="H295" s="194">
        <v>44711</v>
      </c>
      <c r="I295" s="184" t="s">
        <v>2761</v>
      </c>
      <c r="J295" s="184" t="s">
        <v>2760</v>
      </c>
      <c r="K295" s="184" t="s">
        <v>2048</v>
      </c>
      <c r="L295" s="184" t="s">
        <v>2240</v>
      </c>
      <c r="M295" s="184">
        <v>2021</v>
      </c>
      <c r="N295" s="184" t="s">
        <v>2759</v>
      </c>
      <c r="O295" s="184" t="s">
        <v>2758</v>
      </c>
      <c r="P295" s="187" t="s">
        <v>1</v>
      </c>
      <c r="Q295" s="187" t="s">
        <v>1</v>
      </c>
      <c r="R295" s="187" t="s">
        <v>1</v>
      </c>
      <c r="S295" s="187" t="s">
        <v>1</v>
      </c>
      <c r="T295" s="187" t="s">
        <v>1</v>
      </c>
      <c r="U295" s="187" t="s">
        <v>1</v>
      </c>
      <c r="V295" s="187" t="s">
        <v>1</v>
      </c>
      <c r="W295" s="187" t="s">
        <v>1</v>
      </c>
      <c r="X295" s="187" t="s">
        <v>1</v>
      </c>
      <c r="Y295" s="187" t="s">
        <v>1</v>
      </c>
      <c r="Z295" s="187" t="s">
        <v>1</v>
      </c>
      <c r="AA295" s="187" t="s">
        <v>1</v>
      </c>
      <c r="AB295" s="184" t="s">
        <v>2081</v>
      </c>
      <c r="AF295" s="63"/>
      <c r="AG295" s="58"/>
    </row>
    <row r="296" spans="2:33" s="184" customFormat="1" x14ac:dyDescent="0.2">
      <c r="B296" s="184" t="s">
        <v>2757</v>
      </c>
      <c r="C296" s="193" t="s">
        <v>1691</v>
      </c>
      <c r="D296" s="186">
        <v>50</v>
      </c>
      <c r="E296" s="184" t="s">
        <v>5</v>
      </c>
      <c r="F296" s="186">
        <v>8</v>
      </c>
      <c r="G296" s="186"/>
      <c r="H296" s="194">
        <v>45020</v>
      </c>
      <c r="I296" s="184" t="s">
        <v>2756</v>
      </c>
      <c r="K296" s="184" t="s">
        <v>2048</v>
      </c>
      <c r="L296" s="184" t="s">
        <v>2305</v>
      </c>
      <c r="M296" s="184">
        <v>2019</v>
      </c>
      <c r="O296" s="184" t="s">
        <v>2755</v>
      </c>
      <c r="P296" s="187" t="s">
        <v>1</v>
      </c>
      <c r="Q296" s="187" t="s">
        <v>1</v>
      </c>
      <c r="R296" s="187" t="s">
        <v>1</v>
      </c>
      <c r="S296" s="187" t="s">
        <v>1</v>
      </c>
      <c r="T296" s="187" t="s">
        <v>1</v>
      </c>
      <c r="U296" s="187" t="s">
        <v>1</v>
      </c>
      <c r="V296" s="187" t="s">
        <v>1</v>
      </c>
      <c r="W296" s="187" t="s">
        <v>1</v>
      </c>
      <c r="X296" s="187" t="s">
        <v>1</v>
      </c>
      <c r="Y296" s="187" t="s">
        <v>1</v>
      </c>
      <c r="Z296" s="187" t="s">
        <v>1</v>
      </c>
      <c r="AA296" s="187" t="s">
        <v>1</v>
      </c>
      <c r="AB296" s="184" t="s">
        <v>2754</v>
      </c>
      <c r="AF296" s="63"/>
      <c r="AG296" s="58"/>
    </row>
    <row r="297" spans="2:33" x14ac:dyDescent="0.2">
      <c r="B297" s="73" t="s">
        <v>2007</v>
      </c>
      <c r="C297" s="249" t="s">
        <v>1691</v>
      </c>
      <c r="D297" s="73">
        <v>50</v>
      </c>
      <c r="E297" s="250" t="s">
        <v>4</v>
      </c>
      <c r="F297" s="73">
        <v>7</v>
      </c>
      <c r="G297" s="73">
        <f>F297+Q297</f>
        <v>9</v>
      </c>
      <c r="H297" s="79">
        <v>44763</v>
      </c>
      <c r="I297" s="250" t="s">
        <v>7651</v>
      </c>
      <c r="J297" s="250" t="s">
        <v>7649</v>
      </c>
      <c r="K297" s="250" t="s">
        <v>2311</v>
      </c>
      <c r="L297" s="250" t="s">
        <v>7650</v>
      </c>
      <c r="M297" s="79">
        <v>43879</v>
      </c>
      <c r="N297" s="250" t="s">
        <v>7655</v>
      </c>
      <c r="O297" s="250" t="s">
        <v>7652</v>
      </c>
      <c r="P297" s="250" t="s">
        <v>278</v>
      </c>
      <c r="Q297" s="164">
        <v>2</v>
      </c>
      <c r="R297" s="250" t="s">
        <v>7656</v>
      </c>
      <c r="S297" s="250" t="s">
        <v>1</v>
      </c>
      <c r="T297" s="250" t="s">
        <v>1</v>
      </c>
      <c r="U297" s="250" t="s">
        <v>1</v>
      </c>
      <c r="V297" s="250" t="s">
        <v>1</v>
      </c>
      <c r="W297" s="250" t="s">
        <v>1</v>
      </c>
      <c r="X297" s="250" t="s">
        <v>1</v>
      </c>
      <c r="Y297" s="250" t="s">
        <v>1</v>
      </c>
      <c r="Z297" s="250" t="s">
        <v>1</v>
      </c>
      <c r="AA297" s="250" t="s">
        <v>1</v>
      </c>
      <c r="AB297" s="173" t="s">
        <v>6627</v>
      </c>
      <c r="AC297" s="250" t="s">
        <v>6635</v>
      </c>
      <c r="AD297" s="250" t="s">
        <v>7647</v>
      </c>
      <c r="AE297" s="25" t="s">
        <v>7648</v>
      </c>
      <c r="AF297" s="73"/>
      <c r="AG297" s="73"/>
    </row>
    <row r="298" spans="2:33" x14ac:dyDescent="0.2">
      <c r="B298" s="73" t="s">
        <v>2009</v>
      </c>
      <c r="C298" s="249" t="s">
        <v>1691</v>
      </c>
      <c r="D298" s="73">
        <v>50</v>
      </c>
      <c r="E298" s="250" t="s">
        <v>4</v>
      </c>
      <c r="F298" s="264">
        <v>6.6</v>
      </c>
      <c r="G298" s="264">
        <f>F298+T298+W298</f>
        <v>9.3000000000000007</v>
      </c>
      <c r="H298" s="79">
        <v>44562</v>
      </c>
      <c r="I298" s="250" t="s">
        <v>7611</v>
      </c>
      <c r="J298" s="250" t="s">
        <v>7609</v>
      </c>
      <c r="K298" s="250" t="s">
        <v>2048</v>
      </c>
      <c r="L298" s="250" t="s">
        <v>7610</v>
      </c>
      <c r="M298" s="73">
        <v>2019</v>
      </c>
      <c r="N298" s="250" t="s">
        <v>7612</v>
      </c>
      <c r="O298" s="250" t="s">
        <v>7613</v>
      </c>
      <c r="P298" s="250" t="s">
        <v>4</v>
      </c>
      <c r="Q298" s="250" t="s">
        <v>1</v>
      </c>
      <c r="R298" s="250" t="s">
        <v>7614</v>
      </c>
      <c r="S298" s="250" t="s">
        <v>4</v>
      </c>
      <c r="T298" s="73">
        <v>2.2000000000000002</v>
      </c>
      <c r="U298" s="250" t="s">
        <v>7615</v>
      </c>
      <c r="V298" s="250" t="s">
        <v>7446</v>
      </c>
      <c r="W298" s="73">
        <v>0.5</v>
      </c>
      <c r="X298" s="250" t="s">
        <v>2699</v>
      </c>
      <c r="Y298" s="250" t="s">
        <v>1</v>
      </c>
      <c r="Z298" s="250" t="s">
        <v>1</v>
      </c>
      <c r="AA298" s="250" t="s">
        <v>1</v>
      </c>
      <c r="AB298" s="173" t="s">
        <v>6627</v>
      </c>
      <c r="AC298" s="173" t="s">
        <v>6630</v>
      </c>
      <c r="AD298" s="173" t="s">
        <v>2365</v>
      </c>
      <c r="AE298" s="25" t="s">
        <v>7608</v>
      </c>
      <c r="AF298" s="73"/>
      <c r="AG298" s="73"/>
    </row>
    <row r="299" spans="2:33" s="184" customFormat="1" x14ac:dyDescent="0.2">
      <c r="B299" s="184" t="s">
        <v>593</v>
      </c>
      <c r="C299" s="193" t="s">
        <v>1691</v>
      </c>
      <c r="D299" s="186">
        <v>50</v>
      </c>
      <c r="E299" s="184" t="s">
        <v>4</v>
      </c>
      <c r="F299" s="186">
        <v>6.8</v>
      </c>
      <c r="G299" s="186"/>
      <c r="H299" s="194">
        <v>44964</v>
      </c>
      <c r="I299" s="184" t="s">
        <v>2753</v>
      </c>
      <c r="J299" s="184" t="s">
        <v>2752</v>
      </c>
      <c r="K299" s="184" t="s">
        <v>2048</v>
      </c>
      <c r="L299" s="184" t="s">
        <v>2751</v>
      </c>
      <c r="M299" s="184">
        <v>2021</v>
      </c>
      <c r="O299" s="184" t="s">
        <v>2750</v>
      </c>
      <c r="P299" s="187" t="s">
        <v>4</v>
      </c>
      <c r="Q299" s="187">
        <v>1.6</v>
      </c>
      <c r="R299" s="187" t="s">
        <v>2749</v>
      </c>
      <c r="S299" s="187" t="s">
        <v>1</v>
      </c>
      <c r="T299" s="187" t="s">
        <v>1</v>
      </c>
      <c r="U299" s="187" t="s">
        <v>1</v>
      </c>
      <c r="V299" s="187" t="s">
        <v>1</v>
      </c>
      <c r="W299" s="187" t="s">
        <v>1</v>
      </c>
      <c r="X299" s="187" t="s">
        <v>1</v>
      </c>
      <c r="Y299" s="187" t="s">
        <v>1</v>
      </c>
      <c r="Z299" s="187" t="s">
        <v>1</v>
      </c>
      <c r="AA299" s="187" t="s">
        <v>1</v>
      </c>
      <c r="AB299" s="184" t="s">
        <v>2748</v>
      </c>
      <c r="AF299" s="63"/>
      <c r="AG299" s="58"/>
    </row>
    <row r="300" spans="2:33" s="184" customFormat="1" x14ac:dyDescent="0.2">
      <c r="B300" s="184" t="s">
        <v>439</v>
      </c>
      <c r="C300" s="193" t="s">
        <v>1691</v>
      </c>
      <c r="D300" s="186">
        <v>50</v>
      </c>
      <c r="E300" s="184" t="s">
        <v>4</v>
      </c>
      <c r="F300" s="186">
        <v>7</v>
      </c>
      <c r="G300" s="186"/>
      <c r="H300" s="194">
        <v>44602</v>
      </c>
      <c r="I300" s="184" t="s">
        <v>2747</v>
      </c>
      <c r="J300" s="184" t="s">
        <v>2746</v>
      </c>
      <c r="K300" s="184" t="s">
        <v>2048</v>
      </c>
      <c r="L300" s="184" t="s">
        <v>2322</v>
      </c>
      <c r="M300" s="184">
        <v>2019</v>
      </c>
      <c r="O300" s="184" t="s">
        <v>2745</v>
      </c>
      <c r="P300" s="187" t="s">
        <v>278</v>
      </c>
      <c r="Q300" s="187">
        <v>1.1000000000000001</v>
      </c>
      <c r="R300" s="187" t="s">
        <v>440</v>
      </c>
      <c r="S300" s="187" t="s">
        <v>1</v>
      </c>
      <c r="T300" s="187" t="s">
        <v>1</v>
      </c>
      <c r="U300" s="187" t="s">
        <v>1</v>
      </c>
      <c r="V300" s="187" t="s">
        <v>1</v>
      </c>
      <c r="W300" s="187" t="s">
        <v>1</v>
      </c>
      <c r="X300" s="187" t="s">
        <v>1</v>
      </c>
      <c r="Y300" s="187" t="s">
        <v>1</v>
      </c>
      <c r="Z300" s="187" t="s">
        <v>1</v>
      </c>
      <c r="AA300" s="187" t="s">
        <v>1</v>
      </c>
      <c r="AB300" s="184" t="s">
        <v>2155</v>
      </c>
      <c r="AF300" s="63"/>
      <c r="AG300" s="58"/>
    </row>
    <row r="301" spans="2:33" s="184" customFormat="1" x14ac:dyDescent="0.2">
      <c r="B301" s="184" t="s">
        <v>829</v>
      </c>
      <c r="C301" s="193" t="s">
        <v>1691</v>
      </c>
      <c r="D301" s="186">
        <v>50</v>
      </c>
      <c r="E301" s="184" t="s">
        <v>4</v>
      </c>
      <c r="F301" s="186">
        <v>4.5</v>
      </c>
      <c r="G301" s="186"/>
      <c r="H301" s="194">
        <v>45056</v>
      </c>
      <c r="I301" s="184" t="s">
        <v>2744</v>
      </c>
      <c r="J301" s="184" t="s">
        <v>2743</v>
      </c>
      <c r="K301" s="184" t="s">
        <v>2048</v>
      </c>
      <c r="L301" s="184" t="s">
        <v>2742</v>
      </c>
      <c r="M301" s="184">
        <v>2022</v>
      </c>
      <c r="O301" s="184" t="s">
        <v>2741</v>
      </c>
      <c r="P301" s="187" t="s">
        <v>1</v>
      </c>
      <c r="Q301" s="187" t="s">
        <v>1</v>
      </c>
      <c r="R301" s="187" t="s">
        <v>1</v>
      </c>
      <c r="S301" s="187" t="s">
        <v>1</v>
      </c>
      <c r="T301" s="187" t="s">
        <v>1</v>
      </c>
      <c r="U301" s="187" t="s">
        <v>1</v>
      </c>
      <c r="V301" s="187" t="s">
        <v>1</v>
      </c>
      <c r="W301" s="187" t="s">
        <v>1</v>
      </c>
      <c r="X301" s="187" t="s">
        <v>1</v>
      </c>
      <c r="Y301" s="187" t="s">
        <v>1</v>
      </c>
      <c r="Z301" s="187" t="s">
        <v>1</v>
      </c>
      <c r="AA301" s="187" t="s">
        <v>1</v>
      </c>
      <c r="AB301" s="184" t="s">
        <v>2046</v>
      </c>
      <c r="AF301" s="63"/>
      <c r="AG301" s="58"/>
    </row>
    <row r="302" spans="2:33" s="184" customFormat="1" x14ac:dyDescent="0.2">
      <c r="B302" s="184" t="s">
        <v>709</v>
      </c>
      <c r="C302" s="193" t="s">
        <v>1691</v>
      </c>
      <c r="D302" s="186">
        <v>50</v>
      </c>
      <c r="E302" s="184" t="s">
        <v>4</v>
      </c>
      <c r="F302" s="186">
        <v>5.5</v>
      </c>
      <c r="G302" s="186"/>
      <c r="H302" s="194">
        <v>45092</v>
      </c>
      <c r="I302" s="184" t="s">
        <v>2740</v>
      </c>
      <c r="K302" s="184" t="s">
        <v>2048</v>
      </c>
      <c r="L302" s="184" t="s">
        <v>2059</v>
      </c>
      <c r="M302" s="200">
        <v>44176</v>
      </c>
      <c r="O302" s="184" t="s">
        <v>2739</v>
      </c>
      <c r="P302" s="187" t="s">
        <v>278</v>
      </c>
      <c r="Q302" s="187">
        <v>0.125</v>
      </c>
      <c r="R302" s="187" t="s">
        <v>2699</v>
      </c>
      <c r="S302" s="187" t="s">
        <v>1</v>
      </c>
      <c r="T302" s="187" t="s">
        <v>1</v>
      </c>
      <c r="U302" s="187" t="s">
        <v>1</v>
      </c>
      <c r="V302" s="187" t="s">
        <v>1</v>
      </c>
      <c r="W302" s="187" t="s">
        <v>1</v>
      </c>
      <c r="X302" s="187" t="s">
        <v>1</v>
      </c>
      <c r="Y302" s="187" t="s">
        <v>1</v>
      </c>
      <c r="Z302" s="187" t="s">
        <v>1</v>
      </c>
      <c r="AA302" s="187" t="s">
        <v>1</v>
      </c>
      <c r="AB302" s="184" t="s">
        <v>2365</v>
      </c>
      <c r="AF302" s="63"/>
      <c r="AG302" s="58"/>
    </row>
    <row r="303" spans="2:33" s="184" customFormat="1" x14ac:dyDescent="0.2">
      <c r="B303" s="184" t="s">
        <v>562</v>
      </c>
      <c r="C303" s="193" t="s">
        <v>1691</v>
      </c>
      <c r="D303" s="186">
        <v>50</v>
      </c>
      <c r="E303" s="184" t="s">
        <v>4</v>
      </c>
      <c r="F303" s="186">
        <v>5.6</v>
      </c>
      <c r="G303" s="186"/>
      <c r="H303" s="194">
        <v>45048</v>
      </c>
      <c r="I303" s="184" t="s">
        <v>2738</v>
      </c>
      <c r="J303" s="184" t="s">
        <v>2737</v>
      </c>
      <c r="K303" s="184" t="s">
        <v>2048</v>
      </c>
      <c r="L303" s="184" t="s">
        <v>2736</v>
      </c>
      <c r="M303" s="184">
        <v>2022</v>
      </c>
      <c r="N303" s="184" t="s">
        <v>2735</v>
      </c>
      <c r="O303" s="184" t="s">
        <v>2734</v>
      </c>
      <c r="P303" s="187" t="s">
        <v>1</v>
      </c>
      <c r="Q303" s="187" t="s">
        <v>1</v>
      </c>
      <c r="R303" s="187" t="s">
        <v>1</v>
      </c>
      <c r="S303" s="187" t="s">
        <v>1</v>
      </c>
      <c r="T303" s="187" t="s">
        <v>1</v>
      </c>
      <c r="U303" s="187" t="s">
        <v>1</v>
      </c>
      <c r="V303" s="187" t="s">
        <v>1</v>
      </c>
      <c r="W303" s="187" t="s">
        <v>1</v>
      </c>
      <c r="X303" s="187" t="s">
        <v>1</v>
      </c>
      <c r="Y303" s="187" t="s">
        <v>1</v>
      </c>
      <c r="Z303" s="187" t="s">
        <v>1</v>
      </c>
      <c r="AA303" s="187" t="s">
        <v>1</v>
      </c>
      <c r="AB303" s="184" t="s">
        <v>2051</v>
      </c>
      <c r="AF303" s="63"/>
      <c r="AG303" s="58"/>
    </row>
    <row r="304" spans="2:33" s="184" customFormat="1" x14ac:dyDescent="0.2">
      <c r="B304" s="184" t="s">
        <v>591</v>
      </c>
      <c r="C304" s="193" t="s">
        <v>1691</v>
      </c>
      <c r="D304" s="186">
        <v>50</v>
      </c>
      <c r="E304" s="184" t="s">
        <v>4</v>
      </c>
      <c r="F304" s="186">
        <v>6</v>
      </c>
      <c r="G304" s="186"/>
      <c r="H304" s="194">
        <v>44852</v>
      </c>
      <c r="I304" s="184" t="s">
        <v>2733</v>
      </c>
      <c r="J304" s="184" t="s">
        <v>2732</v>
      </c>
      <c r="K304" s="184" t="s">
        <v>2048</v>
      </c>
      <c r="L304" s="184" t="s">
        <v>2731</v>
      </c>
      <c r="M304" s="184">
        <v>2022</v>
      </c>
      <c r="O304" s="184" t="s">
        <v>2730</v>
      </c>
      <c r="P304" s="187" t="s">
        <v>1</v>
      </c>
      <c r="Q304" s="187" t="s">
        <v>1</v>
      </c>
      <c r="R304" s="187" t="s">
        <v>1</v>
      </c>
      <c r="S304" s="187" t="s">
        <v>1</v>
      </c>
      <c r="T304" s="187" t="s">
        <v>1</v>
      </c>
      <c r="U304" s="187" t="s">
        <v>1</v>
      </c>
      <c r="V304" s="187" t="s">
        <v>1</v>
      </c>
      <c r="W304" s="187" t="s">
        <v>1</v>
      </c>
      <c r="X304" s="187" t="s">
        <v>1</v>
      </c>
      <c r="Y304" s="187" t="s">
        <v>1</v>
      </c>
      <c r="Z304" s="187" t="s">
        <v>1</v>
      </c>
      <c r="AA304" s="187" t="s">
        <v>1</v>
      </c>
      <c r="AB304" s="184" t="s">
        <v>2155</v>
      </c>
      <c r="AF304" s="63"/>
      <c r="AG304" s="58"/>
    </row>
    <row r="305" spans="1:34" s="184" customFormat="1" x14ac:dyDescent="0.2">
      <c r="B305" s="184" t="s">
        <v>469</v>
      </c>
      <c r="C305" s="193" t="s">
        <v>1691</v>
      </c>
      <c r="D305" s="186">
        <v>50</v>
      </c>
      <c r="E305" s="184" t="s">
        <v>4</v>
      </c>
      <c r="F305" s="186">
        <v>6</v>
      </c>
      <c r="G305" s="186"/>
      <c r="H305" s="194">
        <v>45104</v>
      </c>
      <c r="I305" s="184" t="s">
        <v>2729</v>
      </c>
      <c r="K305" s="184" t="s">
        <v>2048</v>
      </c>
      <c r="L305" s="184" t="s">
        <v>2728</v>
      </c>
      <c r="M305" s="184">
        <v>2023</v>
      </c>
      <c r="N305" s="184" t="s">
        <v>1900</v>
      </c>
      <c r="O305" s="184" t="s">
        <v>2727</v>
      </c>
      <c r="P305" s="187" t="s">
        <v>1</v>
      </c>
      <c r="Q305" s="187" t="s">
        <v>1</v>
      </c>
      <c r="R305" s="187" t="s">
        <v>1</v>
      </c>
      <c r="S305" s="187" t="s">
        <v>1</v>
      </c>
      <c r="T305" s="187" t="s">
        <v>1</v>
      </c>
      <c r="U305" s="187" t="s">
        <v>1</v>
      </c>
      <c r="V305" s="187" t="s">
        <v>1</v>
      </c>
      <c r="W305" s="187" t="s">
        <v>1</v>
      </c>
      <c r="X305" s="187" t="s">
        <v>1</v>
      </c>
      <c r="Y305" s="187" t="s">
        <v>1</v>
      </c>
      <c r="Z305" s="187" t="s">
        <v>1</v>
      </c>
      <c r="AA305" s="187" t="s">
        <v>1</v>
      </c>
      <c r="AB305" s="184" t="s">
        <v>2148</v>
      </c>
      <c r="AF305" s="63"/>
      <c r="AG305" s="58"/>
    </row>
    <row r="306" spans="1:34" s="184" customFormat="1" x14ac:dyDescent="0.2">
      <c r="B306" s="184" t="s">
        <v>596</v>
      </c>
      <c r="C306" s="193" t="s">
        <v>1691</v>
      </c>
      <c r="D306" s="186">
        <v>50</v>
      </c>
      <c r="E306" s="184" t="s">
        <v>4</v>
      </c>
      <c r="F306" s="186">
        <v>6</v>
      </c>
      <c r="G306" s="186"/>
      <c r="H306" s="194">
        <v>44781</v>
      </c>
      <c r="I306" s="184" t="s">
        <v>2726</v>
      </c>
      <c r="J306" s="184" t="s">
        <v>2725</v>
      </c>
      <c r="K306" s="184" t="s">
        <v>2048</v>
      </c>
      <c r="L306" s="184" t="s">
        <v>2724</v>
      </c>
      <c r="M306" s="184">
        <v>2021</v>
      </c>
      <c r="O306" s="184" t="s">
        <v>2723</v>
      </c>
      <c r="P306" s="187" t="s">
        <v>278</v>
      </c>
      <c r="Q306" s="187">
        <v>1</v>
      </c>
      <c r="R306" s="187" t="s">
        <v>2722</v>
      </c>
      <c r="S306" s="187" t="s">
        <v>1</v>
      </c>
      <c r="T306" s="187" t="s">
        <v>1</v>
      </c>
      <c r="U306" s="187" t="s">
        <v>1</v>
      </c>
      <c r="V306" s="187" t="s">
        <v>1</v>
      </c>
      <c r="W306" s="187" t="s">
        <v>1</v>
      </c>
      <c r="X306" s="187" t="s">
        <v>1</v>
      </c>
      <c r="Y306" s="187" t="s">
        <v>1</v>
      </c>
      <c r="Z306" s="187" t="s">
        <v>1</v>
      </c>
      <c r="AA306" s="187" t="s">
        <v>1</v>
      </c>
      <c r="AB306" s="184" t="s">
        <v>2125</v>
      </c>
      <c r="AF306" s="63"/>
      <c r="AG306" s="58"/>
    </row>
    <row r="307" spans="1:34" s="184" customFormat="1" x14ac:dyDescent="0.2">
      <c r="B307" s="184" t="s">
        <v>541</v>
      </c>
      <c r="C307" s="193" t="s">
        <v>1691</v>
      </c>
      <c r="D307" s="186">
        <v>50</v>
      </c>
      <c r="E307" s="184" t="s">
        <v>5</v>
      </c>
      <c r="F307" s="186">
        <v>5</v>
      </c>
      <c r="G307" s="186"/>
      <c r="H307" s="194">
        <v>44514</v>
      </c>
      <c r="I307" s="184" t="s">
        <v>2721</v>
      </c>
      <c r="J307" s="184" t="s">
        <v>2720</v>
      </c>
      <c r="K307" s="184" t="s">
        <v>2048</v>
      </c>
      <c r="L307" s="184" t="s">
        <v>2145</v>
      </c>
      <c r="M307" s="184">
        <v>2018</v>
      </c>
      <c r="O307" s="184" t="s">
        <v>2719</v>
      </c>
      <c r="P307" s="187" t="s">
        <v>4</v>
      </c>
      <c r="Q307" s="187" t="s">
        <v>1</v>
      </c>
      <c r="R307" s="187" t="s">
        <v>2718</v>
      </c>
      <c r="S307" s="187" t="s">
        <v>1</v>
      </c>
      <c r="T307" s="187" t="s">
        <v>1</v>
      </c>
      <c r="U307" s="187" t="s">
        <v>1</v>
      </c>
      <c r="V307" s="187" t="s">
        <v>1</v>
      </c>
      <c r="W307" s="187" t="s">
        <v>1</v>
      </c>
      <c r="X307" s="187" t="s">
        <v>1</v>
      </c>
      <c r="Y307" s="187" t="s">
        <v>1</v>
      </c>
      <c r="Z307" s="187" t="s">
        <v>1</v>
      </c>
      <c r="AA307" s="187" t="s">
        <v>1</v>
      </c>
      <c r="AB307" s="184" t="s">
        <v>2097</v>
      </c>
      <c r="AF307" s="63"/>
      <c r="AG307" s="58"/>
    </row>
    <row r="308" spans="1:34" s="184" customFormat="1" x14ac:dyDescent="0.2">
      <c r="B308" s="184" t="s">
        <v>2717</v>
      </c>
      <c r="C308" s="193" t="s">
        <v>1691</v>
      </c>
      <c r="D308" s="186">
        <v>50</v>
      </c>
      <c r="E308" s="184" t="s">
        <v>7</v>
      </c>
      <c r="F308" s="186">
        <v>5</v>
      </c>
      <c r="G308" s="186"/>
      <c r="H308" s="185" t="s">
        <v>1</v>
      </c>
      <c r="I308" s="184" t="s">
        <v>2716</v>
      </c>
      <c r="K308" s="184" t="s">
        <v>2048</v>
      </c>
      <c r="L308" s="184" t="s">
        <v>2305</v>
      </c>
      <c r="M308" s="200">
        <v>40483</v>
      </c>
      <c r="O308" s="184" t="s">
        <v>7</v>
      </c>
      <c r="P308" s="187" t="s">
        <v>1</v>
      </c>
      <c r="Q308" s="187" t="s">
        <v>1</v>
      </c>
      <c r="R308" s="187" t="s">
        <v>5</v>
      </c>
      <c r="S308" s="187" t="s">
        <v>1</v>
      </c>
      <c r="T308" s="187" t="s">
        <v>1</v>
      </c>
      <c r="U308" s="187" t="s">
        <v>1</v>
      </c>
      <c r="V308" s="187" t="s">
        <v>1</v>
      </c>
      <c r="W308" s="187" t="s">
        <v>1</v>
      </c>
      <c r="X308" s="187" t="s">
        <v>1</v>
      </c>
      <c r="Y308" s="187" t="s">
        <v>1</v>
      </c>
      <c r="Z308" s="187" t="s">
        <v>1</v>
      </c>
      <c r="AA308" s="187" t="s">
        <v>1</v>
      </c>
      <c r="AB308" s="184" t="s">
        <v>2715</v>
      </c>
      <c r="AF308" s="63"/>
      <c r="AG308" s="58"/>
    </row>
    <row r="309" spans="1:34" s="184" customFormat="1" x14ac:dyDescent="0.2">
      <c r="B309" s="184" t="s">
        <v>703</v>
      </c>
      <c r="C309" s="193" t="s">
        <v>1691</v>
      </c>
      <c r="D309" s="186">
        <v>50</v>
      </c>
      <c r="E309" s="184" t="s">
        <v>5</v>
      </c>
      <c r="F309" s="186">
        <v>6</v>
      </c>
      <c r="G309" s="186"/>
      <c r="H309" s="194">
        <v>44917</v>
      </c>
      <c r="I309" s="184" t="s">
        <v>2714</v>
      </c>
      <c r="K309" s="184" t="s">
        <v>2048</v>
      </c>
      <c r="L309" s="184" t="s">
        <v>2629</v>
      </c>
      <c r="O309" s="184" t="s">
        <v>2713</v>
      </c>
      <c r="P309" s="187" t="s">
        <v>4</v>
      </c>
      <c r="Q309" s="187">
        <v>5.9</v>
      </c>
      <c r="R309" s="187" t="s">
        <v>2712</v>
      </c>
      <c r="S309" s="187" t="s">
        <v>4</v>
      </c>
      <c r="T309" s="187" t="s">
        <v>1</v>
      </c>
      <c r="U309" s="187" t="s">
        <v>2711</v>
      </c>
      <c r="V309" s="187" t="s">
        <v>4</v>
      </c>
      <c r="W309" s="187">
        <v>3.6</v>
      </c>
      <c r="X309" s="187" t="s">
        <v>2710</v>
      </c>
      <c r="Y309" s="187" t="s">
        <v>1</v>
      </c>
      <c r="Z309" s="187" t="s">
        <v>1</v>
      </c>
      <c r="AA309" s="187" t="s">
        <v>1</v>
      </c>
      <c r="AB309" s="184" t="s">
        <v>2709</v>
      </c>
      <c r="AF309" s="63"/>
      <c r="AG309" s="58"/>
    </row>
    <row r="310" spans="1:34" s="184" customFormat="1" x14ac:dyDescent="0.2">
      <c r="B310" s="184" t="s">
        <v>332</v>
      </c>
      <c r="C310" s="193" t="s">
        <v>1691</v>
      </c>
      <c r="D310" s="186">
        <v>50</v>
      </c>
      <c r="E310" s="184" t="s">
        <v>2708</v>
      </c>
      <c r="F310" s="186">
        <v>2.5</v>
      </c>
      <c r="G310" s="186"/>
      <c r="H310" s="194">
        <v>44805</v>
      </c>
      <c r="I310" s="184" t="s">
        <v>2707</v>
      </c>
      <c r="J310" s="184" t="s">
        <v>2706</v>
      </c>
      <c r="K310" s="184" t="s">
        <v>2048</v>
      </c>
      <c r="L310" s="184" t="s">
        <v>2396</v>
      </c>
      <c r="M310" s="184">
        <v>2020</v>
      </c>
      <c r="N310" s="184" t="s">
        <v>2705</v>
      </c>
      <c r="O310" s="184" t="s">
        <v>1</v>
      </c>
      <c r="P310" s="187" t="s">
        <v>4</v>
      </c>
      <c r="Q310" s="187">
        <v>5.0999999999999996</v>
      </c>
      <c r="R310" s="187" t="s">
        <v>2704</v>
      </c>
      <c r="S310" s="187" t="s">
        <v>1</v>
      </c>
      <c r="T310" s="187" t="s">
        <v>1</v>
      </c>
      <c r="U310" s="187" t="s">
        <v>1</v>
      </c>
      <c r="V310" s="187" t="s">
        <v>1</v>
      </c>
      <c r="W310" s="187" t="s">
        <v>1</v>
      </c>
      <c r="X310" s="187" t="s">
        <v>1</v>
      </c>
      <c r="Y310" s="187" t="s">
        <v>1</v>
      </c>
      <c r="Z310" s="187" t="s">
        <v>1</v>
      </c>
      <c r="AA310" s="187" t="s">
        <v>1</v>
      </c>
      <c r="AB310" s="184" t="s">
        <v>2462</v>
      </c>
      <c r="AF310" s="63"/>
      <c r="AG310" s="58"/>
    </row>
    <row r="311" spans="1:34" s="184" customFormat="1" x14ac:dyDescent="0.2">
      <c r="B311" s="184" t="s">
        <v>699</v>
      </c>
      <c r="C311" s="193" t="s">
        <v>1691</v>
      </c>
      <c r="D311" s="186">
        <v>50</v>
      </c>
      <c r="E311" s="184" t="s">
        <v>4</v>
      </c>
      <c r="F311" s="186">
        <v>2.5</v>
      </c>
      <c r="G311" s="186"/>
      <c r="H311" s="194">
        <v>44469</v>
      </c>
      <c r="I311" s="184" t="s">
        <v>2703</v>
      </c>
      <c r="J311" s="184" t="s">
        <v>2702</v>
      </c>
      <c r="K311" s="184" t="s">
        <v>2048</v>
      </c>
      <c r="L311" s="184" t="s">
        <v>2701</v>
      </c>
      <c r="M311" s="199">
        <v>44211</v>
      </c>
      <c r="O311" s="184" t="s">
        <v>2700</v>
      </c>
      <c r="P311" s="187" t="s">
        <v>278</v>
      </c>
      <c r="Q311" s="187" t="s">
        <v>1</v>
      </c>
      <c r="R311" s="187" t="s">
        <v>2699</v>
      </c>
      <c r="S311" s="187" t="s">
        <v>1</v>
      </c>
      <c r="T311" s="187" t="s">
        <v>1</v>
      </c>
      <c r="U311" s="187" t="s">
        <v>1</v>
      </c>
      <c r="V311" s="187" t="s">
        <v>1</v>
      </c>
      <c r="W311" s="187" t="s">
        <v>1</v>
      </c>
      <c r="X311" s="187" t="s">
        <v>1</v>
      </c>
      <c r="Y311" s="187" t="s">
        <v>1</v>
      </c>
      <c r="Z311" s="187" t="s">
        <v>1</v>
      </c>
      <c r="AA311" s="187" t="s">
        <v>1</v>
      </c>
      <c r="AB311" s="184" t="s">
        <v>2365</v>
      </c>
      <c r="AF311" s="63"/>
      <c r="AG311" s="58"/>
    </row>
    <row r="312" spans="1:34" s="184" customFormat="1" x14ac:dyDescent="0.2">
      <c r="B312" s="184" t="s">
        <v>2698</v>
      </c>
      <c r="C312" s="193" t="s">
        <v>1691</v>
      </c>
      <c r="D312" s="186">
        <v>50</v>
      </c>
      <c r="E312" s="184" t="s">
        <v>4</v>
      </c>
      <c r="F312" s="186">
        <v>1.5</v>
      </c>
      <c r="G312" s="186"/>
      <c r="H312" s="194">
        <v>45061</v>
      </c>
      <c r="I312" s="184" t="s">
        <v>2697</v>
      </c>
      <c r="J312" s="184" t="s">
        <v>2696</v>
      </c>
      <c r="K312" s="184" t="s">
        <v>2311</v>
      </c>
      <c r="L312" s="184" t="s">
        <v>2695</v>
      </c>
      <c r="M312" s="184">
        <v>2023</v>
      </c>
      <c r="O312" s="184" t="s">
        <v>2694</v>
      </c>
      <c r="P312" s="187" t="s">
        <v>1</v>
      </c>
      <c r="Q312" s="187" t="s">
        <v>1</v>
      </c>
      <c r="R312" s="187" t="s">
        <v>1</v>
      </c>
      <c r="S312" s="187" t="s">
        <v>1</v>
      </c>
      <c r="T312" s="187" t="s">
        <v>1</v>
      </c>
      <c r="U312" s="187" t="s">
        <v>1</v>
      </c>
      <c r="V312" s="187" t="s">
        <v>1</v>
      </c>
      <c r="W312" s="187" t="s">
        <v>1</v>
      </c>
      <c r="X312" s="187" t="s">
        <v>1</v>
      </c>
      <c r="Y312" s="187" t="s">
        <v>1</v>
      </c>
      <c r="Z312" s="187" t="s">
        <v>1</v>
      </c>
      <c r="AA312" s="187" t="s">
        <v>1</v>
      </c>
      <c r="AB312" s="184" t="s">
        <v>2693</v>
      </c>
      <c r="AF312" s="63"/>
      <c r="AG312" s="58"/>
    </row>
    <row r="313" spans="1:34" s="184" customFormat="1" x14ac:dyDescent="0.2">
      <c r="B313" s="184" t="s">
        <v>2692</v>
      </c>
      <c r="C313" s="193" t="s">
        <v>1691</v>
      </c>
      <c r="D313" s="186">
        <v>50</v>
      </c>
      <c r="E313" s="184" t="s">
        <v>4</v>
      </c>
      <c r="F313" s="186">
        <v>0.5</v>
      </c>
      <c r="G313" s="186"/>
      <c r="H313" s="194">
        <v>45021</v>
      </c>
      <c r="I313" s="184" t="s">
        <v>2691</v>
      </c>
      <c r="K313" s="184" t="s">
        <v>2048</v>
      </c>
      <c r="L313" s="184" t="s">
        <v>2690</v>
      </c>
      <c r="M313" s="184">
        <v>2022</v>
      </c>
      <c r="N313" s="184" t="s">
        <v>1706</v>
      </c>
      <c r="O313" s="184" t="s">
        <v>1068</v>
      </c>
      <c r="P313" s="187" t="s">
        <v>4</v>
      </c>
      <c r="Q313" s="187">
        <v>0.56999999999999995</v>
      </c>
      <c r="R313" s="187" t="s">
        <v>775</v>
      </c>
      <c r="S313" s="187" t="s">
        <v>1</v>
      </c>
      <c r="T313" s="187" t="s">
        <v>1</v>
      </c>
      <c r="U313" s="187" t="s">
        <v>1</v>
      </c>
      <c r="V313" s="187" t="s">
        <v>1</v>
      </c>
      <c r="W313" s="187" t="s">
        <v>1</v>
      </c>
      <c r="X313" s="187" t="s">
        <v>1</v>
      </c>
      <c r="Y313" s="187" t="s">
        <v>1</v>
      </c>
      <c r="Z313" s="187" t="s">
        <v>1</v>
      </c>
      <c r="AA313" s="187" t="s">
        <v>1</v>
      </c>
      <c r="AB313" s="184" t="s">
        <v>2689</v>
      </c>
      <c r="AF313" s="63"/>
      <c r="AG313" s="58"/>
    </row>
    <row r="314" spans="1:34" x14ac:dyDescent="0.2">
      <c r="A314" s="184"/>
      <c r="B314" s="184" t="s">
        <v>2688</v>
      </c>
      <c r="C314" s="193" t="s">
        <v>1691</v>
      </c>
      <c r="D314" s="186">
        <v>50</v>
      </c>
      <c r="E314" s="184" t="s">
        <v>278</v>
      </c>
      <c r="F314" s="186">
        <v>0.5</v>
      </c>
      <c r="G314" s="75">
        <f>F314</f>
        <v>0.5</v>
      </c>
      <c r="H314" s="194">
        <v>45021</v>
      </c>
      <c r="I314" s="184" t="s">
        <v>2687</v>
      </c>
      <c r="J314" s="184" t="s">
        <v>2686</v>
      </c>
      <c r="K314" s="184" t="s">
        <v>2048</v>
      </c>
      <c r="L314" s="184" t="s">
        <v>2527</v>
      </c>
      <c r="M314" s="200">
        <v>42609</v>
      </c>
      <c r="N314" s="184" t="s">
        <v>1909</v>
      </c>
      <c r="O314" s="184" t="s">
        <v>2685</v>
      </c>
      <c r="P314" s="187" t="s">
        <v>1</v>
      </c>
      <c r="Q314" s="187" t="s">
        <v>1</v>
      </c>
      <c r="R314" s="187" t="s">
        <v>1</v>
      </c>
      <c r="S314" s="187" t="s">
        <v>1</v>
      </c>
      <c r="T314" s="187" t="s">
        <v>1</v>
      </c>
      <c r="U314" s="187" t="s">
        <v>1</v>
      </c>
      <c r="V314" s="187" t="s">
        <v>1</v>
      </c>
      <c r="W314" s="187" t="s">
        <v>1</v>
      </c>
      <c r="X314" s="187" t="s">
        <v>1</v>
      </c>
      <c r="Y314" s="187" t="s">
        <v>1</v>
      </c>
      <c r="Z314" s="187" t="s">
        <v>1</v>
      </c>
      <c r="AA314" s="187" t="s">
        <v>1</v>
      </c>
      <c r="AB314" s="184" t="s">
        <v>2365</v>
      </c>
      <c r="AC314" s="184"/>
      <c r="AD314" s="184"/>
      <c r="AE314" s="25" t="s">
        <v>5159</v>
      </c>
      <c r="AF314" s="63">
        <v>2.7959999999999998</v>
      </c>
      <c r="AG314" s="69">
        <v>0.20208333333333331</v>
      </c>
      <c r="AH314" s="184"/>
    </row>
    <row r="315" spans="1:34" x14ac:dyDescent="0.2">
      <c r="A315" s="184"/>
      <c r="B315" s="184" t="s">
        <v>2660</v>
      </c>
      <c r="C315" s="193" t="s">
        <v>1691</v>
      </c>
      <c r="D315" s="186">
        <v>30</v>
      </c>
      <c r="E315" s="184" t="s">
        <v>4</v>
      </c>
      <c r="F315" s="186">
        <v>6</v>
      </c>
      <c r="G315" s="75">
        <f>F315</f>
        <v>6</v>
      </c>
      <c r="H315" s="194">
        <v>45070</v>
      </c>
      <c r="I315" s="184" t="s">
        <v>2659</v>
      </c>
      <c r="J315" s="184" t="s">
        <v>2658</v>
      </c>
      <c r="K315" s="184" t="s">
        <v>2311</v>
      </c>
      <c r="L315" s="184" t="s">
        <v>2527</v>
      </c>
      <c r="M315" s="184">
        <v>2021</v>
      </c>
      <c r="N315" s="184"/>
      <c r="O315" s="184" t="s">
        <v>1</v>
      </c>
      <c r="P315" s="184" t="s">
        <v>1</v>
      </c>
      <c r="Q315" s="184" t="s">
        <v>1</v>
      </c>
      <c r="R315" s="184" t="s">
        <v>1</v>
      </c>
      <c r="S315" s="184" t="s">
        <v>1</v>
      </c>
      <c r="T315" s="184" t="s">
        <v>1</v>
      </c>
      <c r="U315" s="184" t="s">
        <v>1</v>
      </c>
      <c r="V315" s="184" t="s">
        <v>1</v>
      </c>
      <c r="W315" s="184" t="s">
        <v>1</v>
      </c>
      <c r="X315" s="184" t="s">
        <v>1</v>
      </c>
      <c r="Y315" s="184" t="s">
        <v>1</v>
      </c>
      <c r="Z315" s="184" t="s">
        <v>1</v>
      </c>
      <c r="AA315" s="184" t="s">
        <v>1</v>
      </c>
      <c r="AB315" s="184" t="s">
        <v>6627</v>
      </c>
      <c r="AC315" s="184" t="s">
        <v>6630</v>
      </c>
      <c r="AD315" s="184" t="s">
        <v>2657</v>
      </c>
      <c r="AE315" s="25" t="s">
        <v>5044</v>
      </c>
      <c r="AF315" s="63">
        <v>2.4209999999999998</v>
      </c>
      <c r="AG315" s="69">
        <v>0.1173611111111111</v>
      </c>
      <c r="AH315" s="184"/>
    </row>
    <row r="316" spans="1:34" s="184" customFormat="1" x14ac:dyDescent="0.2">
      <c r="B316" s="184" t="s">
        <v>2684</v>
      </c>
      <c r="C316" s="193" t="s">
        <v>1691</v>
      </c>
      <c r="D316" s="186">
        <v>40</v>
      </c>
      <c r="E316" s="184" t="s">
        <v>7</v>
      </c>
      <c r="F316" s="186">
        <v>5</v>
      </c>
      <c r="G316" s="186"/>
      <c r="H316" s="194">
        <v>44008</v>
      </c>
      <c r="I316" s="184" t="s">
        <v>2683</v>
      </c>
      <c r="J316" s="184" t="s">
        <v>2682</v>
      </c>
      <c r="K316" s="184" t="s">
        <v>2048</v>
      </c>
      <c r="L316" s="184" t="s">
        <v>2103</v>
      </c>
      <c r="M316" s="184">
        <v>2016</v>
      </c>
      <c r="N316" s="184" t="s">
        <v>2681</v>
      </c>
      <c r="O316" s="184" t="s">
        <v>2680</v>
      </c>
      <c r="P316" s="187" t="s">
        <v>7</v>
      </c>
      <c r="Q316" s="187">
        <v>14</v>
      </c>
      <c r="R316" s="187" t="s">
        <v>2679</v>
      </c>
      <c r="S316" s="187" t="s">
        <v>5</v>
      </c>
      <c r="T316" s="187">
        <v>4</v>
      </c>
      <c r="U316" s="187" t="s">
        <v>2678</v>
      </c>
      <c r="V316" s="187" t="s">
        <v>4</v>
      </c>
      <c r="W316" s="187">
        <v>0.6</v>
      </c>
      <c r="X316" s="187" t="s">
        <v>2677</v>
      </c>
      <c r="Y316" s="187" t="s">
        <v>1</v>
      </c>
      <c r="Z316" s="187" t="s">
        <v>1</v>
      </c>
      <c r="AA316" s="187" t="s">
        <v>1</v>
      </c>
      <c r="AB316" s="184" t="s">
        <v>2676</v>
      </c>
      <c r="AF316" s="63"/>
      <c r="AG316" s="58"/>
    </row>
    <row r="317" spans="1:34" s="184" customFormat="1" x14ac:dyDescent="0.2">
      <c r="B317" s="184" t="s">
        <v>2675</v>
      </c>
      <c r="C317" s="193" t="s">
        <v>1691</v>
      </c>
      <c r="D317" s="186">
        <v>40</v>
      </c>
      <c r="E317" s="184" t="s">
        <v>4</v>
      </c>
      <c r="F317" s="186">
        <v>10</v>
      </c>
      <c r="G317" s="186"/>
      <c r="H317" s="194">
        <v>45026</v>
      </c>
      <c r="I317" s="184" t="s">
        <v>2674</v>
      </c>
      <c r="K317" s="184" t="s">
        <v>2318</v>
      </c>
      <c r="L317" s="184" t="s">
        <v>2318</v>
      </c>
      <c r="M317" s="184">
        <v>2023</v>
      </c>
      <c r="O317" s="184" t="s">
        <v>1</v>
      </c>
      <c r="P317" s="184" t="s">
        <v>1</v>
      </c>
      <c r="Q317" s="184" t="s">
        <v>1</v>
      </c>
      <c r="R317" s="184" t="s">
        <v>1</v>
      </c>
      <c r="S317" s="184" t="s">
        <v>1</v>
      </c>
      <c r="T317" s="184" t="s">
        <v>1</v>
      </c>
      <c r="U317" s="184" t="s">
        <v>1</v>
      </c>
      <c r="V317" s="184" t="s">
        <v>1</v>
      </c>
      <c r="W317" s="184" t="s">
        <v>1</v>
      </c>
      <c r="X317" s="184" t="s">
        <v>1</v>
      </c>
      <c r="Y317" s="184" t="s">
        <v>1</v>
      </c>
      <c r="Z317" s="184" t="s">
        <v>1</v>
      </c>
      <c r="AA317" s="184" t="s">
        <v>1</v>
      </c>
      <c r="AB317" s="184" t="s">
        <v>1</v>
      </c>
      <c r="AF317" s="63"/>
      <c r="AG317" s="58"/>
    </row>
    <row r="318" spans="1:34" s="184" customFormat="1" x14ac:dyDescent="0.2">
      <c r="B318" s="184" t="s">
        <v>624</v>
      </c>
      <c r="C318" s="193" t="s">
        <v>1691</v>
      </c>
      <c r="D318" s="186">
        <v>40</v>
      </c>
      <c r="E318" s="184" t="s">
        <v>5</v>
      </c>
      <c r="F318" s="186">
        <v>10</v>
      </c>
      <c r="G318" s="186"/>
      <c r="H318" s="194">
        <v>44930</v>
      </c>
      <c r="I318" s="184" t="s">
        <v>2673</v>
      </c>
      <c r="J318" s="184" t="s">
        <v>2672</v>
      </c>
      <c r="K318" s="184" t="s">
        <v>2048</v>
      </c>
      <c r="L318" s="184" t="s">
        <v>2671</v>
      </c>
      <c r="M318" s="184">
        <v>2020</v>
      </c>
      <c r="O318" s="184" t="s">
        <v>2670</v>
      </c>
      <c r="P318" s="187" t="s">
        <v>4</v>
      </c>
      <c r="Q318" s="187">
        <v>2</v>
      </c>
      <c r="R318" s="187" t="s">
        <v>1</v>
      </c>
      <c r="S318" s="187" t="s">
        <v>1</v>
      </c>
      <c r="T318" s="187" t="s">
        <v>1</v>
      </c>
      <c r="U318" s="187" t="s">
        <v>1</v>
      </c>
      <c r="V318" s="187" t="s">
        <v>1</v>
      </c>
      <c r="W318" s="187" t="s">
        <v>1</v>
      </c>
      <c r="X318" s="187" t="s">
        <v>1</v>
      </c>
      <c r="Y318" s="187" t="s">
        <v>1</v>
      </c>
      <c r="Z318" s="187" t="s">
        <v>1</v>
      </c>
      <c r="AA318" s="187" t="s">
        <v>1</v>
      </c>
      <c r="AB318" s="184" t="s">
        <v>2598</v>
      </c>
      <c r="AF318" s="63"/>
      <c r="AG318" s="58"/>
    </row>
    <row r="319" spans="1:34" s="184" customFormat="1" x14ac:dyDescent="0.2">
      <c r="B319" s="184" t="s">
        <v>2669</v>
      </c>
      <c r="C319" s="193" t="s">
        <v>1691</v>
      </c>
      <c r="D319" s="186">
        <v>40</v>
      </c>
      <c r="E319" s="184" t="s">
        <v>5</v>
      </c>
      <c r="F319" s="186">
        <v>10</v>
      </c>
      <c r="G319" s="186"/>
      <c r="H319" s="194">
        <v>44825</v>
      </c>
      <c r="I319" s="184" t="s">
        <v>2668</v>
      </c>
      <c r="K319" s="184" t="s">
        <v>2048</v>
      </c>
      <c r="L319" s="184" t="s">
        <v>2527</v>
      </c>
      <c r="M319" s="184">
        <v>2020</v>
      </c>
      <c r="O319" s="184" t="s">
        <v>2667</v>
      </c>
      <c r="P319" s="187" t="s">
        <v>4</v>
      </c>
      <c r="Q319" s="187">
        <v>1.5</v>
      </c>
      <c r="R319" s="187" t="s">
        <v>2666</v>
      </c>
      <c r="S319" s="187" t="s">
        <v>1</v>
      </c>
      <c r="T319" s="187" t="s">
        <v>1</v>
      </c>
      <c r="U319" s="187" t="s">
        <v>1</v>
      </c>
      <c r="V319" s="187" t="s">
        <v>1</v>
      </c>
      <c r="W319" s="187" t="s">
        <v>1</v>
      </c>
      <c r="X319" s="187" t="s">
        <v>1</v>
      </c>
      <c r="Y319" s="187" t="s">
        <v>1</v>
      </c>
      <c r="Z319" s="187" t="s">
        <v>1</v>
      </c>
      <c r="AA319" s="187" t="s">
        <v>1</v>
      </c>
      <c r="AB319" s="184" t="s">
        <v>2665</v>
      </c>
      <c r="AE319" s="25" t="s">
        <v>5160</v>
      </c>
      <c r="AF319" s="63"/>
      <c r="AG319" s="58"/>
    </row>
    <row r="320" spans="1:34" s="184" customFormat="1" x14ac:dyDescent="0.2">
      <c r="B320" s="184" t="s">
        <v>630</v>
      </c>
      <c r="C320" s="193" t="s">
        <v>1691</v>
      </c>
      <c r="D320" s="186">
        <v>40</v>
      </c>
      <c r="E320" s="184" t="s">
        <v>5</v>
      </c>
      <c r="F320" s="186">
        <v>10</v>
      </c>
      <c r="G320" s="186"/>
      <c r="H320" s="194">
        <v>43887</v>
      </c>
      <c r="I320" s="184" t="s">
        <v>2664</v>
      </c>
      <c r="J320" s="184" t="s">
        <v>2663</v>
      </c>
      <c r="K320" s="184" t="s">
        <v>2048</v>
      </c>
      <c r="L320" s="184" t="s">
        <v>2633</v>
      </c>
      <c r="M320" s="184">
        <v>2019</v>
      </c>
      <c r="O320" s="184" t="s">
        <v>631</v>
      </c>
      <c r="P320" s="187" t="s">
        <v>5</v>
      </c>
      <c r="Q320" s="187">
        <v>9</v>
      </c>
      <c r="R320" s="187" t="s">
        <v>2662</v>
      </c>
      <c r="S320" s="187" t="s">
        <v>4</v>
      </c>
      <c r="T320" s="187">
        <v>2.4</v>
      </c>
      <c r="U320" s="187" t="s">
        <v>2661</v>
      </c>
      <c r="V320" s="187" t="s">
        <v>1</v>
      </c>
      <c r="W320" s="187" t="s">
        <v>1</v>
      </c>
      <c r="X320" s="187" t="s">
        <v>1</v>
      </c>
      <c r="Y320" s="187" t="s">
        <v>1</v>
      </c>
      <c r="Z320" s="187" t="s">
        <v>1</v>
      </c>
      <c r="AA320" s="187" t="s">
        <v>1</v>
      </c>
      <c r="AB320" s="184" t="s">
        <v>6627</v>
      </c>
      <c r="AC320" s="184" t="s">
        <v>6630</v>
      </c>
      <c r="AD320" s="184" t="s">
        <v>6637</v>
      </c>
      <c r="AF320" s="63"/>
      <c r="AG320" s="58"/>
    </row>
    <row r="321" spans="1:34" x14ac:dyDescent="0.2">
      <c r="B321" s="73" t="s">
        <v>2017</v>
      </c>
      <c r="C321" s="249" t="s">
        <v>1691</v>
      </c>
      <c r="D321" s="75">
        <v>30</v>
      </c>
      <c r="E321" s="251" t="s">
        <v>4</v>
      </c>
      <c r="F321" s="75">
        <v>12</v>
      </c>
      <c r="G321" s="75">
        <f>F321</f>
        <v>12</v>
      </c>
      <c r="H321" s="78">
        <v>43872</v>
      </c>
      <c r="I321" s="250" t="s">
        <v>7399</v>
      </c>
      <c r="J321" s="250" t="s">
        <v>7395</v>
      </c>
      <c r="K321" s="250" t="s">
        <v>2048</v>
      </c>
      <c r="L321" s="250" t="s">
        <v>3239</v>
      </c>
      <c r="M321" s="84">
        <v>43160</v>
      </c>
      <c r="O321" s="250" t="s">
        <v>7397</v>
      </c>
      <c r="P321" s="252" t="s">
        <v>1</v>
      </c>
      <c r="Q321" s="252" t="s">
        <v>1</v>
      </c>
      <c r="R321" s="252" t="s">
        <v>1</v>
      </c>
      <c r="S321" s="252" t="s">
        <v>1</v>
      </c>
      <c r="T321" s="252" t="s">
        <v>1</v>
      </c>
      <c r="U321" s="252" t="s">
        <v>1</v>
      </c>
      <c r="V321" s="252" t="s">
        <v>1</v>
      </c>
      <c r="W321" s="252" t="s">
        <v>1</v>
      </c>
      <c r="X321" s="252" t="s">
        <v>1</v>
      </c>
      <c r="Y321" s="252" t="s">
        <v>1</v>
      </c>
      <c r="Z321" s="252" t="s">
        <v>1</v>
      </c>
      <c r="AA321" s="252" t="s">
        <v>1</v>
      </c>
      <c r="AB321" s="250" t="s">
        <v>6627</v>
      </c>
      <c r="AC321" s="250" t="s">
        <v>6629</v>
      </c>
      <c r="AD321" s="250" t="s">
        <v>7393</v>
      </c>
      <c r="AE321" s="250" t="s">
        <v>7394</v>
      </c>
    </row>
    <row r="322" spans="1:34" s="184" customFormat="1" x14ac:dyDescent="0.2">
      <c r="B322" s="184" t="s">
        <v>2656</v>
      </c>
      <c r="C322" s="193" t="s">
        <v>1691</v>
      </c>
      <c r="D322" s="186">
        <v>30</v>
      </c>
      <c r="E322" s="184" t="s">
        <v>278</v>
      </c>
      <c r="F322" s="186">
        <v>0.5</v>
      </c>
      <c r="G322" s="186"/>
      <c r="H322" s="194">
        <v>45021</v>
      </c>
      <c r="I322" s="184" t="s">
        <v>2655</v>
      </c>
      <c r="J322" s="184" t="s">
        <v>2654</v>
      </c>
      <c r="K322" s="184" t="s">
        <v>2048</v>
      </c>
      <c r="L322" s="184" t="s">
        <v>2065</v>
      </c>
      <c r="M322" s="184">
        <v>2021</v>
      </c>
      <c r="N322" s="184" t="s">
        <v>1706</v>
      </c>
      <c r="O322" s="184" t="s">
        <v>1068</v>
      </c>
      <c r="P322" s="187" t="s">
        <v>1</v>
      </c>
      <c r="Q322" s="187" t="s">
        <v>1</v>
      </c>
      <c r="R322" s="187" t="s">
        <v>1</v>
      </c>
      <c r="S322" s="187" t="s">
        <v>1</v>
      </c>
      <c r="T322" s="187" t="s">
        <v>1</v>
      </c>
      <c r="U322" s="187" t="s">
        <v>1</v>
      </c>
      <c r="V322" s="187" t="s">
        <v>1</v>
      </c>
      <c r="W322" s="187" t="s">
        <v>1</v>
      </c>
      <c r="X322" s="187" t="s">
        <v>1</v>
      </c>
      <c r="Y322" s="187" t="s">
        <v>1</v>
      </c>
      <c r="Z322" s="187" t="s">
        <v>1</v>
      </c>
      <c r="AA322" s="187" t="s">
        <v>1</v>
      </c>
      <c r="AB322" s="184" t="s">
        <v>6627</v>
      </c>
      <c r="AC322" s="184" t="s">
        <v>6630</v>
      </c>
      <c r="AD322" s="184" t="s">
        <v>2365</v>
      </c>
      <c r="AF322" s="63"/>
      <c r="AG322" s="58"/>
    </row>
    <row r="323" spans="1:34" s="184" customFormat="1" x14ac:dyDescent="0.2">
      <c r="B323" s="184" t="s">
        <v>807</v>
      </c>
      <c r="C323" s="193" t="s">
        <v>1691</v>
      </c>
      <c r="D323" s="186">
        <v>30</v>
      </c>
      <c r="E323" s="184" t="s">
        <v>4</v>
      </c>
      <c r="F323" s="186">
        <v>5</v>
      </c>
      <c r="G323" s="186"/>
      <c r="H323" s="194">
        <v>45062</v>
      </c>
      <c r="I323" s="184" t="s">
        <v>2653</v>
      </c>
      <c r="K323" s="184" t="s">
        <v>2048</v>
      </c>
      <c r="L323" s="184" t="s">
        <v>2240</v>
      </c>
      <c r="M323" s="184">
        <v>2023</v>
      </c>
      <c r="O323" s="184" t="s">
        <v>2652</v>
      </c>
      <c r="P323" s="187" t="s">
        <v>1</v>
      </c>
      <c r="Q323" s="187" t="s">
        <v>1</v>
      </c>
      <c r="R323" s="187" t="s">
        <v>1</v>
      </c>
      <c r="S323" s="187" t="s">
        <v>1</v>
      </c>
      <c r="T323" s="187" t="s">
        <v>1</v>
      </c>
      <c r="U323" s="187" t="s">
        <v>1</v>
      </c>
      <c r="V323" s="187" t="s">
        <v>1</v>
      </c>
      <c r="W323" s="187" t="s">
        <v>1</v>
      </c>
      <c r="X323" s="187" t="s">
        <v>1</v>
      </c>
      <c r="Y323" s="187" t="s">
        <v>1</v>
      </c>
      <c r="Z323" s="187" t="s">
        <v>1</v>
      </c>
      <c r="AA323" s="187" t="s">
        <v>1</v>
      </c>
      <c r="AB323" s="184" t="s">
        <v>6627</v>
      </c>
      <c r="AC323" s="184" t="s">
        <v>6630</v>
      </c>
      <c r="AD323" s="184" t="s">
        <v>6638</v>
      </c>
      <c r="AF323" s="63"/>
      <c r="AG323" s="58"/>
    </row>
    <row r="324" spans="1:34" s="184" customFormat="1" x14ac:dyDescent="0.2">
      <c r="B324" s="184" t="s">
        <v>765</v>
      </c>
      <c r="C324" s="193" t="s">
        <v>1691</v>
      </c>
      <c r="D324" s="186">
        <v>30</v>
      </c>
      <c r="E324" s="184" t="s">
        <v>4</v>
      </c>
      <c r="F324" s="186">
        <v>4</v>
      </c>
      <c r="G324" s="186"/>
      <c r="H324" s="194">
        <v>45026</v>
      </c>
      <c r="I324" s="184" t="s">
        <v>2065</v>
      </c>
      <c r="J324" s="184" t="s">
        <v>2651</v>
      </c>
      <c r="K324" s="184" t="s">
        <v>2048</v>
      </c>
      <c r="L324" s="184" t="s">
        <v>2065</v>
      </c>
      <c r="M324" s="184">
        <v>2021</v>
      </c>
      <c r="O324" s="184" t="s">
        <v>2650</v>
      </c>
      <c r="P324" s="187" t="s">
        <v>1</v>
      </c>
      <c r="Q324" s="187" t="s">
        <v>1</v>
      </c>
      <c r="R324" s="187" t="s">
        <v>1</v>
      </c>
      <c r="S324" s="187" t="s">
        <v>1</v>
      </c>
      <c r="T324" s="187" t="s">
        <v>1</v>
      </c>
      <c r="U324" s="187" t="s">
        <v>1</v>
      </c>
      <c r="V324" s="187" t="s">
        <v>1</v>
      </c>
      <c r="W324" s="187" t="s">
        <v>1</v>
      </c>
      <c r="X324" s="187" t="s">
        <v>1</v>
      </c>
      <c r="Y324" s="187" t="s">
        <v>1</v>
      </c>
      <c r="Z324" s="187" t="s">
        <v>1</v>
      </c>
      <c r="AA324" s="187" t="s">
        <v>1</v>
      </c>
      <c r="AB324" s="184" t="s">
        <v>6627</v>
      </c>
      <c r="AC324" s="184" t="s">
        <v>6631</v>
      </c>
      <c r="AD324" s="184" t="s">
        <v>3959</v>
      </c>
      <c r="AF324" s="63"/>
      <c r="AG324" s="58"/>
    </row>
    <row r="325" spans="1:34" s="184" customFormat="1" x14ac:dyDescent="0.2">
      <c r="B325" s="184" t="s">
        <v>336</v>
      </c>
      <c r="C325" s="193" t="s">
        <v>1691</v>
      </c>
      <c r="D325" s="186">
        <v>30</v>
      </c>
      <c r="E325" s="184" t="s">
        <v>4</v>
      </c>
      <c r="F325" s="186">
        <v>3</v>
      </c>
      <c r="G325" s="186"/>
      <c r="H325" s="194">
        <v>44327</v>
      </c>
      <c r="I325" s="184" t="s">
        <v>2648</v>
      </c>
      <c r="J325" s="184" t="s">
        <v>2647</v>
      </c>
      <c r="K325" s="184" t="s">
        <v>2048</v>
      </c>
      <c r="L325" s="184" t="s">
        <v>2646</v>
      </c>
      <c r="M325" s="184">
        <v>2021</v>
      </c>
      <c r="O325" s="184" t="s">
        <v>2645</v>
      </c>
      <c r="P325" s="187" t="s">
        <v>278</v>
      </c>
      <c r="Q325" s="187">
        <v>1.2</v>
      </c>
      <c r="R325" s="187" t="s">
        <v>2644</v>
      </c>
      <c r="S325" s="187" t="s">
        <v>1</v>
      </c>
      <c r="T325" s="187" t="s">
        <v>1</v>
      </c>
      <c r="U325" s="187" t="s">
        <v>1</v>
      </c>
      <c r="V325" s="187" t="s">
        <v>1</v>
      </c>
      <c r="W325" s="187" t="s">
        <v>1</v>
      </c>
      <c r="X325" s="187" t="s">
        <v>1</v>
      </c>
      <c r="Y325" s="187" t="s">
        <v>1</v>
      </c>
      <c r="Z325" s="187" t="s">
        <v>1</v>
      </c>
      <c r="AA325" s="187" t="s">
        <v>1</v>
      </c>
      <c r="AB325" s="184" t="s">
        <v>6627</v>
      </c>
      <c r="AC325" s="184" t="s">
        <v>6635</v>
      </c>
      <c r="AD325" s="184" t="s">
        <v>6635</v>
      </c>
      <c r="AF325" s="63"/>
      <c r="AG325" s="58"/>
    </row>
    <row r="326" spans="1:34" s="184" customFormat="1" x14ac:dyDescent="0.2">
      <c r="B326" s="184" t="s">
        <v>2643</v>
      </c>
      <c r="C326" s="193" t="s">
        <v>1691</v>
      </c>
      <c r="D326" s="186">
        <v>30</v>
      </c>
      <c r="E326" s="184" t="s">
        <v>278</v>
      </c>
      <c r="F326" s="186">
        <v>3</v>
      </c>
      <c r="G326" s="186"/>
      <c r="H326" s="194">
        <v>45044</v>
      </c>
      <c r="I326" s="184" t="s">
        <v>2642</v>
      </c>
      <c r="J326" s="184" t="s">
        <v>2641</v>
      </c>
      <c r="K326" s="184" t="s">
        <v>2048</v>
      </c>
      <c r="L326" s="184" t="s">
        <v>2640</v>
      </c>
      <c r="M326" s="199">
        <v>44986</v>
      </c>
      <c r="O326" s="184" t="s">
        <v>1</v>
      </c>
      <c r="P326" s="184" t="s">
        <v>1</v>
      </c>
      <c r="Q326" s="184" t="s">
        <v>1</v>
      </c>
      <c r="R326" s="184" t="s">
        <v>1</v>
      </c>
      <c r="S326" s="184" t="s">
        <v>1</v>
      </c>
      <c r="T326" s="184" t="s">
        <v>1</v>
      </c>
      <c r="U326" s="184" t="s">
        <v>1</v>
      </c>
      <c r="V326" s="184" t="s">
        <v>1</v>
      </c>
      <c r="W326" s="184" t="s">
        <v>1</v>
      </c>
      <c r="X326" s="184" t="s">
        <v>1</v>
      </c>
      <c r="Y326" s="184" t="s">
        <v>1</v>
      </c>
      <c r="Z326" s="184" t="s">
        <v>1</v>
      </c>
      <c r="AA326" s="184" t="s">
        <v>1</v>
      </c>
      <c r="AB326" s="184" t="s">
        <v>6627</v>
      </c>
      <c r="AC326" s="184" t="s">
        <v>6630</v>
      </c>
      <c r="AD326" s="184" t="s">
        <v>2365</v>
      </c>
      <c r="AF326" s="63"/>
      <c r="AG326" s="58"/>
    </row>
    <row r="327" spans="1:34" s="184" customFormat="1" x14ac:dyDescent="0.2">
      <c r="B327" s="184" t="s">
        <v>2019</v>
      </c>
      <c r="C327" s="193" t="s">
        <v>1691</v>
      </c>
      <c r="D327" s="186">
        <v>30</v>
      </c>
      <c r="E327" s="184" t="s">
        <v>5</v>
      </c>
      <c r="F327" s="186">
        <v>8</v>
      </c>
      <c r="G327" s="186">
        <v>13</v>
      </c>
      <c r="H327" s="194">
        <v>44663</v>
      </c>
      <c r="I327" s="184" t="s">
        <v>7311</v>
      </c>
      <c r="J327" s="184" t="s">
        <v>7312</v>
      </c>
      <c r="K327" s="184" t="s">
        <v>2048</v>
      </c>
      <c r="L327" s="184" t="s">
        <v>2059</v>
      </c>
      <c r="M327" s="199">
        <v>44663</v>
      </c>
      <c r="O327" s="184" t="s">
        <v>7313</v>
      </c>
      <c r="P327" s="184" t="s">
        <v>5</v>
      </c>
      <c r="Q327" s="187">
        <v>3</v>
      </c>
      <c r="R327" s="184" t="s">
        <v>7314</v>
      </c>
      <c r="S327" s="184" t="s">
        <v>4</v>
      </c>
      <c r="T327" s="187">
        <v>1.7</v>
      </c>
      <c r="U327" s="184" t="s">
        <v>7315</v>
      </c>
      <c r="V327" s="184" t="s">
        <v>1</v>
      </c>
      <c r="W327" s="184" t="s">
        <v>1</v>
      </c>
      <c r="X327" s="184" t="s">
        <v>1</v>
      </c>
      <c r="Y327" s="184" t="s">
        <v>1</v>
      </c>
      <c r="Z327" s="184" t="s">
        <v>1</v>
      </c>
      <c r="AA327" s="184" t="s">
        <v>1</v>
      </c>
      <c r="AB327" s="184" t="s">
        <v>2584</v>
      </c>
      <c r="AC327" s="184" t="s">
        <v>7316</v>
      </c>
      <c r="AD327" s="184" t="s">
        <v>7317</v>
      </c>
      <c r="AE327" s="25" t="s">
        <v>7318</v>
      </c>
      <c r="AF327" s="63"/>
      <c r="AG327" s="58"/>
    </row>
    <row r="328" spans="1:34" s="184" customFormat="1" x14ac:dyDescent="0.2">
      <c r="B328" s="184" t="s">
        <v>2018</v>
      </c>
      <c r="C328" s="193" t="s">
        <v>1691</v>
      </c>
      <c r="D328" s="186">
        <v>30</v>
      </c>
      <c r="E328" s="184" t="s">
        <v>4</v>
      </c>
      <c r="F328" s="186">
        <v>8</v>
      </c>
      <c r="G328" s="186">
        <v>11</v>
      </c>
      <c r="H328" s="194">
        <v>44880</v>
      </c>
      <c r="I328" s="184" t="s">
        <v>7319</v>
      </c>
      <c r="J328" s="184" t="s">
        <v>7320</v>
      </c>
      <c r="K328" s="184" t="s">
        <v>2048</v>
      </c>
      <c r="L328" s="184" t="s">
        <v>2701</v>
      </c>
      <c r="M328" s="199">
        <v>44880</v>
      </c>
      <c r="O328" s="184" t="s">
        <v>7321</v>
      </c>
      <c r="P328" s="184" t="s">
        <v>4</v>
      </c>
      <c r="Q328" s="187">
        <v>3</v>
      </c>
      <c r="R328" s="184" t="s">
        <v>7322</v>
      </c>
      <c r="S328" s="184" t="s">
        <v>1</v>
      </c>
      <c r="T328" s="184" t="s">
        <v>1</v>
      </c>
      <c r="U328" s="184" t="s">
        <v>1</v>
      </c>
      <c r="V328" s="184" t="s">
        <v>1</v>
      </c>
      <c r="W328" s="184" t="s">
        <v>1</v>
      </c>
      <c r="X328" s="184" t="s">
        <v>1</v>
      </c>
      <c r="Y328" s="184" t="s">
        <v>1</v>
      </c>
      <c r="Z328" s="184" t="s">
        <v>1</v>
      </c>
      <c r="AA328" s="184" t="s">
        <v>1</v>
      </c>
      <c r="AB328" s="184" t="s">
        <v>6627</v>
      </c>
      <c r="AC328" s="184" t="s">
        <v>6630</v>
      </c>
      <c r="AD328" s="184" t="s">
        <v>2365</v>
      </c>
      <c r="AE328" s="25" t="s">
        <v>7323</v>
      </c>
      <c r="AF328" s="63"/>
      <c r="AG328" s="58"/>
    </row>
    <row r="329" spans="1:34" x14ac:dyDescent="0.2">
      <c r="A329" s="184"/>
      <c r="B329" s="184" t="s">
        <v>745</v>
      </c>
      <c r="C329" s="193" t="s">
        <v>1691</v>
      </c>
      <c r="D329" s="186">
        <v>25</v>
      </c>
      <c r="E329" s="184" t="s">
        <v>4</v>
      </c>
      <c r="F329" s="186">
        <v>2.6</v>
      </c>
      <c r="G329" s="75">
        <f>+F329</f>
        <v>2.6</v>
      </c>
      <c r="H329" s="194">
        <v>44994</v>
      </c>
      <c r="I329" s="184" t="s">
        <v>5178</v>
      </c>
      <c r="J329" s="184" t="s">
        <v>2639</v>
      </c>
      <c r="K329" s="184" t="s">
        <v>2311</v>
      </c>
      <c r="L329" s="184" t="s">
        <v>2638</v>
      </c>
      <c r="M329" s="200">
        <v>44013</v>
      </c>
      <c r="N329" s="184"/>
      <c r="O329" s="184" t="s">
        <v>2637</v>
      </c>
      <c r="P329" s="187" t="s">
        <v>4</v>
      </c>
      <c r="Q329" s="187" t="s">
        <v>2636</v>
      </c>
      <c r="R329" s="187"/>
      <c r="S329" s="187" t="s">
        <v>278</v>
      </c>
      <c r="T329" s="187" t="s">
        <v>1</v>
      </c>
      <c r="U329" s="187" t="s">
        <v>748</v>
      </c>
      <c r="V329" s="184" t="s">
        <v>1</v>
      </c>
      <c r="W329" s="184" t="s">
        <v>1</v>
      </c>
      <c r="X329" s="184" t="s">
        <v>1</v>
      </c>
      <c r="Y329" s="184" t="s">
        <v>1</v>
      </c>
      <c r="Z329" s="184" t="s">
        <v>1</v>
      </c>
      <c r="AA329" s="184" t="s">
        <v>1</v>
      </c>
      <c r="AB329" s="184" t="s">
        <v>6627</v>
      </c>
      <c r="AC329" s="184" t="s">
        <v>6635</v>
      </c>
      <c r="AD329" s="184" t="s">
        <v>6635</v>
      </c>
      <c r="AE329" s="25" t="s">
        <v>5179</v>
      </c>
      <c r="AF329" s="63">
        <v>0.93803700000000001</v>
      </c>
      <c r="AG329" s="69">
        <v>0.23333333333333331</v>
      </c>
      <c r="AH329" s="184"/>
    </row>
    <row r="330" spans="1:34" s="184" customFormat="1" x14ac:dyDescent="0.2">
      <c r="B330" s="184" t="s">
        <v>2635</v>
      </c>
      <c r="C330" s="193" t="s">
        <v>1691</v>
      </c>
      <c r="D330" s="186">
        <v>25</v>
      </c>
      <c r="E330" s="184" t="s">
        <v>1</v>
      </c>
      <c r="F330" s="186" t="s">
        <v>1</v>
      </c>
      <c r="G330" s="186"/>
      <c r="H330" s="185" t="s">
        <v>1</v>
      </c>
      <c r="I330" s="184" t="s">
        <v>2634</v>
      </c>
      <c r="K330" s="184" t="s">
        <v>2048</v>
      </c>
      <c r="L330" s="184" t="s">
        <v>2633</v>
      </c>
      <c r="M330" s="184">
        <v>2020</v>
      </c>
      <c r="O330" s="184" t="s">
        <v>1</v>
      </c>
      <c r="P330" s="184" t="s">
        <v>1</v>
      </c>
      <c r="Q330" s="184" t="s">
        <v>1</v>
      </c>
      <c r="R330" s="184" t="s">
        <v>1</v>
      </c>
      <c r="S330" s="184" t="s">
        <v>1</v>
      </c>
      <c r="T330" s="184" t="s">
        <v>1</v>
      </c>
      <c r="U330" s="184" t="s">
        <v>1</v>
      </c>
      <c r="V330" s="184" t="s">
        <v>1</v>
      </c>
      <c r="W330" s="184" t="s">
        <v>1</v>
      </c>
      <c r="X330" s="184" t="s">
        <v>1</v>
      </c>
      <c r="Y330" s="184" t="s">
        <v>1</v>
      </c>
      <c r="Z330" s="184" t="s">
        <v>1</v>
      </c>
      <c r="AA330" s="184" t="s">
        <v>1</v>
      </c>
      <c r="AB330" s="184" t="s">
        <v>2632</v>
      </c>
      <c r="AF330" s="63"/>
      <c r="AG330" s="58"/>
    </row>
    <row r="331" spans="1:34" s="184" customFormat="1" x14ac:dyDescent="0.2">
      <c r="B331" s="184" t="s">
        <v>341</v>
      </c>
      <c r="C331" s="193" t="s">
        <v>1691</v>
      </c>
      <c r="D331" s="186">
        <v>20</v>
      </c>
      <c r="E331" s="184" t="s">
        <v>4</v>
      </c>
      <c r="F331" s="186">
        <v>3.5</v>
      </c>
      <c r="G331" s="186"/>
      <c r="H331" s="194">
        <v>44636</v>
      </c>
      <c r="I331" s="184" t="s">
        <v>2631</v>
      </c>
      <c r="J331" s="184" t="s">
        <v>2630</v>
      </c>
      <c r="K331" s="184" t="s">
        <v>2048</v>
      </c>
      <c r="L331" s="184" t="s">
        <v>2629</v>
      </c>
      <c r="M331" s="184">
        <v>2019</v>
      </c>
      <c r="O331" s="184" t="s">
        <v>2628</v>
      </c>
      <c r="P331" s="187" t="s">
        <v>278</v>
      </c>
      <c r="Q331" s="187">
        <v>0.75</v>
      </c>
      <c r="R331" s="187" t="s">
        <v>2627</v>
      </c>
      <c r="S331" s="187" t="s">
        <v>278</v>
      </c>
      <c r="T331" s="187">
        <v>0.12</v>
      </c>
      <c r="U331" s="187" t="s">
        <v>639</v>
      </c>
      <c r="V331" s="187" t="s">
        <v>1</v>
      </c>
      <c r="W331" s="187" t="s">
        <v>1</v>
      </c>
      <c r="X331" s="187" t="s">
        <v>1</v>
      </c>
      <c r="Y331" s="187" t="s">
        <v>1</v>
      </c>
      <c r="Z331" s="187" t="s">
        <v>1</v>
      </c>
      <c r="AA331" s="187" t="s">
        <v>1</v>
      </c>
      <c r="AB331" s="184" t="s">
        <v>6627</v>
      </c>
      <c r="AC331" s="184" t="s">
        <v>6629</v>
      </c>
      <c r="AD331" s="184" t="s">
        <v>2903</v>
      </c>
      <c r="AF331" s="63"/>
      <c r="AG331" s="58"/>
    </row>
    <row r="332" spans="1:34" s="184" customFormat="1" x14ac:dyDescent="0.2">
      <c r="B332" s="184" t="s">
        <v>2626</v>
      </c>
      <c r="C332" s="193" t="s">
        <v>1691</v>
      </c>
      <c r="D332" s="186">
        <v>20</v>
      </c>
      <c r="E332" s="184" t="s">
        <v>4</v>
      </c>
      <c r="F332" s="186">
        <v>4</v>
      </c>
      <c r="G332" s="186"/>
      <c r="H332" s="194">
        <v>44332</v>
      </c>
      <c r="J332" s="184" t="s">
        <v>2625</v>
      </c>
      <c r="K332" s="184" t="s">
        <v>2048</v>
      </c>
      <c r="L332" s="184" t="s">
        <v>2527</v>
      </c>
      <c r="M332" s="184">
        <v>2018</v>
      </c>
      <c r="O332" s="184" t="s">
        <v>487</v>
      </c>
      <c r="P332" s="187" t="s">
        <v>4</v>
      </c>
      <c r="Q332" s="187">
        <v>2</v>
      </c>
      <c r="R332" s="187" t="s">
        <v>2624</v>
      </c>
      <c r="S332" s="187" t="s">
        <v>278</v>
      </c>
      <c r="T332" s="187" t="s">
        <v>1</v>
      </c>
      <c r="U332" s="187" t="s">
        <v>2623</v>
      </c>
      <c r="V332" s="187" t="s">
        <v>1</v>
      </c>
      <c r="W332" s="187" t="s">
        <v>1</v>
      </c>
      <c r="X332" s="187" t="s">
        <v>1</v>
      </c>
      <c r="Y332" s="187" t="s">
        <v>1</v>
      </c>
      <c r="Z332" s="187" t="s">
        <v>1</v>
      </c>
      <c r="AA332" s="187" t="s">
        <v>1</v>
      </c>
      <c r="AB332" s="184" t="s">
        <v>6653</v>
      </c>
      <c r="AD332" s="184" t="s">
        <v>2907</v>
      </c>
      <c r="AE332" s="25" t="s">
        <v>5161</v>
      </c>
      <c r="AF332" s="63"/>
      <c r="AG332" s="58"/>
    </row>
    <row r="333" spans="1:34" s="184" customFormat="1" x14ac:dyDescent="0.2">
      <c r="B333" s="184" t="s">
        <v>509</v>
      </c>
      <c r="C333" s="193" t="s">
        <v>1691</v>
      </c>
      <c r="D333" s="186">
        <v>20</v>
      </c>
      <c r="E333" s="184" t="s">
        <v>4</v>
      </c>
      <c r="F333" s="186">
        <v>3</v>
      </c>
      <c r="G333" s="186"/>
      <c r="H333" s="194">
        <v>45037</v>
      </c>
      <c r="I333" s="184" t="s">
        <v>2622</v>
      </c>
      <c r="J333" s="184" t="s">
        <v>2621</v>
      </c>
      <c r="K333" s="184" t="s">
        <v>2048</v>
      </c>
      <c r="L333" s="184" t="s">
        <v>2620</v>
      </c>
      <c r="M333" s="184">
        <v>2021</v>
      </c>
      <c r="O333" s="184" t="s">
        <v>2619</v>
      </c>
      <c r="P333" s="187" t="s">
        <v>278</v>
      </c>
      <c r="Q333" s="187">
        <v>1.2</v>
      </c>
      <c r="R333" s="187" t="s">
        <v>2618</v>
      </c>
      <c r="S333" s="187" t="s">
        <v>1</v>
      </c>
      <c r="T333" s="187" t="s">
        <v>1</v>
      </c>
      <c r="U333" s="187" t="s">
        <v>1</v>
      </c>
      <c r="V333" s="187" t="s">
        <v>1</v>
      </c>
      <c r="W333" s="187" t="s">
        <v>1</v>
      </c>
      <c r="X333" s="187" t="s">
        <v>1</v>
      </c>
      <c r="Y333" s="187" t="s">
        <v>1</v>
      </c>
      <c r="Z333" s="187" t="s">
        <v>1</v>
      </c>
      <c r="AA333" s="187" t="s">
        <v>1</v>
      </c>
      <c r="AB333" s="184" t="s">
        <v>6627</v>
      </c>
      <c r="AC333" s="184" t="s">
        <v>6634</v>
      </c>
      <c r="AD333" s="184" t="s">
        <v>2355</v>
      </c>
      <c r="AF333" s="63"/>
      <c r="AG333" s="58"/>
    </row>
    <row r="334" spans="1:34" s="184" customFormat="1" x14ac:dyDescent="0.2">
      <c r="B334" s="184" t="s">
        <v>283</v>
      </c>
      <c r="C334" s="193" t="s">
        <v>1691</v>
      </c>
      <c r="D334" s="186">
        <v>20</v>
      </c>
      <c r="E334" s="184" t="s">
        <v>4</v>
      </c>
      <c r="F334" s="186">
        <v>2.6</v>
      </c>
      <c r="G334" s="186"/>
      <c r="H334" s="194">
        <v>45008</v>
      </c>
      <c r="J334" s="184" t="s">
        <v>2617</v>
      </c>
      <c r="K334" s="184" t="s">
        <v>2048</v>
      </c>
      <c r="L334" s="184" t="s">
        <v>2305</v>
      </c>
      <c r="M334" s="184">
        <v>2019</v>
      </c>
      <c r="O334" s="184" t="s">
        <v>2616</v>
      </c>
      <c r="P334" s="187" t="s">
        <v>1</v>
      </c>
      <c r="Q334" s="187" t="s">
        <v>1</v>
      </c>
      <c r="R334" s="187" t="s">
        <v>1</v>
      </c>
      <c r="S334" s="187" t="s">
        <v>1</v>
      </c>
      <c r="T334" s="187" t="s">
        <v>1</v>
      </c>
      <c r="U334" s="187" t="s">
        <v>1</v>
      </c>
      <c r="V334" s="187" t="s">
        <v>1</v>
      </c>
      <c r="W334" s="187" t="s">
        <v>1</v>
      </c>
      <c r="X334" s="187" t="s">
        <v>1</v>
      </c>
      <c r="Y334" s="187" t="s">
        <v>1</v>
      </c>
      <c r="Z334" s="187" t="s">
        <v>1</v>
      </c>
      <c r="AA334" s="187" t="s">
        <v>1</v>
      </c>
      <c r="AB334" s="184" t="s">
        <v>6627</v>
      </c>
      <c r="AC334" s="184" t="s">
        <v>6629</v>
      </c>
      <c r="AD334" s="184" t="s">
        <v>6675</v>
      </c>
      <c r="AF334" s="63"/>
      <c r="AG334" s="58"/>
    </row>
    <row r="335" spans="1:34" s="184" customFormat="1" x14ac:dyDescent="0.2">
      <c r="B335" s="184" t="s">
        <v>277</v>
      </c>
      <c r="C335" s="193" t="s">
        <v>1691</v>
      </c>
      <c r="D335" s="186">
        <v>20</v>
      </c>
      <c r="E335" s="184" t="s">
        <v>4</v>
      </c>
      <c r="F335" s="186">
        <v>0.125</v>
      </c>
      <c r="G335" s="186"/>
      <c r="H335" s="194">
        <v>44265</v>
      </c>
      <c r="I335" s="184" t="s">
        <v>2615</v>
      </c>
      <c r="J335" s="184" t="s">
        <v>2614</v>
      </c>
      <c r="K335" s="184" t="s">
        <v>2048</v>
      </c>
      <c r="L335" s="184" t="s">
        <v>2074</v>
      </c>
      <c r="M335" s="184">
        <v>2020</v>
      </c>
      <c r="O335" s="184" t="s">
        <v>2613</v>
      </c>
      <c r="P335" s="187" t="s">
        <v>278</v>
      </c>
      <c r="Q335" s="187">
        <v>0.2</v>
      </c>
      <c r="R335" s="187" t="s">
        <v>2612</v>
      </c>
      <c r="S335" s="187" t="s">
        <v>1</v>
      </c>
      <c r="T335" s="187" t="s">
        <v>1</v>
      </c>
      <c r="U335" s="187" t="s">
        <v>1</v>
      </c>
      <c r="V335" s="187" t="s">
        <v>1</v>
      </c>
      <c r="W335" s="187" t="s">
        <v>1</v>
      </c>
      <c r="X335" s="187" t="s">
        <v>1</v>
      </c>
      <c r="Y335" s="187" t="s">
        <v>1</v>
      </c>
      <c r="Z335" s="187" t="s">
        <v>1</v>
      </c>
      <c r="AA335" s="187" t="s">
        <v>1</v>
      </c>
      <c r="AB335" s="184" t="s">
        <v>6627</v>
      </c>
      <c r="AC335" s="184" t="s">
        <v>2693</v>
      </c>
      <c r="AD335" s="184" t="s">
        <v>6674</v>
      </c>
      <c r="AE335" s="25" t="s">
        <v>2611</v>
      </c>
      <c r="AF335" s="64"/>
      <c r="AG335" s="59"/>
    </row>
    <row r="336" spans="1:34" x14ac:dyDescent="0.2">
      <c r="B336" s="250" t="s">
        <v>7617</v>
      </c>
      <c r="C336" s="249" t="s">
        <v>1691</v>
      </c>
      <c r="D336" s="73">
        <v>20</v>
      </c>
      <c r="E336" s="250" t="s">
        <v>4</v>
      </c>
      <c r="F336" s="73">
        <v>2.2000000000000002</v>
      </c>
      <c r="G336" s="73">
        <f>F336</f>
        <v>2.2000000000000002</v>
      </c>
      <c r="H336" s="79">
        <v>43544</v>
      </c>
      <c r="I336" s="250" t="s">
        <v>7622</v>
      </c>
      <c r="J336" s="250" t="s">
        <v>7619</v>
      </c>
      <c r="K336" s="250" t="s">
        <v>2048</v>
      </c>
      <c r="L336" s="250" t="s">
        <v>3390</v>
      </c>
      <c r="M336" s="73">
        <v>2014</v>
      </c>
      <c r="O336" s="250" t="s">
        <v>7621</v>
      </c>
      <c r="P336" s="250" t="s">
        <v>1</v>
      </c>
      <c r="Q336" s="250" t="s">
        <v>1</v>
      </c>
      <c r="R336" s="250" t="s">
        <v>1</v>
      </c>
      <c r="S336" s="250" t="s">
        <v>1</v>
      </c>
      <c r="T336" s="250" t="s">
        <v>1</v>
      </c>
      <c r="U336" s="250" t="s">
        <v>1</v>
      </c>
      <c r="V336" s="250" t="s">
        <v>1</v>
      </c>
      <c r="W336" s="250" t="s">
        <v>1</v>
      </c>
      <c r="X336" s="250" t="s">
        <v>1</v>
      </c>
      <c r="Y336" s="250" t="s">
        <v>1</v>
      </c>
      <c r="Z336" s="250" t="s">
        <v>1</v>
      </c>
      <c r="AA336" s="250" t="s">
        <v>1</v>
      </c>
      <c r="AB336" s="173" t="s">
        <v>6627</v>
      </c>
      <c r="AC336" s="173" t="s">
        <v>6630</v>
      </c>
      <c r="AD336" s="250" t="s">
        <v>6647</v>
      </c>
      <c r="AE336" s="25" t="s">
        <v>7618</v>
      </c>
      <c r="AF336" s="73"/>
      <c r="AG336" s="73"/>
    </row>
    <row r="337" spans="1:34" s="184" customFormat="1" x14ac:dyDescent="0.2">
      <c r="B337" s="184" t="s">
        <v>2610</v>
      </c>
      <c r="C337" s="193" t="s">
        <v>1691</v>
      </c>
      <c r="D337" s="186">
        <v>20</v>
      </c>
      <c r="E337" s="186" t="s">
        <v>1</v>
      </c>
      <c r="F337" s="186" t="s">
        <v>1</v>
      </c>
      <c r="G337" s="186"/>
      <c r="H337" s="186" t="s">
        <v>1</v>
      </c>
      <c r="I337" s="184" t="s">
        <v>2609</v>
      </c>
      <c r="J337" s="184" t="s">
        <v>2608</v>
      </c>
      <c r="K337" s="184" t="s">
        <v>2048</v>
      </c>
      <c r="L337" s="184" t="s">
        <v>2352</v>
      </c>
      <c r="M337" s="184">
        <v>2021</v>
      </c>
      <c r="N337" s="184" t="s">
        <v>2607</v>
      </c>
      <c r="O337" s="184" t="s">
        <v>1</v>
      </c>
      <c r="P337" s="184" t="s">
        <v>1</v>
      </c>
      <c r="Q337" s="184" t="s">
        <v>1</v>
      </c>
      <c r="R337" s="184" t="s">
        <v>1</v>
      </c>
      <c r="S337" s="184" t="s">
        <v>1</v>
      </c>
      <c r="T337" s="184" t="s">
        <v>1</v>
      </c>
      <c r="U337" s="184" t="s">
        <v>1</v>
      </c>
      <c r="V337" s="184" t="s">
        <v>1</v>
      </c>
      <c r="W337" s="184" t="s">
        <v>1</v>
      </c>
      <c r="X337" s="184" t="s">
        <v>1</v>
      </c>
      <c r="Y337" s="184" t="s">
        <v>1</v>
      </c>
      <c r="Z337" s="184" t="s">
        <v>1</v>
      </c>
      <c r="AA337" s="184" t="s">
        <v>1</v>
      </c>
      <c r="AB337" s="184" t="s">
        <v>6627</v>
      </c>
      <c r="AC337" s="184" t="s">
        <v>6630</v>
      </c>
      <c r="AD337" s="184" t="s">
        <v>6638</v>
      </c>
      <c r="AE337" s="25" t="s">
        <v>2606</v>
      </c>
      <c r="AF337" s="64"/>
      <c r="AG337" s="59"/>
    </row>
    <row r="338" spans="1:34" s="184" customFormat="1" x14ac:dyDescent="0.2">
      <c r="B338" s="184" t="s">
        <v>2605</v>
      </c>
      <c r="C338" s="193" t="s">
        <v>1691</v>
      </c>
      <c r="D338" s="186">
        <v>20</v>
      </c>
      <c r="E338" s="186" t="s">
        <v>1</v>
      </c>
      <c r="F338" s="186" t="s">
        <v>1</v>
      </c>
      <c r="G338" s="186"/>
      <c r="H338" s="186" t="s">
        <v>1</v>
      </c>
      <c r="I338" s="184" t="s">
        <v>2604</v>
      </c>
      <c r="K338" s="184" t="s">
        <v>2048</v>
      </c>
      <c r="L338" s="184" t="s">
        <v>2603</v>
      </c>
      <c r="M338" s="185" t="s">
        <v>1</v>
      </c>
      <c r="O338" s="184" t="s">
        <v>1</v>
      </c>
      <c r="P338" s="184" t="s">
        <v>1</v>
      </c>
      <c r="Q338" s="184" t="s">
        <v>1</v>
      </c>
      <c r="R338" s="184" t="s">
        <v>1</v>
      </c>
      <c r="S338" s="184" t="s">
        <v>1</v>
      </c>
      <c r="T338" s="184" t="s">
        <v>1</v>
      </c>
      <c r="U338" s="184" t="s">
        <v>1</v>
      </c>
      <c r="V338" s="184" t="s">
        <v>1</v>
      </c>
      <c r="W338" s="184" t="s">
        <v>1</v>
      </c>
      <c r="X338" s="184" t="s">
        <v>1</v>
      </c>
      <c r="Y338" s="184" t="s">
        <v>1</v>
      </c>
      <c r="Z338" s="184" t="s">
        <v>1</v>
      </c>
      <c r="AA338" s="184" t="s">
        <v>1</v>
      </c>
      <c r="AB338" s="184" t="s">
        <v>2077</v>
      </c>
      <c r="AD338" s="184" t="s">
        <v>2084</v>
      </c>
      <c r="AE338" s="25" t="s">
        <v>2602</v>
      </c>
      <c r="AF338" s="64"/>
      <c r="AG338" s="59"/>
    </row>
    <row r="339" spans="1:34" s="184" customFormat="1" x14ac:dyDescent="0.2">
      <c r="B339" s="184" t="s">
        <v>4235</v>
      </c>
      <c r="C339" s="193" t="s">
        <v>1691</v>
      </c>
      <c r="D339" s="186">
        <v>20</v>
      </c>
      <c r="E339" s="198" t="s">
        <v>278</v>
      </c>
      <c r="F339" s="186">
        <v>1</v>
      </c>
      <c r="G339" s="186"/>
      <c r="H339" s="194">
        <v>44752</v>
      </c>
      <c r="I339" s="184" t="s">
        <v>4237</v>
      </c>
      <c r="J339" s="184" t="s">
        <v>4236</v>
      </c>
      <c r="K339" s="184" t="s">
        <v>1</v>
      </c>
      <c r="L339" s="184" t="s">
        <v>1</v>
      </c>
      <c r="M339" s="184">
        <v>2022</v>
      </c>
      <c r="O339" s="184" t="s">
        <v>1</v>
      </c>
      <c r="P339" s="184" t="s">
        <v>1</v>
      </c>
      <c r="Q339" s="184" t="s">
        <v>1</v>
      </c>
      <c r="R339" s="184" t="s">
        <v>1</v>
      </c>
      <c r="S339" s="184" t="s">
        <v>1</v>
      </c>
      <c r="T339" s="184" t="s">
        <v>1</v>
      </c>
      <c r="U339" s="184" t="s">
        <v>1</v>
      </c>
      <c r="V339" s="184" t="s">
        <v>1</v>
      </c>
      <c r="W339" s="184" t="s">
        <v>1</v>
      </c>
      <c r="X339" s="184" t="s">
        <v>1</v>
      </c>
      <c r="Y339" s="184" t="s">
        <v>1</v>
      </c>
      <c r="Z339" s="184" t="s">
        <v>1</v>
      </c>
      <c r="AA339" s="184" t="s">
        <v>1</v>
      </c>
      <c r="AB339" s="184" t="s">
        <v>6627</v>
      </c>
      <c r="AC339" s="184" t="s">
        <v>6635</v>
      </c>
      <c r="AD339" s="184" t="s">
        <v>6635</v>
      </c>
      <c r="AE339" s="25" t="s">
        <v>5034</v>
      </c>
      <c r="AF339" s="64"/>
      <c r="AG339" s="59"/>
    </row>
    <row r="340" spans="1:34" x14ac:dyDescent="0.2">
      <c r="A340" s="184"/>
      <c r="B340" s="184" t="s">
        <v>2601</v>
      </c>
      <c r="C340" s="193" t="s">
        <v>1691</v>
      </c>
      <c r="D340" s="186">
        <v>20</v>
      </c>
      <c r="E340" s="184" t="s">
        <v>278</v>
      </c>
      <c r="F340" s="186">
        <v>1.7</v>
      </c>
      <c r="G340" s="186"/>
      <c r="H340" s="194">
        <v>44852</v>
      </c>
      <c r="I340" s="184" t="s">
        <v>2600</v>
      </c>
      <c r="J340" s="184"/>
      <c r="K340" s="184" t="s">
        <v>2048</v>
      </c>
      <c r="L340" s="184" t="s">
        <v>2572</v>
      </c>
      <c r="M340" s="184">
        <v>2021</v>
      </c>
      <c r="N340" s="184"/>
      <c r="O340" s="184" t="s">
        <v>2599</v>
      </c>
      <c r="P340" s="187" t="s">
        <v>1</v>
      </c>
      <c r="Q340" s="187" t="s">
        <v>1</v>
      </c>
      <c r="R340" s="187" t="s">
        <v>1</v>
      </c>
      <c r="S340" s="187" t="s">
        <v>1</v>
      </c>
      <c r="T340" s="187" t="s">
        <v>1</v>
      </c>
      <c r="U340" s="187" t="s">
        <v>1</v>
      </c>
      <c r="V340" s="187" t="s">
        <v>1</v>
      </c>
      <c r="W340" s="187" t="s">
        <v>1</v>
      </c>
      <c r="X340" s="187" t="s">
        <v>1</v>
      </c>
      <c r="Y340" s="187" t="s">
        <v>1</v>
      </c>
      <c r="Z340" s="187" t="s">
        <v>1</v>
      </c>
      <c r="AA340" s="187" t="s">
        <v>1</v>
      </c>
      <c r="AB340" s="184" t="s">
        <v>2598</v>
      </c>
      <c r="AC340" s="184"/>
      <c r="AD340" s="184"/>
      <c r="AE340" s="184"/>
      <c r="AH340" s="184"/>
    </row>
    <row r="341" spans="1:34" x14ac:dyDescent="0.2">
      <c r="A341" s="184"/>
      <c r="B341" s="184" t="s">
        <v>2029</v>
      </c>
      <c r="C341" s="193" t="s">
        <v>1691</v>
      </c>
      <c r="D341" s="186">
        <v>20</v>
      </c>
      <c r="E341" s="184" t="s">
        <v>1</v>
      </c>
      <c r="F341" s="186" t="s">
        <v>1</v>
      </c>
      <c r="G341" s="186" t="s">
        <v>1</v>
      </c>
      <c r="H341" s="186" t="s">
        <v>1</v>
      </c>
      <c r="I341" s="184" t="s">
        <v>6744</v>
      </c>
      <c r="J341" s="184" t="s">
        <v>6741</v>
      </c>
      <c r="K341" s="184" t="s">
        <v>2048</v>
      </c>
      <c r="L341" s="184" t="s">
        <v>2633</v>
      </c>
      <c r="M341" s="184">
        <v>2016</v>
      </c>
      <c r="N341" s="184"/>
      <c r="O341" s="184" t="s">
        <v>1</v>
      </c>
      <c r="P341" s="184" t="s">
        <v>1</v>
      </c>
      <c r="Q341" s="184" t="s">
        <v>1</v>
      </c>
      <c r="R341" s="184" t="s">
        <v>1</v>
      </c>
      <c r="S341" s="184" t="s">
        <v>1</v>
      </c>
      <c r="T341" s="184" t="s">
        <v>1</v>
      </c>
      <c r="U341" s="184" t="s">
        <v>1</v>
      </c>
      <c r="V341" s="184" t="s">
        <v>1</v>
      </c>
      <c r="W341" s="184" t="s">
        <v>1</v>
      </c>
      <c r="X341" s="184" t="s">
        <v>1</v>
      </c>
      <c r="Y341" s="184" t="s">
        <v>1</v>
      </c>
      <c r="Z341" s="184" t="s">
        <v>1</v>
      </c>
      <c r="AA341" s="184" t="s">
        <v>1</v>
      </c>
      <c r="AB341" s="184" t="s">
        <v>6627</v>
      </c>
      <c r="AC341" s="184" t="s">
        <v>6630</v>
      </c>
      <c r="AD341" s="184" t="s">
        <v>6742</v>
      </c>
      <c r="AE341" s="25" t="s">
        <v>6743</v>
      </c>
      <c r="AH341" s="184"/>
    </row>
    <row r="342" spans="1:34" x14ac:dyDescent="0.2">
      <c r="A342" s="184"/>
      <c r="B342" s="184" t="s">
        <v>2027</v>
      </c>
      <c r="C342" s="193" t="s">
        <v>1691</v>
      </c>
      <c r="D342" s="186">
        <v>20</v>
      </c>
      <c r="E342" s="186" t="s">
        <v>1</v>
      </c>
      <c r="F342" s="186" t="s">
        <v>1</v>
      </c>
      <c r="G342" s="186" t="s">
        <v>1</v>
      </c>
      <c r="H342" s="186" t="s">
        <v>1</v>
      </c>
      <c r="I342" s="184" t="s">
        <v>6746</v>
      </c>
      <c r="J342" s="184" t="s">
        <v>6749</v>
      </c>
      <c r="K342" s="184" t="s">
        <v>2048</v>
      </c>
      <c r="L342" s="184" t="s">
        <v>6747</v>
      </c>
      <c r="M342" s="184">
        <v>2021</v>
      </c>
      <c r="N342" s="184"/>
      <c r="O342" s="184" t="s">
        <v>1</v>
      </c>
      <c r="P342" s="184" t="s">
        <v>1</v>
      </c>
      <c r="Q342" s="184" t="s">
        <v>1</v>
      </c>
      <c r="R342" s="184" t="s">
        <v>1</v>
      </c>
      <c r="S342" s="184" t="s">
        <v>1</v>
      </c>
      <c r="T342" s="184" t="s">
        <v>1</v>
      </c>
      <c r="U342" s="184" t="s">
        <v>1</v>
      </c>
      <c r="V342" s="184" t="s">
        <v>1</v>
      </c>
      <c r="W342" s="184" t="s">
        <v>1</v>
      </c>
      <c r="X342" s="184" t="s">
        <v>1</v>
      </c>
      <c r="Y342" s="184" t="s">
        <v>1</v>
      </c>
      <c r="Z342" s="184" t="s">
        <v>1</v>
      </c>
      <c r="AA342" s="184" t="s">
        <v>1</v>
      </c>
      <c r="AB342" s="184" t="s">
        <v>6627</v>
      </c>
      <c r="AC342" s="184" t="s">
        <v>6630</v>
      </c>
      <c r="AD342" s="184" t="s">
        <v>6637</v>
      </c>
      <c r="AE342" s="25" t="s">
        <v>6748</v>
      </c>
      <c r="AH342" s="184"/>
    </row>
    <row r="343" spans="1:34" x14ac:dyDescent="0.2">
      <c r="B343" s="73" t="s">
        <v>2008</v>
      </c>
      <c r="C343" s="249" t="s">
        <v>1691</v>
      </c>
      <c r="D343" s="250">
        <v>20</v>
      </c>
      <c r="E343" s="250" t="s">
        <v>4</v>
      </c>
      <c r="F343" s="250" t="s">
        <v>1</v>
      </c>
      <c r="G343" s="250" t="s">
        <v>1</v>
      </c>
      <c r="H343" s="79">
        <v>42744</v>
      </c>
      <c r="I343" s="250" t="s">
        <v>7624</v>
      </c>
      <c r="J343" s="250" t="s">
        <v>7626</v>
      </c>
      <c r="K343" s="250" t="s">
        <v>2048</v>
      </c>
      <c r="L343" s="250" t="s">
        <v>2145</v>
      </c>
      <c r="M343" s="73">
        <v>2011</v>
      </c>
      <c r="O343" s="250" t="s">
        <v>1</v>
      </c>
      <c r="P343" s="250" t="s">
        <v>1</v>
      </c>
      <c r="Q343" s="250" t="s">
        <v>1</v>
      </c>
      <c r="R343" s="250" t="s">
        <v>1</v>
      </c>
      <c r="S343" s="250" t="s">
        <v>1</v>
      </c>
      <c r="T343" s="250" t="s">
        <v>1</v>
      </c>
      <c r="U343" s="250" t="s">
        <v>1</v>
      </c>
      <c r="V343" s="250" t="s">
        <v>1</v>
      </c>
      <c r="W343" s="250" t="s">
        <v>1</v>
      </c>
      <c r="X343" s="250" t="s">
        <v>1</v>
      </c>
      <c r="Y343" s="250" t="s">
        <v>1</v>
      </c>
      <c r="Z343" s="250" t="s">
        <v>1</v>
      </c>
      <c r="AA343" s="250" t="s">
        <v>1</v>
      </c>
      <c r="AB343" s="173" t="s">
        <v>6627</v>
      </c>
      <c r="AC343" s="173" t="s">
        <v>6630</v>
      </c>
      <c r="AD343" s="250" t="s">
        <v>6638</v>
      </c>
      <c r="AE343" s="25" t="s">
        <v>7625</v>
      </c>
      <c r="AF343" s="73"/>
      <c r="AG343" s="73"/>
    </row>
    <row r="344" spans="1:34" x14ac:dyDescent="0.2">
      <c r="A344" s="184"/>
      <c r="B344" s="184" t="s">
        <v>122</v>
      </c>
      <c r="C344" s="193" t="s">
        <v>1691</v>
      </c>
      <c r="D344" s="186">
        <v>10</v>
      </c>
      <c r="E344" s="184" t="s">
        <v>4</v>
      </c>
      <c r="F344" s="186">
        <v>2</v>
      </c>
      <c r="G344" s="186"/>
      <c r="H344" s="194">
        <v>44658</v>
      </c>
      <c r="I344" s="184" t="s">
        <v>2597</v>
      </c>
      <c r="J344" s="184" t="s">
        <v>2596</v>
      </c>
      <c r="K344" s="184" t="s">
        <v>2048</v>
      </c>
      <c r="L344" s="184" t="s">
        <v>2527</v>
      </c>
      <c r="M344" s="184">
        <v>2019</v>
      </c>
      <c r="N344" s="184"/>
      <c r="O344" s="184" t="s">
        <v>2595</v>
      </c>
      <c r="P344" s="187" t="s">
        <v>4</v>
      </c>
      <c r="Q344" s="187">
        <v>4.5</v>
      </c>
      <c r="R344" s="187" t="s">
        <v>2594</v>
      </c>
      <c r="S344" s="187" t="s">
        <v>4</v>
      </c>
      <c r="T344" s="187">
        <v>0.35</v>
      </c>
      <c r="U344" s="187" t="s">
        <v>123</v>
      </c>
      <c r="V344" s="187" t="s">
        <v>1</v>
      </c>
      <c r="W344" s="187" t="s">
        <v>1</v>
      </c>
      <c r="X344" s="187" t="s">
        <v>1</v>
      </c>
      <c r="Y344" s="187" t="s">
        <v>1</v>
      </c>
      <c r="Z344" s="187" t="s">
        <v>1</v>
      </c>
      <c r="AA344" s="187" t="s">
        <v>1</v>
      </c>
      <c r="AB344" s="184" t="s">
        <v>6627</v>
      </c>
      <c r="AC344" s="184" t="s">
        <v>6630</v>
      </c>
      <c r="AD344" s="184" t="s">
        <v>6673</v>
      </c>
      <c r="AE344" s="25" t="s">
        <v>4480</v>
      </c>
      <c r="AF344" s="64"/>
      <c r="AG344" s="59"/>
      <c r="AH344" s="184"/>
    </row>
    <row r="345" spans="1:34" x14ac:dyDescent="0.2">
      <c r="A345" s="184"/>
      <c r="B345" s="184" t="s">
        <v>2593</v>
      </c>
      <c r="C345" s="193" t="s">
        <v>1691</v>
      </c>
      <c r="D345" s="186">
        <v>10</v>
      </c>
      <c r="E345" s="184" t="s">
        <v>4</v>
      </c>
      <c r="F345" s="186">
        <v>3</v>
      </c>
      <c r="G345" s="186"/>
      <c r="H345" s="194">
        <v>44348</v>
      </c>
      <c r="I345" s="184" t="s">
        <v>2592</v>
      </c>
      <c r="J345" s="184"/>
      <c r="K345" s="184" t="s">
        <v>2311</v>
      </c>
      <c r="L345" s="184" t="s">
        <v>2065</v>
      </c>
      <c r="M345" s="199">
        <v>44166</v>
      </c>
      <c r="N345" s="184"/>
      <c r="O345" s="184" t="s">
        <v>2591</v>
      </c>
      <c r="P345" s="187" t="s">
        <v>278</v>
      </c>
      <c r="Q345" s="187">
        <v>0.5</v>
      </c>
      <c r="R345" s="187" t="s">
        <v>1</v>
      </c>
      <c r="S345" s="187" t="s">
        <v>1</v>
      </c>
      <c r="T345" s="187" t="s">
        <v>1</v>
      </c>
      <c r="U345" s="187" t="s">
        <v>1</v>
      </c>
      <c r="V345" s="187" t="s">
        <v>1</v>
      </c>
      <c r="W345" s="187" t="s">
        <v>1</v>
      </c>
      <c r="X345" s="187" t="s">
        <v>1</v>
      </c>
      <c r="Y345" s="187" t="s">
        <v>1</v>
      </c>
      <c r="Z345" s="187" t="s">
        <v>1</v>
      </c>
      <c r="AA345" s="187" t="s">
        <v>1</v>
      </c>
      <c r="AB345" s="184" t="s">
        <v>6672</v>
      </c>
      <c r="AC345" s="184"/>
      <c r="AD345" s="184" t="s">
        <v>6671</v>
      </c>
      <c r="AE345" s="184"/>
      <c r="AH345" s="184"/>
    </row>
    <row r="346" spans="1:34" x14ac:dyDescent="0.2">
      <c r="B346" s="73" t="s">
        <v>2014</v>
      </c>
      <c r="C346" s="249" t="s">
        <v>1691</v>
      </c>
      <c r="D346" s="73">
        <v>10</v>
      </c>
      <c r="E346" s="250" t="s">
        <v>4</v>
      </c>
      <c r="F346" s="88">
        <v>0.97</v>
      </c>
      <c r="G346" s="260">
        <f>F346</f>
        <v>0.97</v>
      </c>
      <c r="H346" s="79">
        <v>44068</v>
      </c>
      <c r="I346" s="250" t="s">
        <v>2853</v>
      </c>
      <c r="J346" s="250" t="s">
        <v>7449</v>
      </c>
      <c r="K346" s="250" t="s">
        <v>2048</v>
      </c>
      <c r="L346" s="250" t="s">
        <v>2059</v>
      </c>
      <c r="M346" s="79">
        <v>43219</v>
      </c>
      <c r="N346" s="250"/>
      <c r="O346" s="250" t="s">
        <v>7450</v>
      </c>
      <c r="P346" s="250" t="s">
        <v>4</v>
      </c>
      <c r="Q346" s="250" t="s">
        <v>1</v>
      </c>
      <c r="R346" s="250" t="s">
        <v>774</v>
      </c>
      <c r="S346" s="250" t="s">
        <v>1</v>
      </c>
      <c r="T346" s="250" t="s">
        <v>1</v>
      </c>
      <c r="U346" s="250" t="s">
        <v>1</v>
      </c>
      <c r="V346" s="250" t="s">
        <v>1</v>
      </c>
      <c r="W346" s="250" t="s">
        <v>1</v>
      </c>
      <c r="X346" s="250" t="s">
        <v>1</v>
      </c>
      <c r="Y346" s="250" t="s">
        <v>1</v>
      </c>
      <c r="Z346" s="250" t="s">
        <v>1</v>
      </c>
      <c r="AA346" s="250" t="s">
        <v>1</v>
      </c>
      <c r="AB346" s="173" t="s">
        <v>6627</v>
      </c>
      <c r="AC346" s="173" t="s">
        <v>6630</v>
      </c>
      <c r="AD346" s="250" t="s">
        <v>6637</v>
      </c>
      <c r="AE346" s="250" t="s">
        <v>7451</v>
      </c>
      <c r="AF346" s="73"/>
      <c r="AG346" s="73"/>
    </row>
    <row r="347" spans="1:34" x14ac:dyDescent="0.2">
      <c r="A347" s="184"/>
      <c r="B347" s="184" t="s">
        <v>2590</v>
      </c>
      <c r="C347" s="193" t="s">
        <v>1691</v>
      </c>
      <c r="D347" s="186">
        <v>4</v>
      </c>
      <c r="E347" s="184" t="s">
        <v>4</v>
      </c>
      <c r="F347" s="186">
        <v>0.21</v>
      </c>
      <c r="G347" s="186"/>
      <c r="H347" s="194">
        <v>44682</v>
      </c>
      <c r="I347" s="184" t="s">
        <v>2589</v>
      </c>
      <c r="J347" s="184" t="s">
        <v>2588</v>
      </c>
      <c r="K347" s="184" t="s">
        <v>2311</v>
      </c>
      <c r="L347" s="184" t="s">
        <v>2582</v>
      </c>
      <c r="M347" s="184">
        <v>2021</v>
      </c>
      <c r="N347" s="184"/>
      <c r="O347" s="184" t="s">
        <v>2587</v>
      </c>
      <c r="P347" s="187" t="s">
        <v>1</v>
      </c>
      <c r="Q347" s="187" t="s">
        <v>1</v>
      </c>
      <c r="R347" s="187" t="s">
        <v>1</v>
      </c>
      <c r="S347" s="187" t="s">
        <v>1</v>
      </c>
      <c r="T347" s="187" t="s">
        <v>1</v>
      </c>
      <c r="U347" s="187" t="s">
        <v>1</v>
      </c>
      <c r="V347" s="187" t="s">
        <v>1</v>
      </c>
      <c r="W347" s="187" t="s">
        <v>1</v>
      </c>
      <c r="X347" s="187" t="s">
        <v>1</v>
      </c>
      <c r="Y347" s="187" t="s">
        <v>1</v>
      </c>
      <c r="Z347" s="187" t="s">
        <v>1</v>
      </c>
      <c r="AA347" s="187" t="s">
        <v>1</v>
      </c>
      <c r="AB347" s="184" t="s">
        <v>2598</v>
      </c>
      <c r="AC347" s="184"/>
      <c r="AD347" s="184" t="s">
        <v>6670</v>
      </c>
      <c r="AE347" s="184"/>
      <c r="AH347" s="184"/>
    </row>
    <row r="348" spans="1:34" x14ac:dyDescent="0.2">
      <c r="A348" s="184"/>
      <c r="B348" s="184" t="s">
        <v>2586</v>
      </c>
      <c r="C348" s="193" t="s">
        <v>1691</v>
      </c>
      <c r="D348" s="186">
        <v>0.5</v>
      </c>
      <c r="E348" s="184" t="s">
        <v>278</v>
      </c>
      <c r="F348" s="186">
        <v>0.5</v>
      </c>
      <c r="G348" s="186"/>
      <c r="H348" s="194">
        <v>43173</v>
      </c>
      <c r="I348" s="184" t="s">
        <v>2149</v>
      </c>
      <c r="J348" s="184" t="s">
        <v>1</v>
      </c>
      <c r="K348" s="184" t="s">
        <v>1</v>
      </c>
      <c r="L348" s="184" t="s">
        <v>1</v>
      </c>
      <c r="M348" s="185" t="s">
        <v>1</v>
      </c>
      <c r="N348" s="184"/>
      <c r="O348" s="184" t="s">
        <v>2585</v>
      </c>
      <c r="P348" s="187" t="s">
        <v>1</v>
      </c>
      <c r="Q348" s="187" t="s">
        <v>1</v>
      </c>
      <c r="R348" s="187" t="s">
        <v>1</v>
      </c>
      <c r="S348" s="187" t="s">
        <v>1</v>
      </c>
      <c r="T348" s="187" t="s">
        <v>1</v>
      </c>
      <c r="U348" s="187" t="s">
        <v>1</v>
      </c>
      <c r="V348" s="187" t="s">
        <v>1</v>
      </c>
      <c r="W348" s="187" t="s">
        <v>1</v>
      </c>
      <c r="X348" s="187" t="s">
        <v>1</v>
      </c>
      <c r="Y348" s="187" t="s">
        <v>1</v>
      </c>
      <c r="Z348" s="187" t="s">
        <v>1</v>
      </c>
      <c r="AA348" s="187" t="s">
        <v>1</v>
      </c>
      <c r="AB348" s="184" t="s">
        <v>2584</v>
      </c>
      <c r="AC348" s="184"/>
      <c r="AD348" s="184"/>
      <c r="AE348" s="184"/>
      <c r="AH348" s="184"/>
    </row>
    <row r="349" spans="1:34" x14ac:dyDescent="0.2">
      <c r="B349" s="73" t="s">
        <v>2577</v>
      </c>
      <c r="C349" s="74" t="s">
        <v>1691</v>
      </c>
      <c r="D349" s="75" t="s">
        <v>1</v>
      </c>
      <c r="E349" s="75" t="s">
        <v>1</v>
      </c>
      <c r="F349" s="75" t="s">
        <v>1</v>
      </c>
      <c r="H349" s="75" t="s">
        <v>1</v>
      </c>
      <c r="K349" s="73" t="s">
        <v>2311</v>
      </c>
      <c r="L349" s="73" t="s">
        <v>2564</v>
      </c>
      <c r="M349" s="73">
        <v>2023</v>
      </c>
      <c r="O349" s="73" t="s">
        <v>1</v>
      </c>
      <c r="P349" s="73" t="s">
        <v>1</v>
      </c>
      <c r="Q349" s="73" t="s">
        <v>1</v>
      </c>
      <c r="R349" s="73" t="s">
        <v>1</v>
      </c>
      <c r="S349" s="73" t="s">
        <v>1</v>
      </c>
      <c r="T349" s="73" t="s">
        <v>1</v>
      </c>
      <c r="U349" s="73" t="s">
        <v>1</v>
      </c>
      <c r="V349" s="73" t="s">
        <v>1</v>
      </c>
      <c r="W349" s="73" t="s">
        <v>1</v>
      </c>
      <c r="X349" s="73" t="s">
        <v>1</v>
      </c>
      <c r="Y349" s="73" t="s">
        <v>1</v>
      </c>
      <c r="Z349" s="73" t="s">
        <v>1</v>
      </c>
      <c r="AA349" s="73" t="s">
        <v>1</v>
      </c>
    </row>
    <row r="350" spans="1:34" x14ac:dyDescent="0.2">
      <c r="B350" s="73" t="s">
        <v>2574</v>
      </c>
      <c r="C350" s="74" t="s">
        <v>1691</v>
      </c>
      <c r="D350" s="75" t="s">
        <v>1</v>
      </c>
      <c r="E350" s="75" t="s">
        <v>1</v>
      </c>
      <c r="F350" s="75" t="s">
        <v>1</v>
      </c>
      <c r="H350" s="75" t="s">
        <v>1</v>
      </c>
      <c r="I350" s="73" t="s">
        <v>2573</v>
      </c>
      <c r="K350" s="73" t="s">
        <v>2311</v>
      </c>
      <c r="L350" s="73" t="s">
        <v>2572</v>
      </c>
      <c r="M350" s="73">
        <v>2023</v>
      </c>
      <c r="O350" s="73" t="s">
        <v>1</v>
      </c>
      <c r="P350" s="73" t="s">
        <v>1</v>
      </c>
      <c r="Q350" s="73" t="s">
        <v>1</v>
      </c>
      <c r="R350" s="73" t="s">
        <v>1</v>
      </c>
      <c r="S350" s="73" t="s">
        <v>1</v>
      </c>
      <c r="T350" s="73" t="s">
        <v>1</v>
      </c>
      <c r="U350" s="73" t="s">
        <v>1</v>
      </c>
      <c r="V350" s="73" t="s">
        <v>1</v>
      </c>
      <c r="W350" s="73" t="s">
        <v>1</v>
      </c>
      <c r="X350" s="73" t="s">
        <v>1</v>
      </c>
      <c r="Y350" s="73" t="s">
        <v>1</v>
      </c>
      <c r="Z350" s="73" t="s">
        <v>1</v>
      </c>
      <c r="AA350" s="73" t="s">
        <v>1</v>
      </c>
      <c r="AB350" s="73" t="s">
        <v>1</v>
      </c>
    </row>
    <row r="351" spans="1:34" x14ac:dyDescent="0.2">
      <c r="B351" s="73" t="s">
        <v>2568</v>
      </c>
      <c r="C351" s="74" t="s">
        <v>1691</v>
      </c>
      <c r="D351" s="75" t="s">
        <v>1</v>
      </c>
      <c r="E351" s="75" t="s">
        <v>1</v>
      </c>
      <c r="F351" s="75" t="s">
        <v>1</v>
      </c>
      <c r="H351" s="75" t="s">
        <v>1</v>
      </c>
      <c r="I351" s="73" t="s">
        <v>2567</v>
      </c>
      <c r="K351" s="73" t="s">
        <v>2048</v>
      </c>
      <c r="L351" s="73" t="s">
        <v>2549</v>
      </c>
      <c r="M351" s="76" t="s">
        <v>1</v>
      </c>
      <c r="O351" s="77" t="s">
        <v>1</v>
      </c>
      <c r="P351" s="77" t="s">
        <v>1</v>
      </c>
      <c r="Q351" s="77" t="s">
        <v>1</v>
      </c>
      <c r="R351" s="77" t="s">
        <v>1</v>
      </c>
      <c r="S351" s="77" t="s">
        <v>1</v>
      </c>
      <c r="T351" s="77" t="s">
        <v>1</v>
      </c>
      <c r="U351" s="77" t="s">
        <v>1</v>
      </c>
      <c r="V351" s="77" t="s">
        <v>1</v>
      </c>
      <c r="W351" s="77" t="s">
        <v>1</v>
      </c>
      <c r="X351" s="77" t="s">
        <v>1</v>
      </c>
      <c r="Y351" s="77" t="s">
        <v>1</v>
      </c>
      <c r="Z351" s="77" t="s">
        <v>1</v>
      </c>
      <c r="AA351" s="77" t="s">
        <v>1</v>
      </c>
      <c r="AB351" s="77" t="s">
        <v>1</v>
      </c>
      <c r="AC351" s="77"/>
      <c r="AD351" s="77"/>
    </row>
    <row r="352" spans="1:34" x14ac:dyDescent="0.2">
      <c r="B352" s="73" t="s">
        <v>2563</v>
      </c>
      <c r="C352" s="74" t="s">
        <v>1691</v>
      </c>
      <c r="D352" s="75" t="s">
        <v>1</v>
      </c>
      <c r="E352" s="75" t="s">
        <v>1</v>
      </c>
      <c r="F352" s="75" t="s">
        <v>1</v>
      </c>
      <c r="H352" s="75" t="s">
        <v>1</v>
      </c>
      <c r="K352" s="73" t="s">
        <v>2562</v>
      </c>
      <c r="L352" s="73" t="s">
        <v>2562</v>
      </c>
      <c r="M352" s="75" t="s">
        <v>1</v>
      </c>
      <c r="O352" s="81" t="s">
        <v>1</v>
      </c>
      <c r="P352" s="81" t="s">
        <v>1</v>
      </c>
      <c r="Q352" s="81" t="s">
        <v>1</v>
      </c>
      <c r="R352" s="81" t="s">
        <v>1</v>
      </c>
      <c r="S352" s="81" t="s">
        <v>1</v>
      </c>
      <c r="T352" s="81" t="s">
        <v>1</v>
      </c>
      <c r="U352" s="81" t="s">
        <v>1</v>
      </c>
      <c r="V352" s="81" t="s">
        <v>1</v>
      </c>
      <c r="W352" s="81" t="s">
        <v>1</v>
      </c>
      <c r="X352" s="81" t="s">
        <v>1</v>
      </c>
      <c r="Y352" s="81" t="s">
        <v>1</v>
      </c>
      <c r="Z352" s="81" t="s">
        <v>1</v>
      </c>
      <c r="AA352" s="81" t="s">
        <v>1</v>
      </c>
      <c r="AB352" s="81" t="s">
        <v>1</v>
      </c>
      <c r="AC352" s="81"/>
      <c r="AD352" s="81"/>
      <c r="AE352" s="75"/>
      <c r="AF352" s="67"/>
      <c r="AG352" s="61"/>
    </row>
    <row r="353" spans="2:33" x14ac:dyDescent="0.2">
      <c r="B353" s="73" t="s">
        <v>2561</v>
      </c>
      <c r="C353" s="74" t="s">
        <v>1691</v>
      </c>
      <c r="D353" s="75" t="s">
        <v>1</v>
      </c>
      <c r="E353" s="75" t="s">
        <v>1</v>
      </c>
      <c r="F353" s="75" t="s">
        <v>1</v>
      </c>
      <c r="H353" s="75" t="s">
        <v>1</v>
      </c>
      <c r="I353" s="73" t="s">
        <v>2560</v>
      </c>
      <c r="K353" s="73" t="s">
        <v>2311</v>
      </c>
      <c r="L353" s="73" t="s">
        <v>2559</v>
      </c>
      <c r="M353" s="76" t="s">
        <v>1</v>
      </c>
      <c r="O353" s="81" t="s">
        <v>1</v>
      </c>
      <c r="P353" s="81" t="s">
        <v>1</v>
      </c>
      <c r="Q353" s="81" t="s">
        <v>1</v>
      </c>
      <c r="R353" s="81" t="s">
        <v>1</v>
      </c>
      <c r="S353" s="81" t="s">
        <v>1</v>
      </c>
      <c r="T353" s="81" t="s">
        <v>1</v>
      </c>
      <c r="U353" s="81" t="s">
        <v>1</v>
      </c>
      <c r="V353" s="81" t="s">
        <v>1</v>
      </c>
      <c r="W353" s="81" t="s">
        <v>1</v>
      </c>
      <c r="X353" s="81" t="s">
        <v>1</v>
      </c>
      <c r="Y353" s="81" t="s">
        <v>1</v>
      </c>
      <c r="Z353" s="81" t="s">
        <v>1</v>
      </c>
      <c r="AA353" s="81" t="s">
        <v>1</v>
      </c>
      <c r="AB353" s="81" t="s">
        <v>1</v>
      </c>
      <c r="AC353" s="81"/>
      <c r="AD353" s="81"/>
    </row>
    <row r="354" spans="2:33" x14ac:dyDescent="0.2">
      <c r="B354" s="73" t="s">
        <v>2556</v>
      </c>
      <c r="C354" s="74" t="s">
        <v>1691</v>
      </c>
      <c r="D354" s="75" t="s">
        <v>1</v>
      </c>
      <c r="E354" s="75" t="s">
        <v>1</v>
      </c>
      <c r="F354" s="75" t="s">
        <v>1</v>
      </c>
      <c r="H354" s="75" t="s">
        <v>1</v>
      </c>
      <c r="I354" s="73" t="s">
        <v>2470</v>
      </c>
      <c r="K354" s="73" t="s">
        <v>2311</v>
      </c>
      <c r="L354" s="73" t="s">
        <v>2470</v>
      </c>
      <c r="M354" s="73">
        <v>2021</v>
      </c>
      <c r="O354" s="73" t="s">
        <v>1</v>
      </c>
      <c r="P354" s="73" t="s">
        <v>1</v>
      </c>
      <c r="Q354" s="73" t="s">
        <v>1</v>
      </c>
      <c r="R354" s="73" t="s">
        <v>1</v>
      </c>
      <c r="S354" s="73" t="s">
        <v>1</v>
      </c>
      <c r="T354" s="73" t="s">
        <v>1</v>
      </c>
      <c r="U354" s="73" t="s">
        <v>1</v>
      </c>
      <c r="V354" s="73" t="s">
        <v>1</v>
      </c>
      <c r="W354" s="73" t="s">
        <v>1</v>
      </c>
      <c r="X354" s="73" t="s">
        <v>1</v>
      </c>
      <c r="Y354" s="73" t="s">
        <v>1</v>
      </c>
      <c r="Z354" s="73" t="s">
        <v>1</v>
      </c>
      <c r="AA354" s="73" t="s">
        <v>1</v>
      </c>
      <c r="AB354" s="173" t="s">
        <v>6627</v>
      </c>
      <c r="AC354" s="173" t="s">
        <v>6630</v>
      </c>
      <c r="AD354" s="173" t="s">
        <v>6637</v>
      </c>
    </row>
    <row r="355" spans="2:33" x14ac:dyDescent="0.2">
      <c r="B355" s="73" t="s">
        <v>2555</v>
      </c>
      <c r="C355" s="74" t="s">
        <v>1691</v>
      </c>
      <c r="D355" s="75" t="s">
        <v>1</v>
      </c>
      <c r="E355" s="75" t="s">
        <v>1</v>
      </c>
      <c r="F355" s="75" t="s">
        <v>1</v>
      </c>
      <c r="H355" s="75" t="s">
        <v>1</v>
      </c>
      <c r="I355" s="73" t="s">
        <v>2554</v>
      </c>
      <c r="K355" s="73" t="s">
        <v>2311</v>
      </c>
      <c r="L355" s="73" t="s">
        <v>2470</v>
      </c>
      <c r="M355" s="73">
        <v>2022</v>
      </c>
      <c r="O355" s="81" t="s">
        <v>1</v>
      </c>
      <c r="P355" s="81" t="s">
        <v>1</v>
      </c>
      <c r="Q355" s="81" t="s">
        <v>1</v>
      </c>
      <c r="R355" s="81" t="s">
        <v>1</v>
      </c>
      <c r="S355" s="81" t="s">
        <v>1</v>
      </c>
      <c r="T355" s="81" t="s">
        <v>1</v>
      </c>
      <c r="U355" s="81" t="s">
        <v>1</v>
      </c>
      <c r="V355" s="81" t="s">
        <v>1</v>
      </c>
      <c r="W355" s="81" t="s">
        <v>1</v>
      </c>
      <c r="X355" s="81" t="s">
        <v>1</v>
      </c>
      <c r="Y355" s="81" t="s">
        <v>1</v>
      </c>
      <c r="Z355" s="81" t="s">
        <v>1</v>
      </c>
      <c r="AA355" s="81" t="s">
        <v>1</v>
      </c>
      <c r="AB355" s="81" t="s">
        <v>1</v>
      </c>
      <c r="AC355" s="81"/>
      <c r="AD355" s="81"/>
    </row>
    <row r="356" spans="2:33" x14ac:dyDescent="0.2">
      <c r="B356" s="73" t="s">
        <v>2553</v>
      </c>
      <c r="C356" s="74" t="s">
        <v>1691</v>
      </c>
      <c r="D356" s="75" t="s">
        <v>1</v>
      </c>
      <c r="E356" s="75" t="s">
        <v>1</v>
      </c>
      <c r="F356" s="75" t="s">
        <v>1</v>
      </c>
      <c r="H356" s="75" t="s">
        <v>1</v>
      </c>
      <c r="I356" s="73" t="s">
        <v>2552</v>
      </c>
      <c r="K356" s="73" t="s">
        <v>2311</v>
      </c>
      <c r="L356" s="73" t="s">
        <v>2470</v>
      </c>
      <c r="M356" s="76" t="s">
        <v>1</v>
      </c>
      <c r="O356" s="73" t="s">
        <v>1</v>
      </c>
      <c r="P356" s="73" t="s">
        <v>1</v>
      </c>
      <c r="Q356" s="73" t="s">
        <v>1</v>
      </c>
      <c r="R356" s="73" t="s">
        <v>1</v>
      </c>
      <c r="S356" s="73" t="s">
        <v>1</v>
      </c>
      <c r="T356" s="73" t="s">
        <v>1</v>
      </c>
      <c r="U356" s="73" t="s">
        <v>1</v>
      </c>
      <c r="V356" s="73" t="s">
        <v>1</v>
      </c>
      <c r="W356" s="73" t="s">
        <v>1</v>
      </c>
      <c r="X356" s="73" t="s">
        <v>1</v>
      </c>
      <c r="Y356" s="73" t="s">
        <v>1</v>
      </c>
      <c r="Z356" s="73" t="s">
        <v>1</v>
      </c>
      <c r="AA356" s="73" t="s">
        <v>1</v>
      </c>
      <c r="AB356" s="73" t="s">
        <v>1</v>
      </c>
    </row>
    <row r="357" spans="2:33" x14ac:dyDescent="0.2">
      <c r="B357" s="73" t="s">
        <v>2551</v>
      </c>
      <c r="C357" s="74" t="s">
        <v>1691</v>
      </c>
      <c r="D357" s="75" t="s">
        <v>1</v>
      </c>
      <c r="E357" s="75" t="s">
        <v>1</v>
      </c>
      <c r="F357" s="75" t="s">
        <v>1</v>
      </c>
      <c r="H357" s="75" t="s">
        <v>1</v>
      </c>
      <c r="I357" s="73" t="s">
        <v>2550</v>
      </c>
      <c r="K357" s="73" t="s">
        <v>2311</v>
      </c>
      <c r="L357" s="73" t="s">
        <v>2549</v>
      </c>
      <c r="M357" s="76" t="s">
        <v>1</v>
      </c>
      <c r="O357" s="73" t="s">
        <v>1</v>
      </c>
      <c r="P357" s="73" t="s">
        <v>1</v>
      </c>
      <c r="Q357" s="73" t="s">
        <v>1</v>
      </c>
      <c r="R357" s="73" t="s">
        <v>1</v>
      </c>
      <c r="S357" s="73" t="s">
        <v>1</v>
      </c>
      <c r="T357" s="73" t="s">
        <v>1</v>
      </c>
      <c r="U357" s="73" t="s">
        <v>1</v>
      </c>
      <c r="V357" s="73" t="s">
        <v>1</v>
      </c>
      <c r="W357" s="73" t="s">
        <v>1</v>
      </c>
      <c r="X357" s="73" t="s">
        <v>1</v>
      </c>
      <c r="Y357" s="73" t="s">
        <v>1</v>
      </c>
      <c r="Z357" s="73" t="s">
        <v>1</v>
      </c>
      <c r="AA357" s="73" t="s">
        <v>1</v>
      </c>
      <c r="AB357" s="73" t="s">
        <v>1</v>
      </c>
    </row>
    <row r="358" spans="2:33" x14ac:dyDescent="0.2">
      <c r="B358" s="73" t="s">
        <v>2542</v>
      </c>
      <c r="C358" s="74" t="s">
        <v>1691</v>
      </c>
      <c r="D358" s="75" t="s">
        <v>1</v>
      </c>
      <c r="E358" s="75" t="s">
        <v>1</v>
      </c>
      <c r="F358" s="75" t="s">
        <v>1</v>
      </c>
      <c r="H358" s="75" t="s">
        <v>1</v>
      </c>
      <c r="I358" s="73" t="s">
        <v>2541</v>
      </c>
      <c r="J358" s="73" t="s">
        <v>2540</v>
      </c>
      <c r="K358" s="73" t="s">
        <v>2048</v>
      </c>
      <c r="L358" s="73" t="s">
        <v>2539</v>
      </c>
      <c r="M358" s="73">
        <v>2018</v>
      </c>
      <c r="O358" s="73" t="s">
        <v>1</v>
      </c>
      <c r="P358" s="73" t="s">
        <v>1</v>
      </c>
      <c r="Q358" s="73" t="s">
        <v>1</v>
      </c>
      <c r="R358" s="73" t="s">
        <v>1</v>
      </c>
      <c r="S358" s="73" t="s">
        <v>1</v>
      </c>
      <c r="T358" s="73" t="s">
        <v>1</v>
      </c>
      <c r="U358" s="73" t="s">
        <v>1</v>
      </c>
      <c r="V358" s="73" t="s">
        <v>1</v>
      </c>
      <c r="W358" s="73" t="s">
        <v>1</v>
      </c>
      <c r="X358" s="73" t="s">
        <v>1</v>
      </c>
      <c r="Y358" s="73" t="s">
        <v>1</v>
      </c>
      <c r="Z358" s="73" t="s">
        <v>1</v>
      </c>
      <c r="AA358" s="73" t="s">
        <v>1</v>
      </c>
      <c r="AB358" s="173" t="s">
        <v>6627</v>
      </c>
      <c r="AC358" s="173" t="s">
        <v>6630</v>
      </c>
      <c r="AD358" s="173" t="s">
        <v>6666</v>
      </c>
      <c r="AE358" s="25" t="s">
        <v>2538</v>
      </c>
      <c r="AF358" s="64"/>
      <c r="AG358" s="59"/>
    </row>
    <row r="359" spans="2:33" x14ac:dyDescent="0.2">
      <c r="B359" s="73" t="s">
        <v>2537</v>
      </c>
      <c r="C359" s="74" t="s">
        <v>1691</v>
      </c>
      <c r="D359" s="75" t="s">
        <v>1</v>
      </c>
      <c r="E359" s="75" t="s">
        <v>1</v>
      </c>
      <c r="F359" s="75" t="s">
        <v>1</v>
      </c>
      <c r="H359" s="75" t="s">
        <v>1</v>
      </c>
      <c r="I359" s="73" t="s">
        <v>2536</v>
      </c>
      <c r="K359" s="73" t="s">
        <v>2311</v>
      </c>
      <c r="L359" s="73" t="s">
        <v>2392</v>
      </c>
      <c r="M359" s="73">
        <v>2023</v>
      </c>
      <c r="O359" s="73" t="s">
        <v>1</v>
      </c>
      <c r="P359" s="73" t="s">
        <v>1</v>
      </c>
      <c r="Q359" s="73" t="s">
        <v>1</v>
      </c>
      <c r="R359" s="73" t="s">
        <v>1</v>
      </c>
      <c r="S359" s="73" t="s">
        <v>1</v>
      </c>
      <c r="T359" s="73" t="s">
        <v>1</v>
      </c>
      <c r="U359" s="73" t="s">
        <v>1</v>
      </c>
      <c r="V359" s="73" t="s">
        <v>1</v>
      </c>
      <c r="W359" s="73" t="s">
        <v>1</v>
      </c>
      <c r="X359" s="73" t="s">
        <v>1</v>
      </c>
      <c r="Y359" s="73" t="s">
        <v>1</v>
      </c>
      <c r="Z359" s="73" t="s">
        <v>1</v>
      </c>
      <c r="AA359" s="73" t="s">
        <v>1</v>
      </c>
      <c r="AB359" s="73" t="s">
        <v>1</v>
      </c>
    </row>
    <row r="360" spans="2:33" x14ac:dyDescent="0.2">
      <c r="B360" s="73" t="s">
        <v>2533</v>
      </c>
      <c r="C360" s="74" t="s">
        <v>1691</v>
      </c>
      <c r="D360" s="75" t="s">
        <v>1</v>
      </c>
      <c r="E360" s="75" t="s">
        <v>1</v>
      </c>
      <c r="F360" s="75" t="s">
        <v>1</v>
      </c>
      <c r="H360" s="75" t="s">
        <v>1</v>
      </c>
      <c r="I360" s="73" t="s">
        <v>2532</v>
      </c>
      <c r="J360" s="73" t="s">
        <v>2531</v>
      </c>
      <c r="K360" s="73" t="s">
        <v>2048</v>
      </c>
      <c r="L360" s="73" t="s">
        <v>2530</v>
      </c>
      <c r="M360" s="73">
        <v>2022</v>
      </c>
      <c r="O360" s="73" t="s">
        <v>1</v>
      </c>
      <c r="P360" s="73" t="s">
        <v>1</v>
      </c>
      <c r="Q360" s="73" t="s">
        <v>1</v>
      </c>
      <c r="R360" s="73" t="s">
        <v>1</v>
      </c>
      <c r="S360" s="73" t="s">
        <v>1</v>
      </c>
      <c r="T360" s="73" t="s">
        <v>1</v>
      </c>
      <c r="U360" s="73" t="s">
        <v>1</v>
      </c>
      <c r="V360" s="73" t="s">
        <v>1</v>
      </c>
      <c r="W360" s="73" t="s">
        <v>1</v>
      </c>
      <c r="X360" s="73" t="s">
        <v>1</v>
      </c>
      <c r="Y360" s="73" t="s">
        <v>1</v>
      </c>
      <c r="Z360" s="73" t="s">
        <v>1</v>
      </c>
      <c r="AA360" s="73" t="s">
        <v>1</v>
      </c>
      <c r="AB360" s="173" t="s">
        <v>6627</v>
      </c>
      <c r="AC360" s="173" t="s">
        <v>6667</v>
      </c>
      <c r="AD360" s="173" t="s">
        <v>6668</v>
      </c>
    </row>
    <row r="361" spans="2:33" x14ac:dyDescent="0.2">
      <c r="B361" s="73" t="s">
        <v>2529</v>
      </c>
      <c r="C361" s="74" t="s">
        <v>1691</v>
      </c>
      <c r="D361" s="75" t="s">
        <v>1</v>
      </c>
      <c r="E361" s="75" t="s">
        <v>1</v>
      </c>
      <c r="F361" s="75" t="s">
        <v>1</v>
      </c>
      <c r="H361" s="75" t="s">
        <v>1</v>
      </c>
      <c r="I361" s="73" t="s">
        <v>2528</v>
      </c>
      <c r="K361" s="73" t="s">
        <v>2311</v>
      </c>
      <c r="L361" s="73" t="s">
        <v>2527</v>
      </c>
      <c r="M361" s="73">
        <v>2021</v>
      </c>
      <c r="O361" s="73" t="s">
        <v>1</v>
      </c>
      <c r="P361" s="73" t="s">
        <v>1</v>
      </c>
      <c r="Q361" s="73" t="s">
        <v>1</v>
      </c>
      <c r="R361" s="73" t="s">
        <v>1</v>
      </c>
      <c r="S361" s="73" t="s">
        <v>1</v>
      </c>
      <c r="T361" s="73" t="s">
        <v>1</v>
      </c>
      <c r="U361" s="73" t="s">
        <v>1</v>
      </c>
      <c r="V361" s="73" t="s">
        <v>1</v>
      </c>
      <c r="W361" s="73" t="s">
        <v>1</v>
      </c>
      <c r="X361" s="73" t="s">
        <v>1</v>
      </c>
      <c r="Y361" s="73" t="s">
        <v>1</v>
      </c>
      <c r="Z361" s="73" t="s">
        <v>1</v>
      </c>
      <c r="AA361" s="73" t="s">
        <v>1</v>
      </c>
      <c r="AB361" s="173" t="s">
        <v>6652</v>
      </c>
      <c r="AD361" s="173" t="s">
        <v>6669</v>
      </c>
      <c r="AE361" s="25" t="s">
        <v>2526</v>
      </c>
      <c r="AF361" s="64"/>
      <c r="AG361" s="59"/>
    </row>
    <row r="362" spans="2:33" x14ac:dyDescent="0.2">
      <c r="B362" s="73" t="s">
        <v>2525</v>
      </c>
      <c r="C362" s="74" t="s">
        <v>1691</v>
      </c>
      <c r="D362" s="75" t="s">
        <v>1</v>
      </c>
      <c r="E362" s="75" t="s">
        <v>1</v>
      </c>
      <c r="F362" s="75" t="s">
        <v>1</v>
      </c>
      <c r="H362" s="75" t="s">
        <v>1</v>
      </c>
      <c r="I362" s="73" t="s">
        <v>2524</v>
      </c>
      <c r="J362" s="73" t="s">
        <v>1</v>
      </c>
      <c r="K362" s="73" t="s">
        <v>2048</v>
      </c>
      <c r="L362" s="73" t="s">
        <v>2524</v>
      </c>
      <c r="M362" s="76" t="s">
        <v>1</v>
      </c>
      <c r="O362" s="73" t="s">
        <v>1</v>
      </c>
      <c r="P362" s="73" t="s">
        <v>1</v>
      </c>
      <c r="Q362" s="73" t="s">
        <v>1</v>
      </c>
      <c r="R362" s="73" t="s">
        <v>1</v>
      </c>
      <c r="S362" s="73" t="s">
        <v>1</v>
      </c>
      <c r="T362" s="73" t="s">
        <v>1</v>
      </c>
      <c r="U362" s="73" t="s">
        <v>1</v>
      </c>
      <c r="V362" s="73" t="s">
        <v>1</v>
      </c>
      <c r="W362" s="73" t="s">
        <v>1</v>
      </c>
      <c r="X362" s="73" t="s">
        <v>1</v>
      </c>
      <c r="Y362" s="73" t="s">
        <v>1</v>
      </c>
      <c r="Z362" s="73" t="s">
        <v>1</v>
      </c>
      <c r="AA362" s="73" t="s">
        <v>1</v>
      </c>
      <c r="AB362" s="73" t="s">
        <v>1</v>
      </c>
      <c r="AE362" s="25" t="s">
        <v>2523</v>
      </c>
      <c r="AF362" s="64"/>
      <c r="AG362" s="59"/>
    </row>
    <row r="363" spans="2:33" x14ac:dyDescent="0.2">
      <c r="B363" s="73" t="s">
        <v>2522</v>
      </c>
      <c r="C363" s="74" t="s">
        <v>1691</v>
      </c>
      <c r="D363" s="75" t="s">
        <v>1</v>
      </c>
      <c r="E363" s="75" t="s">
        <v>1</v>
      </c>
      <c r="F363" s="75" t="s">
        <v>1</v>
      </c>
      <c r="H363" s="75" t="s">
        <v>1</v>
      </c>
      <c r="I363" s="73" t="s">
        <v>2306</v>
      </c>
      <c r="K363" s="73" t="s">
        <v>2048</v>
      </c>
      <c r="L363" s="73" t="s">
        <v>2306</v>
      </c>
      <c r="M363" s="73">
        <v>2020</v>
      </c>
      <c r="N363" s="73" t="s">
        <v>2521</v>
      </c>
      <c r="O363" s="73" t="s">
        <v>1</v>
      </c>
      <c r="P363" s="73" t="s">
        <v>1</v>
      </c>
      <c r="Q363" s="73" t="s">
        <v>1</v>
      </c>
      <c r="R363" s="73" t="s">
        <v>1</v>
      </c>
      <c r="S363" s="73" t="s">
        <v>1</v>
      </c>
      <c r="T363" s="73" t="s">
        <v>1</v>
      </c>
      <c r="U363" s="73" t="s">
        <v>1</v>
      </c>
      <c r="V363" s="73" t="s">
        <v>1</v>
      </c>
      <c r="W363" s="73" t="s">
        <v>1</v>
      </c>
      <c r="X363" s="73" t="s">
        <v>1</v>
      </c>
      <c r="Y363" s="73" t="s">
        <v>1</v>
      </c>
      <c r="Z363" s="73" t="s">
        <v>1</v>
      </c>
      <c r="AA363" s="73" t="s">
        <v>1</v>
      </c>
      <c r="AB363" s="73" t="s">
        <v>2520</v>
      </c>
    </row>
    <row r="364" spans="2:33" x14ac:dyDescent="0.2">
      <c r="B364" s="73" t="s">
        <v>2270</v>
      </c>
      <c r="C364" s="74" t="s">
        <v>1691</v>
      </c>
      <c r="D364" s="75" t="s">
        <v>1</v>
      </c>
      <c r="E364" s="81" t="s">
        <v>4</v>
      </c>
      <c r="F364" s="75" t="s">
        <v>1</v>
      </c>
      <c r="H364" s="78">
        <v>44454</v>
      </c>
      <c r="J364" s="73" t="s">
        <v>2269</v>
      </c>
      <c r="K364" s="73" t="s">
        <v>2048</v>
      </c>
      <c r="L364" s="73" t="s">
        <v>2268</v>
      </c>
      <c r="M364" s="76" t="s">
        <v>1</v>
      </c>
      <c r="O364" s="73" t="s">
        <v>621</v>
      </c>
      <c r="P364" s="77" t="s">
        <v>1</v>
      </c>
      <c r="Q364" s="77" t="s">
        <v>1</v>
      </c>
      <c r="R364" s="77" t="s">
        <v>1</v>
      </c>
      <c r="S364" s="77" t="s">
        <v>1</v>
      </c>
      <c r="T364" s="77" t="s">
        <v>1</v>
      </c>
      <c r="U364" s="77" t="s">
        <v>1</v>
      </c>
      <c r="V364" s="77" t="s">
        <v>1</v>
      </c>
      <c r="W364" s="77" t="s">
        <v>1</v>
      </c>
      <c r="X364" s="77" t="s">
        <v>1</v>
      </c>
      <c r="Y364" s="77" t="s">
        <v>1</v>
      </c>
      <c r="Z364" s="77" t="s">
        <v>1</v>
      </c>
      <c r="AA364" s="77" t="s">
        <v>1</v>
      </c>
      <c r="AB364" s="173" t="s">
        <v>6627</v>
      </c>
      <c r="AC364" s="173" t="s">
        <v>6630</v>
      </c>
      <c r="AD364" s="173" t="s">
        <v>2365</v>
      </c>
    </row>
    <row r="365" spans="2:33" x14ac:dyDescent="0.2">
      <c r="B365" s="73" t="s">
        <v>2106</v>
      </c>
      <c r="C365" s="74" t="s">
        <v>1691</v>
      </c>
      <c r="D365" s="75" t="s">
        <v>1</v>
      </c>
      <c r="E365" s="73" t="s">
        <v>4</v>
      </c>
      <c r="F365" s="75" t="s">
        <v>1</v>
      </c>
      <c r="H365" s="75" t="s">
        <v>1</v>
      </c>
      <c r="I365" s="73" t="s">
        <v>5233</v>
      </c>
      <c r="J365" s="73" t="s">
        <v>5231</v>
      </c>
      <c r="K365" s="73" t="s">
        <v>2048</v>
      </c>
      <c r="L365" s="73" t="s">
        <v>2059</v>
      </c>
      <c r="M365" s="73">
        <v>2021</v>
      </c>
      <c r="O365" s="73" t="s">
        <v>2283</v>
      </c>
      <c r="P365" s="77" t="s">
        <v>1</v>
      </c>
      <c r="Q365" s="77" t="s">
        <v>1</v>
      </c>
      <c r="R365" s="77" t="s">
        <v>1</v>
      </c>
      <c r="S365" s="77" t="s">
        <v>1</v>
      </c>
      <c r="T365" s="77" t="s">
        <v>1</v>
      </c>
      <c r="U365" s="77" t="s">
        <v>1</v>
      </c>
      <c r="V365" s="77" t="s">
        <v>1</v>
      </c>
      <c r="W365" s="77" t="s">
        <v>1</v>
      </c>
      <c r="X365" s="77" t="s">
        <v>1</v>
      </c>
      <c r="Y365" s="77" t="s">
        <v>1</v>
      </c>
      <c r="Z365" s="77" t="s">
        <v>1</v>
      </c>
      <c r="AA365" s="77" t="s">
        <v>1</v>
      </c>
      <c r="AB365" s="173" t="s">
        <v>6627</v>
      </c>
      <c r="AC365" s="173" t="s">
        <v>6630</v>
      </c>
      <c r="AD365" s="173" t="s">
        <v>2365</v>
      </c>
      <c r="AE365" s="25" t="s">
        <v>2105</v>
      </c>
      <c r="AF365" s="64"/>
      <c r="AG365" s="59"/>
    </row>
    <row r="366" spans="2:33" x14ac:dyDescent="0.2">
      <c r="B366" s="73" t="s">
        <v>2243</v>
      </c>
      <c r="C366" s="74" t="s">
        <v>1691</v>
      </c>
      <c r="D366" s="75" t="s">
        <v>1</v>
      </c>
      <c r="E366" s="81" t="s">
        <v>1</v>
      </c>
      <c r="F366" s="75" t="s">
        <v>1</v>
      </c>
      <c r="H366" s="75" t="s">
        <v>1</v>
      </c>
      <c r="I366" s="73" t="s">
        <v>2242</v>
      </c>
      <c r="J366" s="73" t="s">
        <v>2241</v>
      </c>
      <c r="K366" s="73" t="s">
        <v>2048</v>
      </c>
      <c r="L366" s="73" t="s">
        <v>2240</v>
      </c>
      <c r="M366" s="73">
        <v>2022</v>
      </c>
      <c r="O366" s="73" t="s">
        <v>1</v>
      </c>
      <c r="P366" s="73" t="s">
        <v>1</v>
      </c>
      <c r="Q366" s="73" t="s">
        <v>1</v>
      </c>
      <c r="R366" s="73" t="s">
        <v>1</v>
      </c>
      <c r="S366" s="73" t="s">
        <v>1</v>
      </c>
      <c r="T366" s="73" t="s">
        <v>1</v>
      </c>
      <c r="U366" s="73" t="s">
        <v>1</v>
      </c>
      <c r="V366" s="73" t="s">
        <v>1</v>
      </c>
      <c r="W366" s="73" t="s">
        <v>1</v>
      </c>
      <c r="X366" s="73" t="s">
        <v>1</v>
      </c>
      <c r="Y366" s="73" t="s">
        <v>1</v>
      </c>
      <c r="Z366" s="73" t="s">
        <v>1</v>
      </c>
      <c r="AA366" s="73" t="s">
        <v>1</v>
      </c>
      <c r="AB366" s="173" t="s">
        <v>6627</v>
      </c>
      <c r="AC366" s="173" t="s">
        <v>6635</v>
      </c>
      <c r="AD366" s="173" t="s">
        <v>6635</v>
      </c>
    </row>
    <row r="367" spans="2:33" x14ac:dyDescent="0.2">
      <c r="B367" s="73" t="s">
        <v>2123</v>
      </c>
      <c r="C367" s="74" t="s">
        <v>1691</v>
      </c>
      <c r="D367" s="75" t="s">
        <v>1</v>
      </c>
      <c r="E367" s="75" t="s">
        <v>1</v>
      </c>
      <c r="F367" s="75" t="s">
        <v>1</v>
      </c>
      <c r="H367" s="75" t="s">
        <v>1</v>
      </c>
      <c r="I367" s="73" t="s">
        <v>4851</v>
      </c>
      <c r="J367" s="73" t="s">
        <v>1</v>
      </c>
      <c r="K367" s="73" t="s">
        <v>2048</v>
      </c>
      <c r="L367" s="73" t="s">
        <v>2059</v>
      </c>
      <c r="M367" s="73">
        <v>2020</v>
      </c>
      <c r="O367" s="73" t="s">
        <v>1</v>
      </c>
      <c r="P367" s="73" t="s">
        <v>1</v>
      </c>
      <c r="Q367" s="73" t="s">
        <v>1</v>
      </c>
      <c r="R367" s="73" t="s">
        <v>1</v>
      </c>
      <c r="S367" s="73" t="s">
        <v>1</v>
      </c>
      <c r="T367" s="73" t="s">
        <v>1</v>
      </c>
      <c r="U367" s="73" t="s">
        <v>1</v>
      </c>
      <c r="V367" s="73" t="s">
        <v>1</v>
      </c>
      <c r="W367" s="73" t="s">
        <v>1</v>
      </c>
      <c r="X367" s="73" t="s">
        <v>1</v>
      </c>
      <c r="Y367" s="73" t="s">
        <v>1</v>
      </c>
      <c r="Z367" s="73" t="s">
        <v>1</v>
      </c>
      <c r="AA367" s="73" t="s">
        <v>1</v>
      </c>
      <c r="AB367" s="173" t="s">
        <v>6627</v>
      </c>
      <c r="AC367" s="173" t="s">
        <v>6631</v>
      </c>
      <c r="AD367" s="173" t="s">
        <v>3959</v>
      </c>
      <c r="AE367" s="25" t="s">
        <v>2122</v>
      </c>
      <c r="AF367" s="64"/>
      <c r="AG367" s="59"/>
    </row>
    <row r="368" spans="2:33" x14ac:dyDescent="0.2">
      <c r="E368" s="81"/>
      <c r="H368" s="75"/>
      <c r="P368" s="73"/>
      <c r="Q368" s="73"/>
      <c r="R368" s="73"/>
      <c r="S368" s="73"/>
      <c r="T368" s="73"/>
      <c r="U368" s="73"/>
      <c r="V368" s="73"/>
      <c r="W368" s="73"/>
      <c r="X368" s="73"/>
      <c r="Y368" s="73"/>
      <c r="Z368" s="73"/>
      <c r="AA368" s="73"/>
    </row>
    <row r="369" spans="2:33" x14ac:dyDescent="0.2">
      <c r="B369" s="26" t="s">
        <v>2519</v>
      </c>
      <c r="E369" s="81"/>
      <c r="H369" s="75"/>
      <c r="P369" s="73"/>
      <c r="Q369" s="73"/>
      <c r="R369" s="73"/>
      <c r="S369" s="73"/>
      <c r="T369" s="73"/>
      <c r="U369" s="73"/>
      <c r="V369" s="73"/>
      <c r="W369" s="73"/>
      <c r="X369" s="73"/>
      <c r="Y369" s="73"/>
      <c r="Z369" s="73"/>
      <c r="AA369" s="73"/>
    </row>
    <row r="370" spans="2:33" x14ac:dyDescent="0.2">
      <c r="B370" s="73" t="s">
        <v>1090</v>
      </c>
      <c r="C370" s="97" t="s">
        <v>5435</v>
      </c>
      <c r="D370" s="75">
        <v>54750</v>
      </c>
      <c r="E370" s="103" t="s">
        <v>3796</v>
      </c>
      <c r="H370" s="75"/>
      <c r="P370" s="73"/>
      <c r="Q370" s="73"/>
      <c r="R370" s="73"/>
      <c r="S370" s="73"/>
      <c r="T370" s="73"/>
      <c r="U370" s="73"/>
      <c r="V370" s="73"/>
      <c r="W370" s="73"/>
      <c r="X370" s="73"/>
      <c r="Y370" s="73"/>
      <c r="Z370" s="73"/>
      <c r="AA370" s="73"/>
    </row>
    <row r="371" spans="2:33" x14ac:dyDescent="0.2">
      <c r="B371" s="73" t="s">
        <v>2518</v>
      </c>
      <c r="C371" s="97" t="s">
        <v>1691</v>
      </c>
      <c r="D371" s="75">
        <v>10000</v>
      </c>
    </row>
    <row r="372" spans="2:33" x14ac:dyDescent="0.2">
      <c r="B372" s="73" t="s">
        <v>2517</v>
      </c>
      <c r="C372" s="74" t="s">
        <v>1691</v>
      </c>
      <c r="E372" s="73" t="s">
        <v>18</v>
      </c>
      <c r="K372" s="73" t="s">
        <v>2065</v>
      </c>
      <c r="N372" s="73" t="s">
        <v>2063</v>
      </c>
      <c r="AB372" s="73" t="s">
        <v>2516</v>
      </c>
      <c r="AE372" s="25" t="s">
        <v>2515</v>
      </c>
      <c r="AF372" s="64"/>
      <c r="AG372" s="59"/>
    </row>
    <row r="373" spans="2:33" x14ac:dyDescent="0.2">
      <c r="B373" s="73" t="s">
        <v>2514</v>
      </c>
      <c r="C373" s="74" t="s">
        <v>1691</v>
      </c>
      <c r="K373" s="73" t="s">
        <v>2311</v>
      </c>
      <c r="L373" s="73" t="s">
        <v>2513</v>
      </c>
      <c r="N373" s="73" t="s">
        <v>2063</v>
      </c>
    </row>
    <row r="374" spans="2:33" x14ac:dyDescent="0.2">
      <c r="B374" s="73" t="s">
        <v>2512</v>
      </c>
      <c r="C374" s="74" t="s">
        <v>2141</v>
      </c>
      <c r="N374" s="73" t="s">
        <v>2511</v>
      </c>
    </row>
    <row r="375" spans="2:33" x14ac:dyDescent="0.2">
      <c r="B375" s="73" t="s">
        <v>2510</v>
      </c>
      <c r="C375" s="74" t="s">
        <v>2141</v>
      </c>
      <c r="N375" s="73" t="s">
        <v>2509</v>
      </c>
    </row>
    <row r="376" spans="2:33" x14ac:dyDescent="0.2">
      <c r="B376" s="73" t="s">
        <v>2508</v>
      </c>
      <c r="C376" s="74" t="s">
        <v>2141</v>
      </c>
      <c r="N376" s="73" t="s">
        <v>2507</v>
      </c>
    </row>
    <row r="377" spans="2:33" x14ac:dyDescent="0.2">
      <c r="B377" s="73" t="s">
        <v>2506</v>
      </c>
      <c r="C377" s="74" t="s">
        <v>2141</v>
      </c>
      <c r="N377" s="73" t="s">
        <v>1090</v>
      </c>
    </row>
    <row r="378" spans="2:33" x14ac:dyDescent="0.2">
      <c r="B378" s="73" t="s">
        <v>2505</v>
      </c>
      <c r="C378" s="74" t="s">
        <v>1691</v>
      </c>
      <c r="D378" s="75">
        <v>7900</v>
      </c>
      <c r="E378" s="73" t="s">
        <v>504</v>
      </c>
      <c r="F378" s="75">
        <v>200</v>
      </c>
      <c r="H378" s="78">
        <v>44175</v>
      </c>
      <c r="I378" s="73" t="s">
        <v>2504</v>
      </c>
      <c r="J378" s="73" t="s">
        <v>2503</v>
      </c>
      <c r="K378" s="73" t="s">
        <v>2502</v>
      </c>
      <c r="L378" s="73" t="s">
        <v>2065</v>
      </c>
      <c r="M378" s="73">
        <v>2015</v>
      </c>
      <c r="N378" s="73" t="s">
        <v>2272</v>
      </c>
      <c r="O378" s="73" t="s">
        <v>2501</v>
      </c>
      <c r="P378" s="77" t="s">
        <v>53</v>
      </c>
      <c r="Q378" s="77">
        <v>200</v>
      </c>
      <c r="R378" s="77" t="s">
        <v>2500</v>
      </c>
      <c r="S378" s="77" t="s">
        <v>9</v>
      </c>
      <c r="T378" s="77">
        <v>110</v>
      </c>
      <c r="U378" s="77" t="s">
        <v>2499</v>
      </c>
      <c r="V378" s="77" t="s">
        <v>8</v>
      </c>
      <c r="W378" s="77">
        <v>80</v>
      </c>
      <c r="X378" s="77" t="s">
        <v>2498</v>
      </c>
      <c r="Y378" s="77" t="s">
        <v>18</v>
      </c>
      <c r="Z378" s="77">
        <v>70</v>
      </c>
      <c r="AA378" s="77" t="s">
        <v>2497</v>
      </c>
      <c r="AB378" s="73" t="s">
        <v>2496</v>
      </c>
    </row>
    <row r="379" spans="2:33" x14ac:dyDescent="0.2">
      <c r="B379" s="73" t="s">
        <v>2495</v>
      </c>
      <c r="C379" s="74" t="s">
        <v>1691</v>
      </c>
      <c r="D379" s="75">
        <v>5200</v>
      </c>
      <c r="E379" s="73" t="s">
        <v>53</v>
      </c>
      <c r="F379" s="75">
        <v>400</v>
      </c>
      <c r="H379" s="78">
        <v>28327</v>
      </c>
      <c r="I379" s="73" t="s">
        <v>2494</v>
      </c>
      <c r="J379" s="73" t="s">
        <v>2493</v>
      </c>
      <c r="K379" s="73" t="s">
        <v>2048</v>
      </c>
      <c r="L379" s="73" t="s">
        <v>2074</v>
      </c>
      <c r="M379" s="73">
        <v>2012</v>
      </c>
      <c r="O379" s="73" t="s">
        <v>2492</v>
      </c>
      <c r="P379" s="77" t="s">
        <v>1</v>
      </c>
      <c r="Q379" s="77" t="s">
        <v>1</v>
      </c>
      <c r="R379" s="77" t="s">
        <v>1</v>
      </c>
      <c r="S379" s="77" t="s">
        <v>1</v>
      </c>
      <c r="T379" s="77" t="s">
        <v>1</v>
      </c>
      <c r="U379" s="77" t="s">
        <v>1</v>
      </c>
      <c r="V379" s="77" t="s">
        <v>1</v>
      </c>
      <c r="W379" s="77" t="s">
        <v>1</v>
      </c>
      <c r="X379" s="77" t="s">
        <v>1</v>
      </c>
      <c r="Y379" s="77" t="s">
        <v>1</v>
      </c>
      <c r="Z379" s="77" t="s">
        <v>1</v>
      </c>
      <c r="AA379" s="77" t="s">
        <v>1</v>
      </c>
      <c r="AB379" s="73" t="s">
        <v>2491</v>
      </c>
    </row>
    <row r="380" spans="2:33" x14ac:dyDescent="0.2">
      <c r="B380" s="73" t="s">
        <v>2127</v>
      </c>
      <c r="C380" s="74" t="s">
        <v>1691</v>
      </c>
      <c r="D380" s="75">
        <v>4200</v>
      </c>
      <c r="E380" s="73" t="s">
        <v>504</v>
      </c>
      <c r="F380" s="75">
        <v>200</v>
      </c>
      <c r="H380" s="78">
        <v>44349</v>
      </c>
      <c r="I380" s="73" t="s">
        <v>4473</v>
      </c>
      <c r="J380" s="73" t="s">
        <v>4472</v>
      </c>
      <c r="K380" s="73" t="s">
        <v>2048</v>
      </c>
      <c r="L380" s="73" t="s">
        <v>2126</v>
      </c>
      <c r="M380" s="73">
        <v>2014</v>
      </c>
      <c r="AB380" s="73" t="s">
        <v>2125</v>
      </c>
      <c r="AE380" s="25" t="s">
        <v>2124</v>
      </c>
      <c r="AF380" s="64"/>
      <c r="AG380" s="59"/>
    </row>
    <row r="381" spans="2:33" x14ac:dyDescent="0.2">
      <c r="B381" s="73" t="s">
        <v>2490</v>
      </c>
      <c r="C381" s="74" t="s">
        <v>1691</v>
      </c>
      <c r="D381" s="75">
        <v>4000</v>
      </c>
      <c r="E381" s="73" t="s">
        <v>2489</v>
      </c>
      <c r="F381" s="75">
        <v>400</v>
      </c>
      <c r="H381" s="78">
        <v>44378</v>
      </c>
      <c r="I381" s="73" t="s">
        <v>2488</v>
      </c>
      <c r="J381" s="73" t="s">
        <v>2487</v>
      </c>
      <c r="K381" s="73" t="s">
        <v>2048</v>
      </c>
      <c r="L381" s="73" t="s">
        <v>2065</v>
      </c>
      <c r="M381" s="73">
        <v>2012</v>
      </c>
      <c r="O381" s="73" t="s">
        <v>2486</v>
      </c>
      <c r="P381" s="77" t="s">
        <v>504</v>
      </c>
      <c r="Q381" s="77" t="s">
        <v>2485</v>
      </c>
      <c r="R381" s="77" t="s">
        <v>2484</v>
      </c>
      <c r="S381" s="77" t="s">
        <v>53</v>
      </c>
      <c r="T381" s="77">
        <v>106</v>
      </c>
      <c r="U381" s="77" t="s">
        <v>2483</v>
      </c>
      <c r="V381" s="77" t="s">
        <v>9</v>
      </c>
      <c r="W381" s="77">
        <v>52</v>
      </c>
      <c r="X381" s="77" t="s">
        <v>2482</v>
      </c>
      <c r="Y381" s="77" t="s">
        <v>8</v>
      </c>
      <c r="Z381" s="77">
        <v>32.799999999999997</v>
      </c>
      <c r="AA381" s="77" t="s">
        <v>2481</v>
      </c>
      <c r="AB381" s="73" t="s">
        <v>2101</v>
      </c>
    </row>
    <row r="382" spans="2:33" x14ac:dyDescent="0.2">
      <c r="B382" s="73" t="s">
        <v>2480</v>
      </c>
      <c r="C382" s="74" t="s">
        <v>1691</v>
      </c>
      <c r="D382" s="75">
        <v>3100</v>
      </c>
      <c r="E382" s="73" t="s">
        <v>9</v>
      </c>
      <c r="F382" s="75">
        <v>150</v>
      </c>
      <c r="H382" s="78">
        <v>44545</v>
      </c>
      <c r="I382" s="73" t="s">
        <v>2479</v>
      </c>
      <c r="J382" s="73" t="s">
        <v>1</v>
      </c>
      <c r="K382" s="73" t="s">
        <v>2048</v>
      </c>
      <c r="L382" s="73" t="s">
        <v>2065</v>
      </c>
      <c r="M382" s="73">
        <v>2014</v>
      </c>
      <c r="O382" s="73" t="s">
        <v>2478</v>
      </c>
      <c r="P382" s="77" t="s">
        <v>1</v>
      </c>
      <c r="Q382" s="77" t="s">
        <v>1</v>
      </c>
      <c r="R382" s="77" t="s">
        <v>1</v>
      </c>
      <c r="S382" s="77" t="s">
        <v>1</v>
      </c>
      <c r="T382" s="77" t="s">
        <v>1</v>
      </c>
      <c r="U382" s="77" t="s">
        <v>1</v>
      </c>
      <c r="V382" s="77" t="s">
        <v>1</v>
      </c>
      <c r="W382" s="77" t="s">
        <v>1</v>
      </c>
      <c r="X382" s="77" t="s">
        <v>1</v>
      </c>
      <c r="Y382" s="77" t="s">
        <v>1</v>
      </c>
      <c r="Z382" s="77" t="s">
        <v>1</v>
      </c>
      <c r="AA382" s="77" t="s">
        <v>1</v>
      </c>
      <c r="AB382" s="73" t="s">
        <v>2365</v>
      </c>
    </row>
    <row r="383" spans="2:33" x14ac:dyDescent="0.2">
      <c r="B383" s="73" t="s">
        <v>2477</v>
      </c>
      <c r="C383" s="74" t="s">
        <v>1691</v>
      </c>
      <c r="D383" s="75">
        <v>2800</v>
      </c>
      <c r="E383" s="73" t="s">
        <v>18</v>
      </c>
      <c r="I383" s="73" t="s">
        <v>2476</v>
      </c>
      <c r="K383" s="73" t="s">
        <v>2048</v>
      </c>
      <c r="L383" s="73" t="s">
        <v>2454</v>
      </c>
      <c r="M383" s="73">
        <v>2006</v>
      </c>
      <c r="N383" s="73" t="s">
        <v>2475</v>
      </c>
      <c r="AB383" s="73" t="s">
        <v>2308</v>
      </c>
      <c r="AE383" s="25" t="s">
        <v>2474</v>
      </c>
      <c r="AF383" s="64"/>
      <c r="AG383" s="59"/>
    </row>
    <row r="384" spans="2:33" x14ac:dyDescent="0.2">
      <c r="B384" s="73" t="s">
        <v>2473</v>
      </c>
      <c r="C384" s="74" t="s">
        <v>1691</v>
      </c>
      <c r="D384" s="75">
        <v>2500</v>
      </c>
      <c r="E384" s="73" t="s">
        <v>1</v>
      </c>
      <c r="F384" s="73" t="s">
        <v>1</v>
      </c>
      <c r="G384" s="73"/>
      <c r="H384" s="73" t="s">
        <v>1</v>
      </c>
      <c r="I384" s="73" t="s">
        <v>2472</v>
      </c>
      <c r="J384" s="73" t="s">
        <v>2471</v>
      </c>
      <c r="K384" s="73" t="s">
        <v>2048</v>
      </c>
      <c r="L384" s="73" t="s">
        <v>2470</v>
      </c>
      <c r="M384" s="73" t="s">
        <v>2469</v>
      </c>
      <c r="O384" s="73" t="s">
        <v>1</v>
      </c>
      <c r="P384" s="73" t="s">
        <v>1</v>
      </c>
      <c r="Q384" s="73" t="s">
        <v>1</v>
      </c>
      <c r="R384" s="73" t="s">
        <v>1</v>
      </c>
      <c r="S384" s="73" t="s">
        <v>1</v>
      </c>
      <c r="T384" s="73" t="s">
        <v>1</v>
      </c>
      <c r="U384" s="73" t="s">
        <v>1</v>
      </c>
      <c r="V384" s="73" t="s">
        <v>1</v>
      </c>
      <c r="W384" s="73" t="s">
        <v>1</v>
      </c>
      <c r="X384" s="73" t="s">
        <v>1</v>
      </c>
      <c r="Y384" s="73" t="s">
        <v>1</v>
      </c>
      <c r="Z384" s="73" t="s">
        <v>1</v>
      </c>
      <c r="AA384" s="73" t="s">
        <v>1</v>
      </c>
      <c r="AB384" s="73" t="s">
        <v>2468</v>
      </c>
    </row>
    <row r="385" spans="2:33" x14ac:dyDescent="0.2">
      <c r="B385" s="73" t="s">
        <v>2467</v>
      </c>
      <c r="C385" s="74" t="s">
        <v>1691</v>
      </c>
      <c r="D385" s="75">
        <v>1900</v>
      </c>
      <c r="E385" s="73" t="s">
        <v>18</v>
      </c>
      <c r="F385" s="75">
        <v>150</v>
      </c>
      <c r="H385" s="78">
        <v>44649</v>
      </c>
      <c r="I385" s="73" t="s">
        <v>2466</v>
      </c>
      <c r="J385" s="73" t="s">
        <v>1</v>
      </c>
      <c r="K385" s="73" t="s">
        <v>2048</v>
      </c>
      <c r="L385" s="73" t="s">
        <v>2065</v>
      </c>
      <c r="M385" s="73">
        <v>2018</v>
      </c>
      <c r="N385" s="73" t="s">
        <v>2465</v>
      </c>
      <c r="O385" s="73" t="s">
        <v>2464</v>
      </c>
      <c r="P385" s="77" t="s">
        <v>7</v>
      </c>
      <c r="Q385" s="77" t="s">
        <v>2463</v>
      </c>
      <c r="R385" s="77" t="s">
        <v>1</v>
      </c>
      <c r="S385" s="77" t="s">
        <v>1</v>
      </c>
      <c r="T385" s="77" t="s">
        <v>1</v>
      </c>
      <c r="U385" s="77" t="s">
        <v>1</v>
      </c>
      <c r="V385" s="77" t="s">
        <v>1</v>
      </c>
      <c r="W385" s="77" t="s">
        <v>1</v>
      </c>
      <c r="X385" s="77" t="s">
        <v>1</v>
      </c>
      <c r="Y385" s="77" t="s">
        <v>1</v>
      </c>
      <c r="Z385" s="77" t="s">
        <v>1</v>
      </c>
      <c r="AA385" s="77" t="s">
        <v>1</v>
      </c>
      <c r="AB385" s="73" t="s">
        <v>2462</v>
      </c>
    </row>
    <row r="386" spans="2:33" x14ac:dyDescent="0.2">
      <c r="B386" s="73" t="s">
        <v>2461</v>
      </c>
      <c r="C386" s="74" t="s">
        <v>1691</v>
      </c>
      <c r="D386" s="75">
        <v>1900</v>
      </c>
      <c r="E386" s="73" t="s">
        <v>9</v>
      </c>
      <c r="F386" s="75">
        <v>150</v>
      </c>
      <c r="H386" s="78">
        <v>44523</v>
      </c>
      <c r="I386" s="73" t="s">
        <v>2460</v>
      </c>
      <c r="J386" s="73" t="s">
        <v>1</v>
      </c>
      <c r="K386" s="73" t="s">
        <v>2048</v>
      </c>
      <c r="L386" s="73" t="s">
        <v>2459</v>
      </c>
      <c r="M386" s="73">
        <v>2017</v>
      </c>
      <c r="O386" s="73" t="s">
        <v>2458</v>
      </c>
      <c r="P386" s="77" t="s">
        <v>1</v>
      </c>
      <c r="Q386" s="77" t="s">
        <v>1</v>
      </c>
      <c r="R386" s="77" t="s">
        <v>1</v>
      </c>
      <c r="S386" s="77" t="s">
        <v>1</v>
      </c>
      <c r="T386" s="77" t="s">
        <v>1</v>
      </c>
      <c r="U386" s="77" t="s">
        <v>1</v>
      </c>
      <c r="V386" s="77" t="s">
        <v>1</v>
      </c>
      <c r="W386" s="77" t="s">
        <v>1</v>
      </c>
      <c r="X386" s="77" t="s">
        <v>1</v>
      </c>
      <c r="Y386" s="77" t="s">
        <v>1</v>
      </c>
      <c r="Z386" s="77" t="s">
        <v>1</v>
      </c>
      <c r="AA386" s="77" t="s">
        <v>1</v>
      </c>
      <c r="AB386" s="73" t="s">
        <v>2058</v>
      </c>
    </row>
    <row r="387" spans="2:33" x14ac:dyDescent="0.2">
      <c r="B387" s="73" t="s">
        <v>2457</v>
      </c>
      <c r="C387" s="74" t="s">
        <v>1691</v>
      </c>
      <c r="D387" s="75">
        <v>1700</v>
      </c>
      <c r="E387" s="73" t="s">
        <v>8</v>
      </c>
      <c r="F387" s="75">
        <v>100</v>
      </c>
      <c r="H387" s="78">
        <v>45027</v>
      </c>
      <c r="I387" s="73" t="s">
        <v>2456</v>
      </c>
      <c r="J387" s="73" t="s">
        <v>2455</v>
      </c>
      <c r="K387" s="73" t="s">
        <v>2048</v>
      </c>
      <c r="L387" s="73" t="s">
        <v>2454</v>
      </c>
      <c r="M387" s="73">
        <v>2008</v>
      </c>
      <c r="N387" s="73" t="s">
        <v>2453</v>
      </c>
      <c r="O387" s="73" t="s">
        <v>2452</v>
      </c>
      <c r="P387" s="77" t="s">
        <v>1</v>
      </c>
      <c r="Q387" s="77" t="s">
        <v>1</v>
      </c>
      <c r="R387" s="77" t="s">
        <v>1</v>
      </c>
      <c r="S387" s="77" t="s">
        <v>1</v>
      </c>
      <c r="T387" s="77" t="s">
        <v>1</v>
      </c>
      <c r="U387" s="77" t="s">
        <v>1</v>
      </c>
      <c r="V387" s="77" t="s">
        <v>1</v>
      </c>
      <c r="W387" s="77" t="s">
        <v>1</v>
      </c>
      <c r="X387" s="77" t="s">
        <v>1</v>
      </c>
      <c r="Y387" s="77" t="s">
        <v>1</v>
      </c>
      <c r="Z387" s="77" t="s">
        <v>1</v>
      </c>
      <c r="AA387" s="77" t="s">
        <v>1</v>
      </c>
      <c r="AB387" s="73" t="s">
        <v>2058</v>
      </c>
      <c r="AE387" s="25" t="s">
        <v>2451</v>
      </c>
      <c r="AF387" s="64"/>
      <c r="AG387" s="59"/>
    </row>
    <row r="388" spans="2:33" x14ac:dyDescent="0.2">
      <c r="B388" s="73" t="s">
        <v>2450</v>
      </c>
      <c r="C388" s="74" t="s">
        <v>1691</v>
      </c>
      <c r="D388" s="75">
        <v>1700</v>
      </c>
      <c r="E388" s="73" t="s">
        <v>8</v>
      </c>
      <c r="F388" s="75">
        <v>85</v>
      </c>
      <c r="H388" s="78">
        <v>42846</v>
      </c>
      <c r="J388" s="73" t="s">
        <v>2449</v>
      </c>
      <c r="K388" s="73" t="s">
        <v>2311</v>
      </c>
      <c r="L388" s="73" t="s">
        <v>2448</v>
      </c>
      <c r="M388" s="73">
        <v>2009</v>
      </c>
      <c r="O388" s="73" t="s">
        <v>1</v>
      </c>
      <c r="P388" s="73" t="s">
        <v>1</v>
      </c>
      <c r="Q388" s="73" t="s">
        <v>1</v>
      </c>
      <c r="R388" s="73" t="s">
        <v>1</v>
      </c>
      <c r="S388" s="73" t="s">
        <v>1</v>
      </c>
      <c r="T388" s="73" t="s">
        <v>1</v>
      </c>
      <c r="U388" s="73" t="s">
        <v>1</v>
      </c>
      <c r="V388" s="73" t="s">
        <v>1</v>
      </c>
      <c r="W388" s="73" t="s">
        <v>1</v>
      </c>
      <c r="X388" s="73" t="s">
        <v>1</v>
      </c>
      <c r="Y388" s="73" t="s">
        <v>1</v>
      </c>
      <c r="Z388" s="73" t="s">
        <v>1</v>
      </c>
      <c r="AA388" s="73" t="s">
        <v>1</v>
      </c>
      <c r="AB388" s="73" t="s">
        <v>2046</v>
      </c>
    </row>
    <row r="389" spans="2:33" x14ac:dyDescent="0.2">
      <c r="B389" s="73" t="s">
        <v>148</v>
      </c>
      <c r="C389" s="74" t="s">
        <v>1691</v>
      </c>
      <c r="D389" s="75">
        <v>1500</v>
      </c>
      <c r="E389" s="73" t="s">
        <v>9</v>
      </c>
      <c r="F389" s="75">
        <v>300</v>
      </c>
      <c r="H389" s="78">
        <v>44271</v>
      </c>
      <c r="J389" s="73" t="s">
        <v>2447</v>
      </c>
      <c r="K389" s="73" t="s">
        <v>2048</v>
      </c>
      <c r="L389" s="73" t="s">
        <v>2446</v>
      </c>
      <c r="M389" s="73">
        <v>2007</v>
      </c>
      <c r="N389" s="73" t="s">
        <v>2445</v>
      </c>
      <c r="O389" s="73" t="s">
        <v>2444</v>
      </c>
      <c r="P389" s="77" t="s">
        <v>8</v>
      </c>
      <c r="Q389" s="77">
        <v>38</v>
      </c>
      <c r="R389" s="77" t="s">
        <v>2443</v>
      </c>
      <c r="S389" s="77" t="s">
        <v>18</v>
      </c>
      <c r="T389" s="77" t="s">
        <v>1</v>
      </c>
      <c r="U389" s="77" t="s">
        <v>2442</v>
      </c>
      <c r="V389" s="77" t="s">
        <v>7</v>
      </c>
      <c r="W389" s="77">
        <v>10</v>
      </c>
      <c r="X389" s="77" t="s">
        <v>2441</v>
      </c>
      <c r="Y389" s="77" t="s">
        <v>5</v>
      </c>
      <c r="Z389" s="77" t="s">
        <v>2440</v>
      </c>
      <c r="AA389" s="77" t="s">
        <v>2439</v>
      </c>
      <c r="AB389" s="73" t="s">
        <v>2438</v>
      </c>
      <c r="AE389" s="25" t="s">
        <v>2437</v>
      </c>
      <c r="AF389" s="64"/>
      <c r="AG389" s="59"/>
    </row>
    <row r="390" spans="2:33" x14ac:dyDescent="0.2">
      <c r="B390" s="73" t="s">
        <v>2436</v>
      </c>
      <c r="C390" s="74" t="s">
        <v>1691</v>
      </c>
      <c r="D390" s="75">
        <v>1400</v>
      </c>
      <c r="E390" s="73" t="s">
        <v>8</v>
      </c>
      <c r="F390" s="75">
        <v>70</v>
      </c>
      <c r="H390" s="78">
        <v>44907</v>
      </c>
      <c r="I390" s="73" t="s">
        <v>2435</v>
      </c>
      <c r="J390" s="73" t="s">
        <v>2434</v>
      </c>
      <c r="K390" s="73" t="s">
        <v>2048</v>
      </c>
      <c r="L390" s="73" t="s">
        <v>2433</v>
      </c>
      <c r="M390" s="73">
        <v>2015</v>
      </c>
      <c r="N390" s="73" t="s">
        <v>2432</v>
      </c>
      <c r="O390" s="73" t="s">
        <v>1</v>
      </c>
      <c r="P390" s="73" t="s">
        <v>1</v>
      </c>
      <c r="Q390" s="73" t="s">
        <v>1</v>
      </c>
      <c r="R390" s="73" t="s">
        <v>1</v>
      </c>
      <c r="S390" s="73" t="s">
        <v>1</v>
      </c>
      <c r="T390" s="73" t="s">
        <v>1</v>
      </c>
      <c r="U390" s="73" t="s">
        <v>1</v>
      </c>
      <c r="V390" s="73" t="s">
        <v>1</v>
      </c>
      <c r="W390" s="73" t="s">
        <v>1</v>
      </c>
      <c r="X390" s="73" t="s">
        <v>1</v>
      </c>
      <c r="Y390" s="73" t="s">
        <v>1</v>
      </c>
      <c r="Z390" s="73" t="s">
        <v>1</v>
      </c>
      <c r="AA390" s="73" t="s">
        <v>1</v>
      </c>
      <c r="AB390" s="73" t="s">
        <v>2431</v>
      </c>
      <c r="AE390" s="25" t="s">
        <v>2430</v>
      </c>
      <c r="AF390" s="64"/>
      <c r="AG390" s="59"/>
    </row>
    <row r="391" spans="2:33" x14ac:dyDescent="0.2">
      <c r="B391" s="73" t="s">
        <v>2429</v>
      </c>
      <c r="C391" s="74" t="s">
        <v>1691</v>
      </c>
      <c r="D391" s="75">
        <v>1300</v>
      </c>
      <c r="E391" s="73" t="s">
        <v>8</v>
      </c>
      <c r="F391" s="75">
        <v>150</v>
      </c>
      <c r="H391" s="78">
        <v>44656</v>
      </c>
      <c r="J391" s="73" t="s">
        <v>2428</v>
      </c>
      <c r="K391" s="73" t="s">
        <v>2048</v>
      </c>
      <c r="L391" s="73" t="s">
        <v>2065</v>
      </c>
      <c r="M391" s="79">
        <v>42323</v>
      </c>
      <c r="O391" s="73" t="s">
        <v>2427</v>
      </c>
      <c r="P391" s="77" t="s">
        <v>1</v>
      </c>
      <c r="Q391" s="77" t="s">
        <v>1</v>
      </c>
      <c r="R391" s="77" t="s">
        <v>1</v>
      </c>
      <c r="S391" s="77" t="s">
        <v>1</v>
      </c>
      <c r="T391" s="77" t="s">
        <v>1</v>
      </c>
      <c r="U391" s="77" t="s">
        <v>1</v>
      </c>
      <c r="V391" s="77" t="s">
        <v>1</v>
      </c>
      <c r="W391" s="77" t="s">
        <v>1</v>
      </c>
      <c r="X391" s="77" t="s">
        <v>1</v>
      </c>
      <c r="Y391" s="77" t="s">
        <v>1</v>
      </c>
      <c r="Z391" s="77" t="s">
        <v>1</v>
      </c>
      <c r="AA391" s="77" t="s">
        <v>1</v>
      </c>
      <c r="AB391" s="73" t="s">
        <v>2365</v>
      </c>
    </row>
    <row r="392" spans="2:33" x14ac:dyDescent="0.2">
      <c r="B392" s="73" t="s">
        <v>2426</v>
      </c>
      <c r="C392" s="74" t="s">
        <v>1691</v>
      </c>
      <c r="D392" s="75">
        <v>1300</v>
      </c>
      <c r="E392" s="73" t="s">
        <v>8</v>
      </c>
      <c r="F392" s="75">
        <v>140</v>
      </c>
      <c r="H392" s="78">
        <v>44602</v>
      </c>
      <c r="K392" s="73" t="s">
        <v>2048</v>
      </c>
      <c r="L392" s="73" t="s">
        <v>2085</v>
      </c>
      <c r="M392" s="73">
        <v>2018</v>
      </c>
      <c r="N392" s="73" t="s">
        <v>2425</v>
      </c>
      <c r="AB392" s="73" t="s">
        <v>2155</v>
      </c>
      <c r="AE392" s="25" t="s">
        <v>2424</v>
      </c>
      <c r="AF392" s="64"/>
      <c r="AG392" s="59"/>
    </row>
    <row r="393" spans="2:33" x14ac:dyDescent="0.2">
      <c r="B393" s="73" t="s">
        <v>907</v>
      </c>
      <c r="C393" s="74" t="s">
        <v>1691</v>
      </c>
      <c r="D393" s="75">
        <v>1100</v>
      </c>
      <c r="E393" s="73" t="s">
        <v>7</v>
      </c>
      <c r="F393" s="75">
        <v>97.4</v>
      </c>
      <c r="H393" s="78">
        <v>45041</v>
      </c>
      <c r="I393" s="73" t="s">
        <v>2423</v>
      </c>
      <c r="J393" s="73" t="s">
        <v>2422</v>
      </c>
      <c r="K393" s="73" t="s">
        <v>2048</v>
      </c>
      <c r="L393" s="73" t="s">
        <v>2240</v>
      </c>
      <c r="M393" s="73">
        <v>2016</v>
      </c>
      <c r="O393" s="73" t="s">
        <v>2421</v>
      </c>
      <c r="P393" s="77" t="s">
        <v>2420</v>
      </c>
      <c r="Q393" s="77">
        <v>80</v>
      </c>
      <c r="R393" s="77" t="s">
        <v>2419</v>
      </c>
      <c r="S393" s="77" t="s">
        <v>5</v>
      </c>
      <c r="T393" s="77">
        <v>20</v>
      </c>
      <c r="U393" s="77" t="s">
        <v>2418</v>
      </c>
      <c r="V393" s="77" t="s">
        <v>4</v>
      </c>
      <c r="W393" s="77">
        <v>4.5</v>
      </c>
      <c r="X393" s="77" t="s">
        <v>2417</v>
      </c>
      <c r="Y393" s="77" t="s">
        <v>278</v>
      </c>
      <c r="Z393" s="77">
        <v>0.12</v>
      </c>
      <c r="AA393" s="77" t="s">
        <v>2416</v>
      </c>
      <c r="AB393" s="73" t="s">
        <v>2365</v>
      </c>
    </row>
    <row r="394" spans="2:33" x14ac:dyDescent="0.2">
      <c r="B394" s="73" t="s">
        <v>2415</v>
      </c>
      <c r="C394" s="74" t="s">
        <v>1691</v>
      </c>
      <c r="D394" s="75">
        <v>1000</v>
      </c>
      <c r="E394" s="73" t="s">
        <v>7</v>
      </c>
      <c r="F394" s="75">
        <v>500</v>
      </c>
      <c r="H394" s="78">
        <v>44971</v>
      </c>
      <c r="I394" s="73" t="s">
        <v>2414</v>
      </c>
      <c r="J394" s="73" t="s">
        <v>1</v>
      </c>
      <c r="K394" s="73" t="s">
        <v>2048</v>
      </c>
      <c r="L394" s="73" t="s">
        <v>2085</v>
      </c>
      <c r="M394" s="73">
        <v>2016</v>
      </c>
      <c r="N394" s="73" t="s">
        <v>2413</v>
      </c>
      <c r="O394" s="73" t="s">
        <v>2412</v>
      </c>
      <c r="AB394" s="73" t="s">
        <v>2155</v>
      </c>
    </row>
    <row r="395" spans="2:33" x14ac:dyDescent="0.2">
      <c r="B395" s="73" t="s">
        <v>2411</v>
      </c>
      <c r="C395" s="74" t="s">
        <v>1691</v>
      </c>
      <c r="D395" s="75">
        <v>1000</v>
      </c>
      <c r="E395" s="73" t="s">
        <v>9</v>
      </c>
      <c r="F395" s="75">
        <v>300</v>
      </c>
      <c r="H395" s="78">
        <v>43917</v>
      </c>
      <c r="I395" s="73" t="s">
        <v>2410</v>
      </c>
      <c r="J395" s="73" t="s">
        <v>2409</v>
      </c>
      <c r="K395" s="73" t="s">
        <v>2048</v>
      </c>
      <c r="L395" s="73" t="s">
        <v>2126</v>
      </c>
      <c r="M395" s="73">
        <v>2014</v>
      </c>
      <c r="N395" s="73" t="s">
        <v>2408</v>
      </c>
      <c r="AB395" s="73" t="s">
        <v>2373</v>
      </c>
      <c r="AE395" s="25" t="s">
        <v>2407</v>
      </c>
      <c r="AF395" s="64"/>
      <c r="AG395" s="59"/>
    </row>
    <row r="396" spans="2:33" x14ac:dyDescent="0.2">
      <c r="B396" s="73" t="s">
        <v>2406</v>
      </c>
      <c r="C396" s="74" t="s">
        <v>1691</v>
      </c>
      <c r="D396" s="75">
        <v>1000</v>
      </c>
      <c r="E396" s="73" t="s">
        <v>7</v>
      </c>
      <c r="F396" s="75">
        <v>283</v>
      </c>
      <c r="H396" s="78">
        <v>43689</v>
      </c>
      <c r="I396" s="73" t="s">
        <v>2405</v>
      </c>
      <c r="J396" s="73" t="s">
        <v>2404</v>
      </c>
      <c r="K396" s="73" t="s">
        <v>2048</v>
      </c>
      <c r="L396" s="73" t="s">
        <v>2403</v>
      </c>
      <c r="M396" s="73">
        <v>2015</v>
      </c>
      <c r="N396" s="73" t="s">
        <v>2402</v>
      </c>
      <c r="O396" s="73" t="s">
        <v>2401</v>
      </c>
      <c r="P396" s="77" t="s">
        <v>1</v>
      </c>
      <c r="Q396" s="77" t="s">
        <v>1</v>
      </c>
      <c r="R396" s="77" t="s">
        <v>1</v>
      </c>
      <c r="S396" s="77" t="s">
        <v>1</v>
      </c>
      <c r="T396" s="77" t="s">
        <v>1</v>
      </c>
      <c r="U396" s="77" t="s">
        <v>1</v>
      </c>
      <c r="V396" s="77" t="s">
        <v>1</v>
      </c>
      <c r="W396" s="77" t="s">
        <v>1</v>
      </c>
      <c r="X396" s="77" t="s">
        <v>1</v>
      </c>
      <c r="Y396" s="77" t="s">
        <v>1</v>
      </c>
      <c r="Z396" s="77" t="s">
        <v>1</v>
      </c>
      <c r="AA396" s="77" t="s">
        <v>1</v>
      </c>
      <c r="AB396" s="73" t="s">
        <v>2373</v>
      </c>
      <c r="AE396" s="25" t="s">
        <v>2400</v>
      </c>
      <c r="AF396" s="64"/>
      <c r="AG396" s="59"/>
    </row>
    <row r="397" spans="2:33" x14ac:dyDescent="0.2">
      <c r="B397" s="73" t="s">
        <v>2399</v>
      </c>
      <c r="C397" s="74" t="s">
        <v>1691</v>
      </c>
      <c r="D397" s="75">
        <v>1000</v>
      </c>
      <c r="E397" s="73" t="s">
        <v>7</v>
      </c>
      <c r="F397" s="75">
        <v>140</v>
      </c>
      <c r="H397" s="27">
        <v>43322</v>
      </c>
      <c r="I397" s="73" t="s">
        <v>2398</v>
      </c>
      <c r="J397" s="73" t="s">
        <v>2397</v>
      </c>
      <c r="K397" s="73" t="s">
        <v>2048</v>
      </c>
      <c r="L397" s="73" t="s">
        <v>2396</v>
      </c>
      <c r="M397" s="73">
        <v>2014</v>
      </c>
      <c r="N397" s="73" t="s">
        <v>2395</v>
      </c>
      <c r="O397" s="73" t="s">
        <v>2394</v>
      </c>
      <c r="P397" s="77" t="s">
        <v>1</v>
      </c>
      <c r="Q397" s="77" t="s">
        <v>1</v>
      </c>
      <c r="R397" s="77" t="s">
        <v>1</v>
      </c>
      <c r="S397" s="77" t="s">
        <v>1</v>
      </c>
      <c r="T397" s="77" t="s">
        <v>1</v>
      </c>
      <c r="U397" s="77" t="s">
        <v>1</v>
      </c>
      <c r="V397" s="77" t="s">
        <v>1</v>
      </c>
      <c r="W397" s="77" t="s">
        <v>1</v>
      </c>
      <c r="X397" s="77" t="s">
        <v>1</v>
      </c>
      <c r="Y397" s="77" t="s">
        <v>1</v>
      </c>
      <c r="Z397" s="77" t="s">
        <v>1</v>
      </c>
      <c r="AA397" s="77" t="s">
        <v>1</v>
      </c>
      <c r="AB397" s="73" t="s">
        <v>2373</v>
      </c>
    </row>
    <row r="398" spans="2:33" x14ac:dyDescent="0.2">
      <c r="B398" s="73" t="s">
        <v>29</v>
      </c>
      <c r="C398" s="74" t="s">
        <v>2141</v>
      </c>
      <c r="D398" s="75">
        <v>1000</v>
      </c>
      <c r="E398" s="73" t="s">
        <v>5</v>
      </c>
      <c r="F398" s="75">
        <v>228.57142857142858</v>
      </c>
      <c r="H398" s="78">
        <v>45078</v>
      </c>
      <c r="I398" s="73" t="s">
        <v>2393</v>
      </c>
      <c r="J398" s="73" t="s">
        <v>2389</v>
      </c>
      <c r="K398" s="73" t="s">
        <v>2048</v>
      </c>
      <c r="L398" s="73" t="s">
        <v>2392</v>
      </c>
      <c r="M398" s="73">
        <v>2023</v>
      </c>
      <c r="N398" s="73" t="s">
        <v>2391</v>
      </c>
      <c r="O398" s="73" t="s">
        <v>2390</v>
      </c>
      <c r="P398" s="77" t="s">
        <v>5</v>
      </c>
      <c r="Q398" s="77">
        <v>50</v>
      </c>
      <c r="R398" s="77" t="s">
        <v>2389</v>
      </c>
      <c r="S398" s="77" t="s">
        <v>1</v>
      </c>
      <c r="T398" s="77" t="s">
        <v>1</v>
      </c>
      <c r="U398" s="77" t="s">
        <v>1</v>
      </c>
      <c r="V398" s="77" t="s">
        <v>1</v>
      </c>
      <c r="W398" s="77" t="s">
        <v>1</v>
      </c>
      <c r="X398" s="77" t="s">
        <v>1</v>
      </c>
      <c r="Y398" s="77" t="s">
        <v>1</v>
      </c>
      <c r="Z398" s="77" t="s">
        <v>1</v>
      </c>
      <c r="AA398" s="77" t="s">
        <v>1</v>
      </c>
      <c r="AB398" s="73" t="s">
        <v>2373</v>
      </c>
    </row>
    <row r="399" spans="2:33" x14ac:dyDescent="0.2">
      <c r="B399" s="73" t="s">
        <v>2388</v>
      </c>
      <c r="C399" s="74" t="s">
        <v>2141</v>
      </c>
      <c r="D399" s="75">
        <v>1000</v>
      </c>
      <c r="N399" s="73" t="s">
        <v>2387</v>
      </c>
      <c r="AB399" s="73" t="s">
        <v>2051</v>
      </c>
      <c r="AE399" s="25" t="s">
        <v>2386</v>
      </c>
      <c r="AF399" s="64"/>
      <c r="AG399" s="59"/>
    </row>
    <row r="400" spans="2:33" x14ac:dyDescent="0.2">
      <c r="B400" s="73" t="s">
        <v>2385</v>
      </c>
      <c r="C400" s="74" t="s">
        <v>1691</v>
      </c>
      <c r="D400" s="75">
        <v>785</v>
      </c>
      <c r="E400" s="73" t="s">
        <v>7</v>
      </c>
      <c r="F400" s="75">
        <v>215</v>
      </c>
      <c r="H400" s="78">
        <v>44496</v>
      </c>
      <c r="I400" s="73" t="s">
        <v>2384</v>
      </c>
      <c r="J400" s="73" t="s">
        <v>2383</v>
      </c>
      <c r="K400" s="73" t="s">
        <v>2065</v>
      </c>
      <c r="L400" s="73" t="s">
        <v>2382</v>
      </c>
      <c r="M400" s="73">
        <v>2018</v>
      </c>
      <c r="N400" s="73" t="s">
        <v>2381</v>
      </c>
      <c r="O400" s="73" t="s">
        <v>2380</v>
      </c>
      <c r="AB400" s="73" t="s">
        <v>2058</v>
      </c>
      <c r="AE400" s="25" t="s">
        <v>2379</v>
      </c>
      <c r="AF400" s="64"/>
      <c r="AG400" s="59"/>
    </row>
    <row r="401" spans="2:33" x14ac:dyDescent="0.2">
      <c r="B401" s="73" t="s">
        <v>2378</v>
      </c>
      <c r="C401" s="74" t="s">
        <v>1691</v>
      </c>
      <c r="D401" s="75">
        <v>700</v>
      </c>
      <c r="E401" s="73" t="s">
        <v>18</v>
      </c>
      <c r="K401" s="73" t="s">
        <v>2048</v>
      </c>
      <c r="L401" s="73" t="s">
        <v>2352</v>
      </c>
      <c r="N401" s="73" t="s">
        <v>2377</v>
      </c>
      <c r="AE401" s="25"/>
      <c r="AF401" s="64"/>
      <c r="AG401" s="59"/>
    </row>
    <row r="402" spans="2:33" x14ac:dyDescent="0.2">
      <c r="B402" s="73" t="s">
        <v>2376</v>
      </c>
      <c r="C402" s="74" t="s">
        <v>1691</v>
      </c>
      <c r="D402" s="75">
        <v>700</v>
      </c>
      <c r="E402" s="73" t="s">
        <v>7</v>
      </c>
      <c r="F402" s="75">
        <f>1500/7</f>
        <v>214.28571428571428</v>
      </c>
      <c r="H402" s="78">
        <v>44922</v>
      </c>
      <c r="I402" s="73" t="s">
        <v>2375</v>
      </c>
      <c r="J402" s="73" t="s">
        <v>2374</v>
      </c>
      <c r="K402" s="73" t="s">
        <v>2048</v>
      </c>
      <c r="L402" s="73" t="s">
        <v>2082</v>
      </c>
      <c r="M402" s="73">
        <v>2020</v>
      </c>
      <c r="O402" s="73" t="s">
        <v>1</v>
      </c>
      <c r="P402" s="73" t="s">
        <v>1</v>
      </c>
      <c r="Q402" s="73" t="s">
        <v>1</v>
      </c>
      <c r="R402" s="73" t="s">
        <v>1</v>
      </c>
      <c r="S402" s="73" t="s">
        <v>1</v>
      </c>
      <c r="T402" s="73" t="s">
        <v>1</v>
      </c>
      <c r="U402" s="73" t="s">
        <v>1</v>
      </c>
      <c r="V402" s="73" t="s">
        <v>1</v>
      </c>
      <c r="W402" s="73" t="s">
        <v>1</v>
      </c>
      <c r="X402" s="73" t="s">
        <v>1</v>
      </c>
      <c r="Y402" s="73" t="s">
        <v>1</v>
      </c>
      <c r="Z402" s="73" t="s">
        <v>1</v>
      </c>
      <c r="AA402" s="73" t="s">
        <v>1</v>
      </c>
      <c r="AB402" s="73" t="s">
        <v>2373</v>
      </c>
      <c r="AE402" s="25" t="s">
        <v>2372</v>
      </c>
      <c r="AF402" s="64"/>
      <c r="AG402" s="59"/>
    </row>
    <row r="403" spans="2:33" x14ac:dyDescent="0.2">
      <c r="B403" s="73" t="s">
        <v>2371</v>
      </c>
      <c r="C403" s="74" t="s">
        <v>1691</v>
      </c>
      <c r="D403" s="75">
        <v>400</v>
      </c>
      <c r="E403" s="73" t="s">
        <v>7</v>
      </c>
      <c r="F403" s="75">
        <v>44</v>
      </c>
      <c r="H403" s="78">
        <v>45006</v>
      </c>
      <c r="I403" s="73" t="s">
        <v>2370</v>
      </c>
      <c r="J403" s="73" t="s">
        <v>2369</v>
      </c>
      <c r="K403" s="73" t="s">
        <v>2048</v>
      </c>
      <c r="L403" s="73" t="s">
        <v>2103</v>
      </c>
      <c r="M403" s="73">
        <v>2012</v>
      </c>
      <c r="O403" s="73" t="s">
        <v>2368</v>
      </c>
      <c r="P403" s="77" t="s">
        <v>1</v>
      </c>
      <c r="Q403" s="77">
        <v>39.700000000000003</v>
      </c>
      <c r="R403" s="77" t="s">
        <v>1</v>
      </c>
      <c r="S403" s="77" t="s">
        <v>5</v>
      </c>
      <c r="T403" s="77">
        <v>15</v>
      </c>
      <c r="U403" s="77" t="s">
        <v>2367</v>
      </c>
      <c r="V403" s="77" t="s">
        <v>4</v>
      </c>
      <c r="W403" s="77">
        <v>4</v>
      </c>
      <c r="X403" s="77" t="s">
        <v>2366</v>
      </c>
      <c r="Y403" s="77" t="s">
        <v>278</v>
      </c>
      <c r="Z403" s="77" t="s">
        <v>1</v>
      </c>
      <c r="AA403" s="77" t="s">
        <v>1</v>
      </c>
      <c r="AB403" s="73" t="s">
        <v>2365</v>
      </c>
    </row>
    <row r="404" spans="2:33" x14ac:dyDescent="0.2">
      <c r="B404" s="73" t="s">
        <v>2364</v>
      </c>
      <c r="C404" s="74" t="s">
        <v>1691</v>
      </c>
      <c r="D404" s="75">
        <v>500</v>
      </c>
      <c r="E404" s="73" t="s">
        <v>7</v>
      </c>
      <c r="F404" s="75">
        <v>159</v>
      </c>
      <c r="H404" s="78">
        <v>45092</v>
      </c>
      <c r="I404" s="73" t="s">
        <v>2363</v>
      </c>
      <c r="J404" s="73" t="s">
        <v>1</v>
      </c>
      <c r="K404" s="73" t="s">
        <v>2206</v>
      </c>
      <c r="L404" s="73" t="s">
        <v>2206</v>
      </c>
      <c r="M404" s="73">
        <v>2015</v>
      </c>
      <c r="O404" s="73" t="s">
        <v>2362</v>
      </c>
      <c r="P404" s="77" t="s">
        <v>7</v>
      </c>
      <c r="Q404" s="77">
        <v>159</v>
      </c>
      <c r="R404" s="77" t="s">
        <v>2361</v>
      </c>
      <c r="S404" s="77" t="s">
        <v>5</v>
      </c>
      <c r="T404" s="77">
        <v>12</v>
      </c>
      <c r="U404" s="77" t="s">
        <v>2360</v>
      </c>
      <c r="V404" s="77" t="s">
        <v>1</v>
      </c>
      <c r="W404" s="77" t="s">
        <v>1</v>
      </c>
      <c r="X404" s="77" t="s">
        <v>1</v>
      </c>
      <c r="Y404" s="77" t="s">
        <v>1</v>
      </c>
      <c r="Z404" s="77" t="s">
        <v>1</v>
      </c>
      <c r="AA404" s="77" t="s">
        <v>1</v>
      </c>
      <c r="AB404" s="73" t="s">
        <v>2155</v>
      </c>
    </row>
    <row r="405" spans="2:33" x14ac:dyDescent="0.2">
      <c r="B405" s="73" t="s">
        <v>622</v>
      </c>
      <c r="C405" s="74" t="s">
        <v>1691</v>
      </c>
      <c r="D405" s="75">
        <v>500</v>
      </c>
      <c r="E405" s="73" t="s">
        <v>18</v>
      </c>
      <c r="F405" s="75">
        <v>169</v>
      </c>
      <c r="H405" s="78">
        <v>44727</v>
      </c>
      <c r="I405" s="73" t="s">
        <v>2358</v>
      </c>
      <c r="J405" s="73" t="s">
        <v>2359</v>
      </c>
      <c r="K405" s="73" t="s">
        <v>2358</v>
      </c>
      <c r="L405" s="73" t="s">
        <v>2358</v>
      </c>
      <c r="M405" s="73">
        <v>2010</v>
      </c>
      <c r="O405" s="73" t="s">
        <v>623</v>
      </c>
      <c r="P405" s="77" t="s">
        <v>7</v>
      </c>
      <c r="Q405" s="77">
        <v>14</v>
      </c>
      <c r="R405" s="77" t="s">
        <v>2357</v>
      </c>
      <c r="S405" s="77" t="s">
        <v>5</v>
      </c>
      <c r="T405" s="77">
        <v>6</v>
      </c>
      <c r="U405" s="77" t="s">
        <v>2356</v>
      </c>
      <c r="V405" s="77" t="s">
        <v>1</v>
      </c>
      <c r="W405" s="77" t="s">
        <v>1</v>
      </c>
      <c r="X405" s="77" t="s">
        <v>1</v>
      </c>
      <c r="Y405" s="77" t="s">
        <v>1</v>
      </c>
      <c r="Z405" s="77" t="s">
        <v>1</v>
      </c>
      <c r="AA405" s="77" t="s">
        <v>1</v>
      </c>
      <c r="AB405" s="73" t="s">
        <v>2355</v>
      </c>
    </row>
    <row r="406" spans="2:33" x14ac:dyDescent="0.2">
      <c r="B406" s="73" t="s">
        <v>901</v>
      </c>
      <c r="C406" s="74" t="s">
        <v>1691</v>
      </c>
      <c r="D406" s="75">
        <v>400</v>
      </c>
      <c r="E406" s="73" t="s">
        <v>5</v>
      </c>
      <c r="F406" s="75">
        <v>70</v>
      </c>
      <c r="H406" s="78">
        <v>45035</v>
      </c>
      <c r="I406" s="73" t="s">
        <v>2354</v>
      </c>
      <c r="J406" s="73" t="s">
        <v>2353</v>
      </c>
      <c r="K406" s="73" t="s">
        <v>2048</v>
      </c>
      <c r="L406" s="73" t="s">
        <v>2352</v>
      </c>
      <c r="M406" s="73">
        <v>2022</v>
      </c>
      <c r="O406" s="73" t="s">
        <v>2351</v>
      </c>
      <c r="P406" s="77" t="s">
        <v>1</v>
      </c>
      <c r="Q406" s="77" t="s">
        <v>1</v>
      </c>
      <c r="R406" s="77" t="s">
        <v>1</v>
      </c>
      <c r="S406" s="77" t="s">
        <v>1</v>
      </c>
      <c r="T406" s="77" t="s">
        <v>1</v>
      </c>
      <c r="U406" s="77" t="s">
        <v>1</v>
      </c>
      <c r="V406" s="77" t="s">
        <v>1</v>
      </c>
      <c r="W406" s="77" t="s">
        <v>1</v>
      </c>
      <c r="X406" s="77" t="s">
        <v>1</v>
      </c>
      <c r="Y406" s="77" t="s">
        <v>1</v>
      </c>
      <c r="Z406" s="77" t="s">
        <v>1</v>
      </c>
      <c r="AA406" s="77" t="s">
        <v>1</v>
      </c>
      <c r="AB406" s="73" t="s">
        <v>2194</v>
      </c>
    </row>
    <row r="407" spans="2:33" x14ac:dyDescent="0.2">
      <c r="B407" s="73" t="s">
        <v>2350</v>
      </c>
      <c r="C407" s="74" t="s">
        <v>1691</v>
      </c>
      <c r="D407" s="75">
        <v>300</v>
      </c>
      <c r="E407" s="73" t="s">
        <v>18</v>
      </c>
      <c r="F407" s="75">
        <v>40</v>
      </c>
      <c r="H407" s="78">
        <v>44909</v>
      </c>
      <c r="I407" s="73" t="s">
        <v>2349</v>
      </c>
      <c r="J407" s="73" t="s">
        <v>2348</v>
      </c>
      <c r="K407" s="73" t="s">
        <v>2048</v>
      </c>
      <c r="L407" s="73" t="s">
        <v>2347</v>
      </c>
      <c r="M407" s="73">
        <v>2013</v>
      </c>
      <c r="N407" s="73" t="s">
        <v>2346</v>
      </c>
      <c r="O407" s="73" t="s">
        <v>2345</v>
      </c>
      <c r="P407" s="77" t="s">
        <v>18</v>
      </c>
      <c r="Q407" s="77">
        <v>40</v>
      </c>
      <c r="R407" s="77" t="s">
        <v>2344</v>
      </c>
      <c r="S407" s="77" t="s">
        <v>7</v>
      </c>
      <c r="T407" s="77" t="s">
        <v>1</v>
      </c>
      <c r="U407" s="77" t="s">
        <v>2343</v>
      </c>
      <c r="V407" s="77" t="s">
        <v>5</v>
      </c>
      <c r="W407" s="77">
        <v>15</v>
      </c>
      <c r="X407" s="77" t="s">
        <v>2342</v>
      </c>
      <c r="Y407" s="77" t="s">
        <v>1</v>
      </c>
      <c r="Z407" s="77" t="s">
        <v>1</v>
      </c>
      <c r="AA407" s="77" t="s">
        <v>1</v>
      </c>
      <c r="AB407" s="73" t="s">
        <v>2046</v>
      </c>
    </row>
    <row r="408" spans="2:33" x14ac:dyDescent="0.2">
      <c r="B408" s="73" t="s">
        <v>2341</v>
      </c>
      <c r="C408" s="74" t="s">
        <v>1691</v>
      </c>
      <c r="D408" s="75" t="s">
        <v>1</v>
      </c>
      <c r="E408" s="73" t="s">
        <v>4</v>
      </c>
      <c r="F408" s="75" t="s">
        <v>1</v>
      </c>
      <c r="H408" s="78">
        <v>44750</v>
      </c>
      <c r="I408" s="73" t="s">
        <v>2340</v>
      </c>
      <c r="J408" s="73" t="s">
        <v>2339</v>
      </c>
      <c r="K408" s="73" t="s">
        <v>968</v>
      </c>
      <c r="L408" s="73" t="s">
        <v>2338</v>
      </c>
      <c r="M408" s="73">
        <v>2020</v>
      </c>
      <c r="O408" s="73" t="s">
        <v>125</v>
      </c>
      <c r="P408" s="77" t="s">
        <v>278</v>
      </c>
      <c r="Q408" s="77">
        <v>2</v>
      </c>
      <c r="R408" s="77" t="s">
        <v>2337</v>
      </c>
      <c r="S408" s="77" t="s">
        <v>1</v>
      </c>
      <c r="T408" s="77" t="s">
        <v>1</v>
      </c>
      <c r="U408" s="77" t="s">
        <v>1</v>
      </c>
      <c r="V408" s="77" t="s">
        <v>1</v>
      </c>
      <c r="W408" s="77" t="s">
        <v>1</v>
      </c>
      <c r="X408" s="77" t="s">
        <v>1</v>
      </c>
      <c r="Y408" s="77" t="s">
        <v>1</v>
      </c>
      <c r="Z408" s="77" t="s">
        <v>1</v>
      </c>
      <c r="AA408" s="77" t="s">
        <v>1</v>
      </c>
      <c r="AB408" s="73" t="s">
        <v>2166</v>
      </c>
    </row>
    <row r="409" spans="2:33" x14ac:dyDescent="0.2">
      <c r="B409" s="73" t="s">
        <v>2336</v>
      </c>
      <c r="C409" s="74" t="s">
        <v>2141</v>
      </c>
      <c r="D409" s="75">
        <v>230</v>
      </c>
      <c r="E409" s="73" t="s">
        <v>5</v>
      </c>
      <c r="F409" s="75">
        <v>150</v>
      </c>
      <c r="H409" s="78">
        <v>44165</v>
      </c>
      <c r="J409" s="73" t="s">
        <v>1</v>
      </c>
      <c r="K409" s="73" t="s">
        <v>2048</v>
      </c>
      <c r="L409" s="73" t="s">
        <v>2335</v>
      </c>
      <c r="M409" s="73">
        <v>2016</v>
      </c>
      <c r="O409" s="73" t="s">
        <v>2334</v>
      </c>
      <c r="P409" s="77" t="s">
        <v>1</v>
      </c>
      <c r="Q409" s="77" t="s">
        <v>1</v>
      </c>
      <c r="R409" s="77" t="s">
        <v>1</v>
      </c>
      <c r="S409" s="77" t="s">
        <v>1</v>
      </c>
      <c r="T409" s="77" t="s">
        <v>1</v>
      </c>
      <c r="U409" s="77" t="s">
        <v>1</v>
      </c>
      <c r="V409" s="77" t="s">
        <v>1</v>
      </c>
      <c r="W409" s="77" t="s">
        <v>1</v>
      </c>
      <c r="X409" s="77" t="s">
        <v>1</v>
      </c>
      <c r="Y409" s="77" t="s">
        <v>1</v>
      </c>
      <c r="Z409" s="77" t="s">
        <v>1</v>
      </c>
      <c r="AA409" s="77" t="s">
        <v>1</v>
      </c>
      <c r="AB409" s="73" t="s">
        <v>2333</v>
      </c>
    </row>
    <row r="410" spans="2:33" x14ac:dyDescent="0.2">
      <c r="B410" s="73" t="s">
        <v>2066</v>
      </c>
      <c r="C410" s="74" t="s">
        <v>1691</v>
      </c>
      <c r="D410" s="75">
        <v>200</v>
      </c>
      <c r="E410" s="73" t="s">
        <v>7</v>
      </c>
      <c r="F410" s="75">
        <v>56</v>
      </c>
      <c r="H410" s="78">
        <v>43754</v>
      </c>
      <c r="I410" s="135" t="s">
        <v>2064</v>
      </c>
      <c r="K410" s="73" t="s">
        <v>2065</v>
      </c>
      <c r="L410" s="73" t="s">
        <v>2064</v>
      </c>
      <c r="M410" s="73">
        <v>2014</v>
      </c>
      <c r="N410" s="135" t="s">
        <v>6223</v>
      </c>
      <c r="O410" s="135" t="s">
        <v>6225</v>
      </c>
      <c r="P410" s="140" t="s">
        <v>1</v>
      </c>
      <c r="Q410" s="140" t="s">
        <v>1</v>
      </c>
      <c r="R410" s="140" t="s">
        <v>1</v>
      </c>
      <c r="S410" s="140" t="s">
        <v>1</v>
      </c>
      <c r="T410" s="140" t="s">
        <v>1</v>
      </c>
      <c r="U410" s="140" t="s">
        <v>1</v>
      </c>
      <c r="V410" s="140" t="s">
        <v>1</v>
      </c>
      <c r="W410" s="140" t="s">
        <v>1</v>
      </c>
      <c r="X410" s="140" t="s">
        <v>1</v>
      </c>
      <c r="Y410" s="140" t="s">
        <v>1</v>
      </c>
      <c r="Z410" s="140" t="s">
        <v>1</v>
      </c>
      <c r="AA410" s="140" t="s">
        <v>1</v>
      </c>
      <c r="AB410" s="73" t="s">
        <v>2062</v>
      </c>
      <c r="AE410" s="25" t="s">
        <v>2061</v>
      </c>
      <c r="AF410" s="64"/>
      <c r="AG410" s="59"/>
    </row>
    <row r="411" spans="2:33" x14ac:dyDescent="0.2">
      <c r="B411" s="250" t="s">
        <v>7561</v>
      </c>
      <c r="C411" s="249" t="s">
        <v>1691</v>
      </c>
      <c r="D411" s="73">
        <v>200</v>
      </c>
      <c r="E411" s="250" t="s">
        <v>5</v>
      </c>
      <c r="F411" s="73">
        <v>45</v>
      </c>
      <c r="G411" s="73">
        <f>F411+Q411</f>
        <v>53</v>
      </c>
      <c r="H411" s="79">
        <v>45000</v>
      </c>
      <c r="I411" s="250" t="s">
        <v>7568</v>
      </c>
      <c r="J411" s="250" t="s">
        <v>7563</v>
      </c>
      <c r="K411" s="250" t="s">
        <v>2048</v>
      </c>
      <c r="L411" s="250" t="s">
        <v>2065</v>
      </c>
      <c r="M411" s="73">
        <v>2020</v>
      </c>
      <c r="O411" s="250" t="s">
        <v>7566</v>
      </c>
      <c r="P411" s="250" t="s">
        <v>5</v>
      </c>
      <c r="Q411" s="73">
        <v>8</v>
      </c>
      <c r="R411" s="250" t="s">
        <v>7567</v>
      </c>
      <c r="S411" s="250" t="s">
        <v>1</v>
      </c>
      <c r="T411" s="250" t="s">
        <v>1</v>
      </c>
      <c r="U411" s="250" t="s">
        <v>1</v>
      </c>
      <c r="V411" s="250" t="s">
        <v>1</v>
      </c>
      <c r="W411" s="250" t="s">
        <v>1</v>
      </c>
      <c r="X411" s="250" t="s">
        <v>1</v>
      </c>
      <c r="Y411" s="250" t="s">
        <v>1</v>
      </c>
      <c r="Z411" s="250" t="s">
        <v>1</v>
      </c>
      <c r="AA411" s="250" t="s">
        <v>1</v>
      </c>
      <c r="AB411" s="250" t="s">
        <v>6627</v>
      </c>
      <c r="AC411" s="250" t="s">
        <v>7564</v>
      </c>
      <c r="AD411" s="250" t="s">
        <v>7565</v>
      </c>
      <c r="AE411" s="25" t="s">
        <v>7562</v>
      </c>
      <c r="AF411" s="73"/>
      <c r="AG411" s="73"/>
    </row>
    <row r="412" spans="2:33" x14ac:dyDescent="0.2">
      <c r="B412" s="73" t="s">
        <v>2332</v>
      </c>
      <c r="C412" s="74" t="s">
        <v>2141</v>
      </c>
      <c r="D412" s="75">
        <v>200</v>
      </c>
      <c r="E412" s="73" t="s">
        <v>8</v>
      </c>
      <c r="F412" s="75">
        <v>30</v>
      </c>
      <c r="H412" s="78">
        <v>43178</v>
      </c>
      <c r="I412" s="73" t="s">
        <v>2331</v>
      </c>
      <c r="J412" s="73" t="s">
        <v>2330</v>
      </c>
      <c r="K412" s="73" t="s">
        <v>2048</v>
      </c>
      <c r="L412" s="73" t="s">
        <v>2085</v>
      </c>
      <c r="M412" s="73">
        <v>2000</v>
      </c>
      <c r="N412" s="73" t="s">
        <v>2329</v>
      </c>
      <c r="O412" s="73" t="s">
        <v>2328</v>
      </c>
      <c r="P412" s="77" t="s">
        <v>8</v>
      </c>
      <c r="Q412" s="77">
        <v>40</v>
      </c>
      <c r="R412" s="77" t="s">
        <v>2327</v>
      </c>
      <c r="S412" s="77" t="s">
        <v>1</v>
      </c>
      <c r="T412" s="77" t="s">
        <v>1</v>
      </c>
      <c r="U412" s="77" t="s">
        <v>1</v>
      </c>
      <c r="V412" s="77" t="s">
        <v>1</v>
      </c>
      <c r="W412" s="77" t="s">
        <v>1</v>
      </c>
      <c r="X412" s="77" t="s">
        <v>1</v>
      </c>
      <c r="Y412" s="77" t="s">
        <v>1</v>
      </c>
      <c r="Z412" s="77" t="s">
        <v>1</v>
      </c>
      <c r="AA412" s="77" t="s">
        <v>1</v>
      </c>
      <c r="AB412" s="73" t="s">
        <v>2326</v>
      </c>
    </row>
    <row r="413" spans="2:33" x14ac:dyDescent="0.2">
      <c r="B413" s="73" t="s">
        <v>2325</v>
      </c>
      <c r="C413" s="74" t="s">
        <v>1691</v>
      </c>
      <c r="D413" s="75">
        <v>150</v>
      </c>
      <c r="E413" s="73" t="s">
        <v>18</v>
      </c>
      <c r="F413" s="75">
        <v>30</v>
      </c>
      <c r="H413" s="78">
        <v>44251</v>
      </c>
      <c r="I413" s="73" t="s">
        <v>2324</v>
      </c>
      <c r="J413" s="73" t="s">
        <v>2323</v>
      </c>
      <c r="K413" s="73" t="s">
        <v>2048</v>
      </c>
      <c r="L413" s="73" t="s">
        <v>2322</v>
      </c>
      <c r="M413" s="73">
        <v>2014</v>
      </c>
      <c r="O413" s="73" t="s">
        <v>2321</v>
      </c>
      <c r="P413" s="77" t="s">
        <v>1</v>
      </c>
      <c r="Q413" s="77" t="s">
        <v>1</v>
      </c>
      <c r="R413" s="77" t="s">
        <v>1</v>
      </c>
      <c r="S413" s="77" t="s">
        <v>1</v>
      </c>
      <c r="T413" s="77" t="s">
        <v>1</v>
      </c>
      <c r="U413" s="77" t="s">
        <v>1</v>
      </c>
      <c r="V413" s="77" t="s">
        <v>1</v>
      </c>
      <c r="W413" s="77" t="s">
        <v>1</v>
      </c>
      <c r="X413" s="77" t="s">
        <v>1</v>
      </c>
      <c r="Y413" s="77" t="s">
        <v>1</v>
      </c>
      <c r="Z413" s="77" t="s">
        <v>1</v>
      </c>
      <c r="AA413" s="77" t="s">
        <v>1</v>
      </c>
      <c r="AB413" s="73" t="s">
        <v>2051</v>
      </c>
    </row>
    <row r="414" spans="2:33" x14ac:dyDescent="0.2">
      <c r="B414" s="73" t="s">
        <v>2110</v>
      </c>
      <c r="C414" s="74" t="s">
        <v>1691</v>
      </c>
      <c r="D414" s="75">
        <v>100</v>
      </c>
      <c r="E414" s="73" t="s">
        <v>4</v>
      </c>
      <c r="F414" s="75">
        <v>2</v>
      </c>
      <c r="H414" s="78">
        <v>45015</v>
      </c>
      <c r="I414" s="73" t="s">
        <v>2370</v>
      </c>
      <c r="J414" s="73" t="s">
        <v>1</v>
      </c>
      <c r="K414" s="73" t="s">
        <v>2048</v>
      </c>
      <c r="L414" s="73" t="s">
        <v>2082</v>
      </c>
      <c r="M414" s="73">
        <v>2022</v>
      </c>
      <c r="N414" s="73" t="s">
        <v>2109</v>
      </c>
      <c r="O414" s="73" t="s">
        <v>1</v>
      </c>
      <c r="P414" s="73" t="s">
        <v>1</v>
      </c>
      <c r="Q414" s="73" t="s">
        <v>1</v>
      </c>
      <c r="R414" s="73" t="s">
        <v>1</v>
      </c>
      <c r="S414" s="73" t="s">
        <v>1</v>
      </c>
      <c r="T414" s="73" t="s">
        <v>1</v>
      </c>
      <c r="U414" s="73" t="s">
        <v>1</v>
      </c>
      <c r="V414" s="73" t="s">
        <v>1</v>
      </c>
      <c r="W414" s="73" t="s">
        <v>1</v>
      </c>
      <c r="X414" s="73" t="s">
        <v>1</v>
      </c>
      <c r="Y414" s="73" t="s">
        <v>1</v>
      </c>
      <c r="Z414" s="73" t="s">
        <v>1</v>
      </c>
      <c r="AA414" s="73" t="s">
        <v>1</v>
      </c>
      <c r="AB414" s="73" t="s">
        <v>2108</v>
      </c>
      <c r="AE414" s="25" t="s">
        <v>2107</v>
      </c>
      <c r="AF414" s="64"/>
      <c r="AG414" s="59"/>
    </row>
    <row r="415" spans="2:33" s="184" customFormat="1" x14ac:dyDescent="0.2">
      <c r="B415" s="184" t="s">
        <v>2025</v>
      </c>
      <c r="C415" s="193" t="s">
        <v>1691</v>
      </c>
      <c r="D415" s="186">
        <v>100</v>
      </c>
      <c r="E415" s="184" t="s">
        <v>5</v>
      </c>
      <c r="F415" s="186">
        <v>15</v>
      </c>
      <c r="G415" s="186">
        <f>F415+Q415</f>
        <v>19</v>
      </c>
      <c r="H415" s="194">
        <v>44872</v>
      </c>
      <c r="I415" s="184" t="s">
        <v>6759</v>
      </c>
      <c r="J415" s="184" t="s">
        <v>6758</v>
      </c>
      <c r="K415" s="184" t="s">
        <v>2048</v>
      </c>
      <c r="L415" s="184" t="s">
        <v>6757</v>
      </c>
      <c r="M415" s="184">
        <v>2019</v>
      </c>
      <c r="N415" s="184" t="s">
        <v>6407</v>
      </c>
      <c r="O415" s="184" t="s">
        <v>6761</v>
      </c>
      <c r="P415" s="187" t="s">
        <v>4</v>
      </c>
      <c r="Q415" s="187">
        <v>4</v>
      </c>
      <c r="R415" s="201">
        <v>44673</v>
      </c>
      <c r="S415" s="187" t="s">
        <v>4</v>
      </c>
      <c r="T415" s="187" t="s">
        <v>1</v>
      </c>
      <c r="U415" s="187" t="s">
        <v>6762</v>
      </c>
      <c r="V415" s="187" t="s">
        <v>1</v>
      </c>
      <c r="W415" s="187" t="s">
        <v>1</v>
      </c>
      <c r="X415" s="187" t="s">
        <v>1</v>
      </c>
      <c r="Y415" s="187" t="s">
        <v>1</v>
      </c>
      <c r="Z415" s="187" t="s">
        <v>1</v>
      </c>
      <c r="AA415" s="187" t="s">
        <v>1</v>
      </c>
      <c r="AB415" s="184" t="s">
        <v>6627</v>
      </c>
      <c r="AC415" s="184" t="s">
        <v>6630</v>
      </c>
      <c r="AD415" s="184" t="s">
        <v>2365</v>
      </c>
      <c r="AE415" s="25" t="s">
        <v>6760</v>
      </c>
      <c r="AF415" s="63"/>
      <c r="AG415" s="58"/>
    </row>
    <row r="416" spans="2:33" x14ac:dyDescent="0.2">
      <c r="B416" s="73" t="s">
        <v>2320</v>
      </c>
      <c r="C416" s="74" t="s">
        <v>1691</v>
      </c>
      <c r="D416" s="75" t="s">
        <v>1</v>
      </c>
      <c r="E416" s="73" t="s">
        <v>278</v>
      </c>
      <c r="F416" s="75" t="s">
        <v>1</v>
      </c>
      <c r="H416" s="75" t="s">
        <v>1</v>
      </c>
      <c r="J416" s="73" t="s">
        <v>2319</v>
      </c>
      <c r="K416" s="73" t="s">
        <v>2318</v>
      </c>
      <c r="L416" s="73" t="s">
        <v>2065</v>
      </c>
      <c r="M416" s="73">
        <v>2022</v>
      </c>
      <c r="O416" s="81" t="s">
        <v>1</v>
      </c>
      <c r="P416" s="81" t="s">
        <v>1</v>
      </c>
      <c r="Q416" s="81" t="s">
        <v>1</v>
      </c>
      <c r="R416" s="81" t="s">
        <v>1</v>
      </c>
      <c r="S416" s="81" t="s">
        <v>1</v>
      </c>
      <c r="T416" s="81" t="s">
        <v>1</v>
      </c>
      <c r="U416" s="81" t="s">
        <v>1</v>
      </c>
      <c r="V416" s="81" t="s">
        <v>1</v>
      </c>
      <c r="W416" s="81" t="s">
        <v>1</v>
      </c>
      <c r="X416" s="81" t="s">
        <v>1</v>
      </c>
      <c r="Y416" s="81" t="s">
        <v>1</v>
      </c>
      <c r="Z416" s="81" t="s">
        <v>1</v>
      </c>
      <c r="AA416" s="81" t="s">
        <v>1</v>
      </c>
      <c r="AB416" s="73" t="s">
        <v>2317</v>
      </c>
    </row>
    <row r="417" spans="2:33" x14ac:dyDescent="0.2">
      <c r="B417" s="73" t="s">
        <v>2316</v>
      </c>
      <c r="C417" s="74" t="s">
        <v>2141</v>
      </c>
      <c r="D417" s="75" t="s">
        <v>1</v>
      </c>
      <c r="E417" s="81" t="s">
        <v>1</v>
      </c>
      <c r="F417" s="75">
        <v>150</v>
      </c>
      <c r="H417" s="76">
        <v>2016</v>
      </c>
      <c r="I417" s="73" t="s">
        <v>2315</v>
      </c>
      <c r="J417" s="73" t="s">
        <v>1</v>
      </c>
      <c r="K417" s="73" t="s">
        <v>2048</v>
      </c>
      <c r="L417" s="73" t="s">
        <v>2314</v>
      </c>
      <c r="M417" s="73">
        <v>2016</v>
      </c>
      <c r="O417" s="73" t="s">
        <v>1</v>
      </c>
      <c r="P417" s="77" t="s">
        <v>1</v>
      </c>
      <c r="Q417" s="77" t="s">
        <v>1</v>
      </c>
      <c r="R417" s="77" t="s">
        <v>1</v>
      </c>
      <c r="S417" s="77" t="s">
        <v>1</v>
      </c>
      <c r="T417" s="77" t="s">
        <v>1</v>
      </c>
      <c r="U417" s="77" t="s">
        <v>1</v>
      </c>
      <c r="V417" s="77" t="s">
        <v>1</v>
      </c>
      <c r="W417" s="77" t="s">
        <v>1</v>
      </c>
      <c r="X417" s="77" t="s">
        <v>1</v>
      </c>
      <c r="Y417" s="77" t="s">
        <v>1</v>
      </c>
      <c r="Z417" s="77" t="s">
        <v>1</v>
      </c>
      <c r="AA417" s="77" t="s">
        <v>1</v>
      </c>
      <c r="AB417" s="73" t="s">
        <v>2155</v>
      </c>
      <c r="AF417" s="73"/>
      <c r="AG417" s="73"/>
    </row>
    <row r="418" spans="2:33" x14ac:dyDescent="0.2">
      <c r="B418" s="73" t="s">
        <v>2313</v>
      </c>
      <c r="C418" s="74" t="s">
        <v>1691</v>
      </c>
      <c r="D418" s="75" t="s">
        <v>1</v>
      </c>
      <c r="E418" s="73" t="s">
        <v>278</v>
      </c>
      <c r="F418" s="75" t="s">
        <v>1</v>
      </c>
      <c r="H418" s="76" t="s">
        <v>1</v>
      </c>
      <c r="I418" s="73" t="s">
        <v>2312</v>
      </c>
      <c r="J418" s="73" t="s">
        <v>1</v>
      </c>
      <c r="K418" s="73" t="s">
        <v>2311</v>
      </c>
      <c r="L418" s="73" t="s">
        <v>2310</v>
      </c>
      <c r="M418" s="73">
        <v>2022</v>
      </c>
      <c r="O418" s="73" t="s">
        <v>2309</v>
      </c>
      <c r="P418" s="73" t="s">
        <v>1</v>
      </c>
      <c r="Q418" s="73" t="s">
        <v>1</v>
      </c>
      <c r="R418" s="73" t="s">
        <v>1</v>
      </c>
      <c r="S418" s="73" t="s">
        <v>1</v>
      </c>
      <c r="T418" s="73" t="s">
        <v>1</v>
      </c>
      <c r="U418" s="73" t="s">
        <v>1</v>
      </c>
      <c r="V418" s="73" t="s">
        <v>1</v>
      </c>
      <c r="W418" s="73" t="s">
        <v>1</v>
      </c>
      <c r="X418" s="73" t="s">
        <v>1</v>
      </c>
      <c r="Y418" s="73" t="s">
        <v>1</v>
      </c>
      <c r="Z418" s="73" t="s">
        <v>1</v>
      </c>
      <c r="AA418" s="73" t="s">
        <v>1</v>
      </c>
      <c r="AB418" s="73" t="s">
        <v>2308</v>
      </c>
      <c r="AF418" s="73"/>
      <c r="AG418" s="73"/>
    </row>
    <row r="419" spans="2:33" x14ac:dyDescent="0.2">
      <c r="B419" s="73" t="s">
        <v>2307</v>
      </c>
      <c r="C419" s="74" t="s">
        <v>1691</v>
      </c>
      <c r="D419" s="75" t="s">
        <v>1691</v>
      </c>
      <c r="E419" s="75" t="s">
        <v>1691</v>
      </c>
      <c r="F419" s="75" t="s">
        <v>1691</v>
      </c>
      <c r="H419" s="75" t="s">
        <v>1691</v>
      </c>
      <c r="I419" s="73" t="s">
        <v>2306</v>
      </c>
      <c r="J419" s="73" t="s">
        <v>1</v>
      </c>
      <c r="K419" s="73" t="s">
        <v>2048</v>
      </c>
      <c r="L419" s="73" t="s">
        <v>2305</v>
      </c>
      <c r="M419" s="73">
        <v>2014</v>
      </c>
      <c r="O419" s="73" t="s">
        <v>1</v>
      </c>
      <c r="P419" s="73" t="s">
        <v>1</v>
      </c>
      <c r="Q419" s="73" t="s">
        <v>1</v>
      </c>
      <c r="R419" s="73" t="s">
        <v>1</v>
      </c>
      <c r="S419" s="73" t="s">
        <v>1</v>
      </c>
      <c r="T419" s="73" t="s">
        <v>1</v>
      </c>
      <c r="U419" s="73" t="s">
        <v>1</v>
      </c>
      <c r="V419" s="73" t="s">
        <v>1</v>
      </c>
      <c r="W419" s="73" t="s">
        <v>1</v>
      </c>
      <c r="X419" s="73" t="s">
        <v>1</v>
      </c>
      <c r="Y419" s="73" t="s">
        <v>1</v>
      </c>
      <c r="Z419" s="73" t="s">
        <v>1</v>
      </c>
      <c r="AA419" s="73" t="s">
        <v>1</v>
      </c>
      <c r="AB419" s="73" t="s">
        <v>2051</v>
      </c>
      <c r="AF419" s="73"/>
      <c r="AG419" s="73"/>
    </row>
    <row r="420" spans="2:33" x14ac:dyDescent="0.2">
      <c r="B420" s="73" t="s">
        <v>2304</v>
      </c>
      <c r="C420" s="74" t="s">
        <v>1691</v>
      </c>
      <c r="D420" s="75" t="s">
        <v>1</v>
      </c>
      <c r="E420" s="75" t="s">
        <v>1</v>
      </c>
      <c r="F420" s="75" t="s">
        <v>1</v>
      </c>
      <c r="H420" s="75" t="s">
        <v>1</v>
      </c>
      <c r="I420" s="73" t="s">
        <v>2303</v>
      </c>
      <c r="J420" s="73" t="s">
        <v>2302</v>
      </c>
      <c r="K420" s="73" t="s">
        <v>2048</v>
      </c>
      <c r="L420" s="73" t="s">
        <v>2301</v>
      </c>
      <c r="M420" s="73">
        <v>2022</v>
      </c>
      <c r="N420" s="25" t="s">
        <v>2300</v>
      </c>
      <c r="O420" s="73" t="s">
        <v>1</v>
      </c>
      <c r="P420" s="73" t="s">
        <v>1</v>
      </c>
      <c r="Q420" s="73" t="s">
        <v>1</v>
      </c>
      <c r="R420" s="73" t="s">
        <v>1</v>
      </c>
      <c r="S420" s="73" t="s">
        <v>1</v>
      </c>
      <c r="T420" s="73" t="s">
        <v>1</v>
      </c>
      <c r="U420" s="73" t="s">
        <v>1</v>
      </c>
      <c r="V420" s="73" t="s">
        <v>1</v>
      </c>
      <c r="W420" s="73" t="s">
        <v>1</v>
      </c>
      <c r="X420" s="73" t="s">
        <v>1</v>
      </c>
      <c r="Y420" s="73" t="s">
        <v>1</v>
      </c>
      <c r="Z420" s="73" t="s">
        <v>1</v>
      </c>
      <c r="AA420" s="73" t="s">
        <v>1</v>
      </c>
      <c r="AB420" s="73" t="s">
        <v>2058</v>
      </c>
      <c r="AF420" s="73"/>
      <c r="AG420" s="73"/>
    </row>
    <row r="421" spans="2:33" x14ac:dyDescent="0.2">
      <c r="B421" s="73" t="s">
        <v>2299</v>
      </c>
      <c r="C421" s="74" t="s">
        <v>1691</v>
      </c>
      <c r="D421" s="75" t="s">
        <v>1</v>
      </c>
      <c r="E421" s="75" t="s">
        <v>1</v>
      </c>
      <c r="F421" s="75" t="s">
        <v>1</v>
      </c>
      <c r="H421" s="75" t="s">
        <v>1</v>
      </c>
      <c r="I421" s="73" t="s">
        <v>2298</v>
      </c>
      <c r="J421" s="73" t="s">
        <v>2297</v>
      </c>
      <c r="K421" s="73" t="s">
        <v>2048</v>
      </c>
      <c r="L421" s="73" t="s">
        <v>2065</v>
      </c>
      <c r="M421" s="73">
        <v>2019</v>
      </c>
      <c r="O421" s="73" t="s">
        <v>1</v>
      </c>
      <c r="P421" s="73" t="s">
        <v>1</v>
      </c>
      <c r="Q421" s="73" t="s">
        <v>1</v>
      </c>
      <c r="R421" s="73" t="s">
        <v>1</v>
      </c>
      <c r="S421" s="73" t="s">
        <v>1</v>
      </c>
      <c r="T421" s="73" t="s">
        <v>1</v>
      </c>
      <c r="U421" s="73" t="s">
        <v>1</v>
      </c>
      <c r="V421" s="73" t="s">
        <v>1</v>
      </c>
      <c r="W421" s="73" t="s">
        <v>1</v>
      </c>
      <c r="X421" s="73" t="s">
        <v>1</v>
      </c>
      <c r="Y421" s="73" t="s">
        <v>1</v>
      </c>
      <c r="Z421" s="73" t="s">
        <v>1</v>
      </c>
      <c r="AA421" s="73" t="s">
        <v>1</v>
      </c>
      <c r="AB421" s="73" t="s">
        <v>2081</v>
      </c>
      <c r="AF421" s="73"/>
      <c r="AG421" s="73"/>
    </row>
    <row r="422" spans="2:33" x14ac:dyDescent="0.2">
      <c r="B422" s="73" t="s">
        <v>2296</v>
      </c>
      <c r="C422" s="74" t="s">
        <v>1691</v>
      </c>
      <c r="D422" s="75">
        <v>20</v>
      </c>
      <c r="E422" s="73" t="s">
        <v>5</v>
      </c>
      <c r="F422" s="75">
        <v>4</v>
      </c>
      <c r="H422" s="78">
        <v>44531</v>
      </c>
      <c r="I422" s="73" t="s">
        <v>2295</v>
      </c>
      <c r="J422" s="73" t="s">
        <v>2294</v>
      </c>
      <c r="K422" s="73" t="s">
        <v>2048</v>
      </c>
      <c r="L422" s="73" t="s">
        <v>2293</v>
      </c>
      <c r="M422" s="73">
        <v>2018</v>
      </c>
      <c r="O422" s="73" t="s">
        <v>1</v>
      </c>
      <c r="P422" s="73" t="s">
        <v>4</v>
      </c>
      <c r="Q422" s="77">
        <v>1.5</v>
      </c>
      <c r="R422" s="73" t="s">
        <v>1</v>
      </c>
      <c r="S422" s="73" t="s">
        <v>278</v>
      </c>
      <c r="T422" s="77">
        <v>0.3</v>
      </c>
      <c r="U422" s="73" t="s">
        <v>1</v>
      </c>
      <c r="V422" s="73" t="s">
        <v>1</v>
      </c>
      <c r="W422" s="73" t="s">
        <v>1</v>
      </c>
      <c r="X422" s="73" t="s">
        <v>1</v>
      </c>
      <c r="Y422" s="73" t="s">
        <v>1</v>
      </c>
      <c r="Z422" s="73" t="s">
        <v>1</v>
      </c>
      <c r="AA422" s="73" t="s">
        <v>1</v>
      </c>
      <c r="AB422" s="73" t="s">
        <v>2292</v>
      </c>
      <c r="AF422" s="73"/>
      <c r="AG422" s="73"/>
    </row>
    <row r="423" spans="2:33" x14ac:dyDescent="0.2">
      <c r="B423" s="73" t="s">
        <v>2291</v>
      </c>
      <c r="C423" s="74" t="s">
        <v>1691</v>
      </c>
      <c r="D423" s="75" t="s">
        <v>1</v>
      </c>
      <c r="E423" s="75" t="s">
        <v>1</v>
      </c>
      <c r="F423" s="75" t="s">
        <v>1</v>
      </c>
      <c r="H423" s="75" t="s">
        <v>1</v>
      </c>
      <c r="I423" s="73" t="s">
        <v>2290</v>
      </c>
      <c r="K423" s="73" t="s">
        <v>1</v>
      </c>
      <c r="L423" s="73" t="s">
        <v>1</v>
      </c>
      <c r="M423" s="73">
        <v>2018</v>
      </c>
      <c r="O423" s="73" t="s">
        <v>2289</v>
      </c>
      <c r="P423" s="77" t="s">
        <v>1</v>
      </c>
      <c r="Q423" s="77" t="s">
        <v>1</v>
      </c>
      <c r="R423" s="77" t="s">
        <v>1</v>
      </c>
      <c r="S423" s="77" t="s">
        <v>1</v>
      </c>
      <c r="T423" s="77" t="s">
        <v>1</v>
      </c>
      <c r="U423" s="77" t="s">
        <v>1</v>
      </c>
      <c r="V423" s="77" t="s">
        <v>1</v>
      </c>
      <c r="W423" s="77" t="s">
        <v>1</v>
      </c>
      <c r="X423" s="77" t="s">
        <v>1</v>
      </c>
      <c r="Y423" s="77" t="s">
        <v>1</v>
      </c>
      <c r="Z423" s="77" t="s">
        <v>1</v>
      </c>
      <c r="AA423" s="77" t="s">
        <v>1</v>
      </c>
      <c r="AB423" s="73" t="s">
        <v>2288</v>
      </c>
      <c r="AF423" s="73"/>
      <c r="AG423" s="73"/>
    </row>
    <row r="424" spans="2:33" x14ac:dyDescent="0.2">
      <c r="B424" s="73" t="s">
        <v>2287</v>
      </c>
      <c r="C424" s="74" t="s">
        <v>1691</v>
      </c>
      <c r="D424" s="75">
        <v>50</v>
      </c>
      <c r="E424" s="73" t="s">
        <v>5</v>
      </c>
      <c r="F424" s="75">
        <v>22</v>
      </c>
      <c r="H424" s="78">
        <v>45072</v>
      </c>
      <c r="I424" s="73" t="s">
        <v>2286</v>
      </c>
      <c r="J424" s="73" t="s">
        <v>2285</v>
      </c>
      <c r="K424" s="73" t="s">
        <v>2103</v>
      </c>
      <c r="L424" s="73" t="s">
        <v>2284</v>
      </c>
      <c r="M424" s="73">
        <v>2018</v>
      </c>
      <c r="O424" s="73" t="s">
        <v>2283</v>
      </c>
      <c r="P424" s="77" t="s">
        <v>4</v>
      </c>
      <c r="Q424" s="77">
        <v>23.6</v>
      </c>
      <c r="R424" s="77" t="s">
        <v>2282</v>
      </c>
      <c r="S424" s="77" t="s">
        <v>4</v>
      </c>
      <c r="T424" s="77">
        <v>4.5</v>
      </c>
      <c r="U424" s="77" t="s">
        <v>2281</v>
      </c>
      <c r="V424" s="77" t="s">
        <v>1</v>
      </c>
      <c r="W424" s="77" t="s">
        <v>1</v>
      </c>
      <c r="X424" s="77" t="s">
        <v>1</v>
      </c>
      <c r="Y424" s="77" t="s">
        <v>1</v>
      </c>
      <c r="Z424" s="77" t="s">
        <v>1</v>
      </c>
      <c r="AA424" s="77" t="s">
        <v>1</v>
      </c>
      <c r="AB424" s="73" t="s">
        <v>2280</v>
      </c>
      <c r="AF424" s="73"/>
      <c r="AG424" s="73"/>
    </row>
    <row r="425" spans="2:33" x14ac:dyDescent="0.2">
      <c r="B425" s="73" t="s">
        <v>2279</v>
      </c>
      <c r="C425" s="74" t="s">
        <v>1691</v>
      </c>
      <c r="D425" s="75">
        <v>50</v>
      </c>
      <c r="E425" s="73" t="s">
        <v>5</v>
      </c>
      <c r="F425" s="75">
        <v>20</v>
      </c>
      <c r="H425" s="78">
        <v>44396</v>
      </c>
      <c r="I425" s="73" t="s">
        <v>2278</v>
      </c>
      <c r="J425" s="73" t="s">
        <v>2277</v>
      </c>
      <c r="K425" s="73" t="s">
        <v>2048</v>
      </c>
      <c r="L425" s="73" t="s">
        <v>2065</v>
      </c>
      <c r="M425" s="73">
        <v>2013</v>
      </c>
      <c r="O425" s="73" t="s">
        <v>2276</v>
      </c>
      <c r="P425" s="77" t="s">
        <v>4</v>
      </c>
      <c r="Q425" s="77" t="s">
        <v>1</v>
      </c>
      <c r="R425" s="77" t="s">
        <v>2275</v>
      </c>
      <c r="S425" s="77" t="s">
        <v>1</v>
      </c>
      <c r="T425" s="77" t="s">
        <v>1</v>
      </c>
      <c r="U425" s="77" t="s">
        <v>1</v>
      </c>
      <c r="V425" s="77" t="s">
        <v>1</v>
      </c>
      <c r="W425" s="77" t="s">
        <v>1</v>
      </c>
      <c r="X425" s="77" t="s">
        <v>1</v>
      </c>
      <c r="Y425" s="77" t="s">
        <v>1</v>
      </c>
      <c r="Z425" s="77" t="s">
        <v>1</v>
      </c>
      <c r="AA425" s="77" t="s">
        <v>1</v>
      </c>
      <c r="AB425" s="73" t="s">
        <v>2081</v>
      </c>
      <c r="AF425" s="73"/>
      <c r="AG425" s="73"/>
    </row>
    <row r="426" spans="2:33" x14ac:dyDescent="0.2">
      <c r="B426" s="73" t="s">
        <v>2274</v>
      </c>
      <c r="C426" s="74" t="s">
        <v>1691</v>
      </c>
      <c r="D426" s="75">
        <v>50</v>
      </c>
      <c r="E426" s="73" t="s">
        <v>7</v>
      </c>
      <c r="F426" s="75">
        <v>20</v>
      </c>
      <c r="H426" s="78">
        <v>44792</v>
      </c>
      <c r="I426" s="73" t="s">
        <v>2273</v>
      </c>
      <c r="J426" s="73" t="s">
        <v>1</v>
      </c>
      <c r="K426" s="73" t="s">
        <v>2048</v>
      </c>
      <c r="L426" s="73" t="s">
        <v>2065</v>
      </c>
      <c r="M426" s="73">
        <v>2018</v>
      </c>
      <c r="N426" s="73" t="s">
        <v>2272</v>
      </c>
      <c r="AB426" s="73" t="s">
        <v>2271</v>
      </c>
      <c r="AF426" s="73"/>
      <c r="AG426" s="73"/>
    </row>
    <row r="427" spans="2:33" x14ac:dyDescent="0.2">
      <c r="B427" s="73" t="s">
        <v>2267</v>
      </c>
      <c r="C427" s="74" t="s">
        <v>1691</v>
      </c>
      <c r="D427" s="75">
        <v>20</v>
      </c>
      <c r="E427" s="73" t="s">
        <v>4</v>
      </c>
      <c r="F427" s="75">
        <v>1.5</v>
      </c>
      <c r="H427" s="78">
        <v>45028</v>
      </c>
      <c r="I427" s="73" t="s">
        <v>2266</v>
      </c>
      <c r="J427" s="73" t="s">
        <v>2265</v>
      </c>
      <c r="K427" s="73" t="s">
        <v>2103</v>
      </c>
      <c r="L427" s="73" t="s">
        <v>2264</v>
      </c>
      <c r="M427" s="73">
        <v>2014</v>
      </c>
      <c r="O427" s="73" t="s">
        <v>2263</v>
      </c>
      <c r="P427" s="77" t="s">
        <v>1</v>
      </c>
      <c r="Q427" s="77" t="s">
        <v>1</v>
      </c>
      <c r="R427" s="77" t="s">
        <v>1</v>
      </c>
      <c r="S427" s="77" t="s">
        <v>1</v>
      </c>
      <c r="T427" s="77" t="s">
        <v>1</v>
      </c>
      <c r="U427" s="77" t="s">
        <v>1</v>
      </c>
      <c r="V427" s="77" t="s">
        <v>1</v>
      </c>
      <c r="W427" s="77" t="s">
        <v>1</v>
      </c>
      <c r="X427" s="77" t="s">
        <v>1</v>
      </c>
      <c r="Y427" s="77" t="s">
        <v>1</v>
      </c>
      <c r="Z427" s="77" t="s">
        <v>1</v>
      </c>
      <c r="AA427" s="77" t="s">
        <v>1</v>
      </c>
      <c r="AB427" s="73" t="s">
        <v>2262</v>
      </c>
      <c r="AF427" s="73"/>
      <c r="AG427" s="73"/>
    </row>
    <row r="428" spans="2:33" x14ac:dyDescent="0.2">
      <c r="B428" s="73" t="s">
        <v>2261</v>
      </c>
      <c r="C428" s="74" t="s">
        <v>1691</v>
      </c>
      <c r="D428" s="75">
        <v>60</v>
      </c>
      <c r="E428" s="73" t="s">
        <v>5</v>
      </c>
      <c r="F428" s="75">
        <v>12</v>
      </c>
      <c r="H428" s="78">
        <v>43207</v>
      </c>
      <c r="I428" s="73" t="s">
        <v>2260</v>
      </c>
      <c r="J428" s="73" t="s">
        <v>2259</v>
      </c>
      <c r="K428" s="73" t="s">
        <v>2048</v>
      </c>
      <c r="L428" s="73" t="s">
        <v>2258</v>
      </c>
      <c r="M428" s="73">
        <v>2014</v>
      </c>
      <c r="N428" s="73" t="s">
        <v>2257</v>
      </c>
      <c r="O428" s="73" t="s">
        <v>2256</v>
      </c>
      <c r="AB428" s="73" t="s">
        <v>2054</v>
      </c>
      <c r="AF428" s="73"/>
      <c r="AG428" s="73"/>
    </row>
    <row r="429" spans="2:33" x14ac:dyDescent="0.2">
      <c r="B429" s="73" t="s">
        <v>2255</v>
      </c>
      <c r="C429" s="74" t="s">
        <v>1691</v>
      </c>
      <c r="D429" s="75">
        <v>50</v>
      </c>
      <c r="E429" s="73" t="s">
        <v>5</v>
      </c>
      <c r="F429" s="75">
        <v>15</v>
      </c>
      <c r="H429" s="78">
        <v>43879</v>
      </c>
      <c r="I429" s="73" t="s">
        <v>2253</v>
      </c>
      <c r="J429" s="73" t="s">
        <v>2254</v>
      </c>
      <c r="K429" s="73" t="s">
        <v>2048</v>
      </c>
      <c r="L429" s="73" t="s">
        <v>2253</v>
      </c>
      <c r="M429" s="73">
        <v>2016</v>
      </c>
      <c r="N429" s="73" t="s">
        <v>2252</v>
      </c>
      <c r="O429" s="73" t="s">
        <v>2251</v>
      </c>
      <c r="P429" s="77" t="s">
        <v>2250</v>
      </c>
      <c r="Q429" s="77" t="s">
        <v>2249</v>
      </c>
      <c r="R429" s="77" t="s">
        <v>1</v>
      </c>
      <c r="S429" s="77" t="s">
        <v>1</v>
      </c>
      <c r="T429" s="77" t="s">
        <v>1</v>
      </c>
      <c r="U429" s="77" t="s">
        <v>1</v>
      </c>
      <c r="V429" s="77" t="s">
        <v>1</v>
      </c>
      <c r="W429" s="77" t="s">
        <v>1</v>
      </c>
      <c r="X429" s="77" t="s">
        <v>1</v>
      </c>
      <c r="Y429" s="77" t="s">
        <v>1</v>
      </c>
      <c r="Z429" s="77" t="s">
        <v>1</v>
      </c>
      <c r="AA429" s="77" t="s">
        <v>1</v>
      </c>
      <c r="AB429" s="73" t="s">
        <v>2248</v>
      </c>
      <c r="AF429" s="73"/>
      <c r="AG429" s="73"/>
    </row>
    <row r="430" spans="2:33" x14ac:dyDescent="0.2">
      <c r="B430" s="73" t="s">
        <v>2247</v>
      </c>
      <c r="C430" s="74" t="s">
        <v>1691</v>
      </c>
      <c r="D430" s="75" t="s">
        <v>1</v>
      </c>
      <c r="E430" s="81" t="s">
        <v>1</v>
      </c>
      <c r="F430" s="75" t="s">
        <v>1</v>
      </c>
      <c r="H430" s="75" t="s">
        <v>1</v>
      </c>
      <c r="I430" s="73" t="s">
        <v>2246</v>
      </c>
      <c r="J430" s="73" t="s">
        <v>1</v>
      </c>
      <c r="K430" s="73" t="s">
        <v>2048</v>
      </c>
      <c r="L430" s="73" t="s">
        <v>2245</v>
      </c>
      <c r="M430" s="73">
        <v>2022</v>
      </c>
      <c r="O430" s="81" t="s">
        <v>1</v>
      </c>
      <c r="P430" s="81" t="s">
        <v>1</v>
      </c>
      <c r="Q430" s="81" t="s">
        <v>1</v>
      </c>
      <c r="R430" s="81" t="s">
        <v>1</v>
      </c>
      <c r="S430" s="81" t="s">
        <v>1</v>
      </c>
      <c r="T430" s="81" t="s">
        <v>1</v>
      </c>
      <c r="U430" s="81" t="s">
        <v>1</v>
      </c>
      <c r="V430" s="81" t="s">
        <v>1</v>
      </c>
      <c r="W430" s="81" t="s">
        <v>1</v>
      </c>
      <c r="X430" s="81" t="s">
        <v>1</v>
      </c>
      <c r="Y430" s="81" t="s">
        <v>1</v>
      </c>
      <c r="Z430" s="81" t="s">
        <v>1</v>
      </c>
      <c r="AA430" s="81" t="s">
        <v>1</v>
      </c>
      <c r="AB430" s="73" t="s">
        <v>2244</v>
      </c>
      <c r="AF430" s="73"/>
      <c r="AG430" s="73"/>
    </row>
    <row r="431" spans="2:33" x14ac:dyDescent="0.2">
      <c r="B431" s="73" t="s">
        <v>2239</v>
      </c>
      <c r="C431" s="74" t="s">
        <v>1691</v>
      </c>
      <c r="D431" s="75">
        <v>20</v>
      </c>
      <c r="E431" s="77" t="s">
        <v>4</v>
      </c>
      <c r="F431" s="75">
        <v>2.2999999999999998</v>
      </c>
      <c r="H431" s="27">
        <v>42782</v>
      </c>
      <c r="I431" s="73" t="s">
        <v>2238</v>
      </c>
      <c r="J431" s="73" t="s">
        <v>2237</v>
      </c>
      <c r="K431" s="73" t="s">
        <v>2048</v>
      </c>
      <c r="L431" s="73" t="s">
        <v>2229</v>
      </c>
      <c r="M431" s="73">
        <v>2012</v>
      </c>
      <c r="N431" s="73" t="s">
        <v>2236</v>
      </c>
      <c r="O431" s="73" t="s">
        <v>1</v>
      </c>
      <c r="P431" s="73" t="s">
        <v>1</v>
      </c>
      <c r="Q431" s="73" t="s">
        <v>1</v>
      </c>
      <c r="R431" s="73" t="s">
        <v>1</v>
      </c>
      <c r="S431" s="73" t="s">
        <v>1</v>
      </c>
      <c r="T431" s="73" t="s">
        <v>1</v>
      </c>
      <c r="U431" s="73" t="s">
        <v>1</v>
      </c>
      <c r="V431" s="73" t="s">
        <v>1</v>
      </c>
      <c r="W431" s="73" t="s">
        <v>1</v>
      </c>
      <c r="X431" s="73" t="s">
        <v>1</v>
      </c>
      <c r="Y431" s="73" t="s">
        <v>1</v>
      </c>
      <c r="Z431" s="73" t="s">
        <v>1</v>
      </c>
      <c r="AA431" s="73" t="s">
        <v>1</v>
      </c>
      <c r="AB431" s="73" t="s">
        <v>2201</v>
      </c>
      <c r="AF431" s="73"/>
      <c r="AG431" s="73"/>
    </row>
    <row r="432" spans="2:33" x14ac:dyDescent="0.2">
      <c r="B432" s="73" t="s">
        <v>2235</v>
      </c>
      <c r="C432" s="74" t="s">
        <v>1691</v>
      </c>
      <c r="D432" s="75">
        <v>10</v>
      </c>
      <c r="E432" s="77" t="s">
        <v>278</v>
      </c>
      <c r="F432" s="75">
        <v>0.5</v>
      </c>
      <c r="H432" s="78">
        <v>44470</v>
      </c>
      <c r="I432" s="73" t="s">
        <v>2234</v>
      </c>
      <c r="J432" s="73" t="s">
        <v>1</v>
      </c>
      <c r="K432" s="73" t="s">
        <v>2048</v>
      </c>
      <c r="L432" s="73" t="s">
        <v>2233</v>
      </c>
      <c r="M432" s="73">
        <v>2013</v>
      </c>
      <c r="O432" s="73" t="s">
        <v>2232</v>
      </c>
      <c r="P432" s="77" t="s">
        <v>1</v>
      </c>
      <c r="Q432" s="77" t="s">
        <v>1</v>
      </c>
      <c r="R432" s="77" t="s">
        <v>1</v>
      </c>
      <c r="S432" s="77" t="s">
        <v>1</v>
      </c>
      <c r="T432" s="77" t="s">
        <v>1</v>
      </c>
      <c r="U432" s="77" t="s">
        <v>1</v>
      </c>
      <c r="V432" s="77" t="s">
        <v>1</v>
      </c>
      <c r="W432" s="77" t="s">
        <v>1</v>
      </c>
      <c r="X432" s="77" t="s">
        <v>1</v>
      </c>
      <c r="Y432" s="77" t="s">
        <v>1</v>
      </c>
      <c r="Z432" s="77" t="s">
        <v>1</v>
      </c>
      <c r="AA432" s="77" t="s">
        <v>1</v>
      </c>
      <c r="AB432" s="73" t="s">
        <v>2088</v>
      </c>
      <c r="AF432" s="73"/>
      <c r="AG432" s="73"/>
    </row>
    <row r="433" spans="2:33" x14ac:dyDescent="0.2">
      <c r="B433" s="73" t="s">
        <v>637</v>
      </c>
      <c r="C433" s="74" t="s">
        <v>1691</v>
      </c>
      <c r="D433" s="75">
        <v>10</v>
      </c>
      <c r="E433" s="77" t="s">
        <v>278</v>
      </c>
      <c r="F433" s="75">
        <v>0.12</v>
      </c>
      <c r="H433" s="78">
        <v>44082</v>
      </c>
      <c r="I433" s="73" t="s">
        <v>2231</v>
      </c>
      <c r="J433" s="73" t="s">
        <v>2230</v>
      </c>
      <c r="K433" s="73" t="s">
        <v>2048</v>
      </c>
      <c r="L433" s="73" t="s">
        <v>2229</v>
      </c>
      <c r="M433" s="73">
        <v>2019</v>
      </c>
      <c r="O433" s="73" t="s">
        <v>639</v>
      </c>
      <c r="P433" s="77" t="s">
        <v>2228</v>
      </c>
      <c r="Q433" s="77">
        <v>1</v>
      </c>
      <c r="R433" s="77" t="s">
        <v>2227</v>
      </c>
      <c r="S433" s="77" t="s">
        <v>1</v>
      </c>
      <c r="T433" s="77" t="s">
        <v>1</v>
      </c>
      <c r="U433" s="77" t="s">
        <v>1</v>
      </c>
      <c r="V433" s="77" t="s">
        <v>1</v>
      </c>
      <c r="W433" s="77" t="s">
        <v>1</v>
      </c>
      <c r="X433" s="77" t="s">
        <v>1</v>
      </c>
      <c r="Y433" s="77" t="s">
        <v>1</v>
      </c>
      <c r="Z433" s="77" t="s">
        <v>1</v>
      </c>
      <c r="AA433" s="77" t="s">
        <v>1</v>
      </c>
      <c r="AB433" s="73" t="s">
        <v>2201</v>
      </c>
    </row>
    <row r="434" spans="2:33" s="184" customFormat="1" x14ac:dyDescent="0.2">
      <c r="B434" s="184" t="s">
        <v>2024</v>
      </c>
      <c r="C434" s="193" t="s">
        <v>1691</v>
      </c>
      <c r="D434" s="186">
        <v>50</v>
      </c>
      <c r="E434" s="184" t="s">
        <v>5</v>
      </c>
      <c r="F434" s="186">
        <v>15</v>
      </c>
      <c r="G434" s="186">
        <f>F434</f>
        <v>15</v>
      </c>
      <c r="H434" s="203">
        <v>44789</v>
      </c>
      <c r="I434" s="184" t="s">
        <v>6777</v>
      </c>
      <c r="K434" s="184" t="s">
        <v>2048</v>
      </c>
      <c r="L434" s="184" t="s">
        <v>6569</v>
      </c>
      <c r="M434" s="184">
        <v>2019</v>
      </c>
      <c r="N434" s="184" t="s">
        <v>6778</v>
      </c>
      <c r="O434" s="184" t="s">
        <v>6779</v>
      </c>
      <c r="P434" s="187" t="s">
        <v>1</v>
      </c>
      <c r="Q434" s="187" t="s">
        <v>1</v>
      </c>
      <c r="R434" s="187" t="s">
        <v>1</v>
      </c>
      <c r="S434" s="187" t="s">
        <v>1</v>
      </c>
      <c r="T434" s="187" t="s">
        <v>1</v>
      </c>
      <c r="U434" s="187" t="s">
        <v>1</v>
      </c>
      <c r="V434" s="187" t="s">
        <v>1</v>
      </c>
      <c r="W434" s="187" t="s">
        <v>1</v>
      </c>
      <c r="X434" s="187" t="s">
        <v>1</v>
      </c>
      <c r="Y434" s="187" t="s">
        <v>1</v>
      </c>
      <c r="Z434" s="187" t="s">
        <v>1</v>
      </c>
      <c r="AA434" s="187" t="s">
        <v>1</v>
      </c>
      <c r="AB434" s="184" t="s">
        <v>6627</v>
      </c>
      <c r="AC434" s="184" t="s">
        <v>6630</v>
      </c>
      <c r="AD434" s="184" t="s">
        <v>2365</v>
      </c>
      <c r="AE434" s="25" t="s">
        <v>6776</v>
      </c>
      <c r="AF434" s="63"/>
      <c r="AG434" s="58"/>
    </row>
    <row r="435" spans="2:33" x14ac:dyDescent="0.2">
      <c r="B435" s="73" t="s">
        <v>2226</v>
      </c>
      <c r="C435" s="74" t="s">
        <v>1691</v>
      </c>
      <c r="D435" s="75">
        <v>100</v>
      </c>
      <c r="E435" s="77" t="s">
        <v>7</v>
      </c>
      <c r="F435" s="75">
        <v>55</v>
      </c>
      <c r="I435" s="73" t="s">
        <v>2225</v>
      </c>
      <c r="J435" s="73" t="s">
        <v>2224</v>
      </c>
      <c r="K435" s="73" t="s">
        <v>2223</v>
      </c>
      <c r="L435" s="73" t="s">
        <v>2223</v>
      </c>
      <c r="M435" s="73">
        <v>2018</v>
      </c>
      <c r="N435" s="73" t="s">
        <v>2222</v>
      </c>
      <c r="O435" s="73" t="s">
        <v>2221</v>
      </c>
      <c r="AB435" s="73" t="s">
        <v>2051</v>
      </c>
    </row>
    <row r="436" spans="2:33" x14ac:dyDescent="0.2">
      <c r="B436" s="73" t="s">
        <v>2220</v>
      </c>
      <c r="C436" s="74" t="s">
        <v>2141</v>
      </c>
      <c r="D436" s="75">
        <v>100</v>
      </c>
      <c r="E436" s="73" t="s">
        <v>18</v>
      </c>
      <c r="F436" s="75">
        <v>20</v>
      </c>
      <c r="H436" s="78">
        <v>44734</v>
      </c>
      <c r="I436" s="73" t="s">
        <v>2219</v>
      </c>
      <c r="J436" s="73" t="s">
        <v>2218</v>
      </c>
      <c r="K436" s="73" t="s">
        <v>2048</v>
      </c>
      <c r="L436" s="73" t="s">
        <v>2206</v>
      </c>
      <c r="M436" s="76" t="s">
        <v>2217</v>
      </c>
      <c r="O436" s="73" t="s">
        <v>1</v>
      </c>
      <c r="P436" s="77" t="s">
        <v>18</v>
      </c>
      <c r="Q436" s="77">
        <v>38</v>
      </c>
      <c r="R436" s="77" t="s">
        <v>2216</v>
      </c>
      <c r="S436" s="77" t="s">
        <v>7</v>
      </c>
      <c r="T436" s="77">
        <v>6.9</v>
      </c>
      <c r="U436" s="77" t="s">
        <v>2214</v>
      </c>
      <c r="V436" s="77" t="s">
        <v>5</v>
      </c>
      <c r="W436" s="77" t="s">
        <v>2215</v>
      </c>
      <c r="X436" s="77" t="s">
        <v>2214</v>
      </c>
      <c r="Y436" s="77" t="s">
        <v>1</v>
      </c>
      <c r="Z436" s="77" t="s">
        <v>1</v>
      </c>
      <c r="AA436" s="77" t="s">
        <v>1</v>
      </c>
      <c r="AB436" s="73" t="s">
        <v>2213</v>
      </c>
    </row>
    <row r="437" spans="2:33" x14ac:dyDescent="0.2">
      <c r="B437" s="73" t="s">
        <v>2212</v>
      </c>
      <c r="C437" s="74" t="s">
        <v>2141</v>
      </c>
      <c r="D437" s="75">
        <v>20</v>
      </c>
      <c r="E437" s="77" t="s">
        <v>7</v>
      </c>
      <c r="F437" s="75">
        <v>1.6</v>
      </c>
      <c r="H437" s="78">
        <v>43661</v>
      </c>
      <c r="I437" s="73" t="s">
        <v>2211</v>
      </c>
      <c r="J437" s="73" t="s">
        <v>1</v>
      </c>
      <c r="K437" s="73" t="s">
        <v>1</v>
      </c>
      <c r="L437" s="73" t="s">
        <v>1</v>
      </c>
      <c r="M437" s="73">
        <v>2016</v>
      </c>
      <c r="N437" s="73" t="s">
        <v>1</v>
      </c>
      <c r="O437" s="73" t="s">
        <v>2210</v>
      </c>
      <c r="P437" s="77" t="s">
        <v>1</v>
      </c>
      <c r="Q437" s="77" t="s">
        <v>1</v>
      </c>
      <c r="R437" s="77" t="s">
        <v>1</v>
      </c>
      <c r="S437" s="77" t="s">
        <v>1</v>
      </c>
      <c r="T437" s="77" t="s">
        <v>1</v>
      </c>
      <c r="U437" s="77" t="s">
        <v>1</v>
      </c>
      <c r="V437" s="77" t="s">
        <v>1</v>
      </c>
      <c r="W437" s="77" t="s">
        <v>1</v>
      </c>
      <c r="X437" s="77" t="s">
        <v>1</v>
      </c>
      <c r="Y437" s="77" t="s">
        <v>1</v>
      </c>
      <c r="Z437" s="77" t="s">
        <v>1</v>
      </c>
      <c r="AA437" s="77" t="s">
        <v>1</v>
      </c>
      <c r="AB437" s="73" t="s">
        <v>2209</v>
      </c>
    </row>
    <row r="438" spans="2:33" x14ac:dyDescent="0.2">
      <c r="B438" s="73" t="s">
        <v>2208</v>
      </c>
      <c r="C438" s="74" t="s">
        <v>2141</v>
      </c>
      <c r="E438" s="77"/>
      <c r="I438" s="73" t="s">
        <v>2207</v>
      </c>
      <c r="J438" s="73" t="s">
        <v>1</v>
      </c>
      <c r="K438" s="73" t="s">
        <v>2048</v>
      </c>
      <c r="L438" s="73" t="s">
        <v>2206</v>
      </c>
      <c r="M438" s="73">
        <v>2014</v>
      </c>
      <c r="N438" s="73" t="s">
        <v>2205</v>
      </c>
    </row>
    <row r="439" spans="2:33" x14ac:dyDescent="0.2">
      <c r="B439" s="73" t="s">
        <v>2204</v>
      </c>
      <c r="C439" s="74" t="s">
        <v>1691</v>
      </c>
      <c r="I439" s="73" t="s">
        <v>2203</v>
      </c>
      <c r="N439" s="73" t="s">
        <v>2202</v>
      </c>
      <c r="AB439" s="73" t="s">
        <v>2201</v>
      </c>
      <c r="AE439" s="25" t="s">
        <v>2200</v>
      </c>
      <c r="AF439" s="64"/>
      <c r="AG439" s="59"/>
    </row>
    <row r="440" spans="2:33" x14ac:dyDescent="0.2">
      <c r="B440" s="73" t="s">
        <v>2199</v>
      </c>
      <c r="C440" s="74" t="s">
        <v>2141</v>
      </c>
      <c r="E440" s="77" t="s">
        <v>7</v>
      </c>
      <c r="F440" s="75">
        <v>30</v>
      </c>
      <c r="H440" s="78">
        <v>44252</v>
      </c>
      <c r="I440" s="73" t="s">
        <v>2085</v>
      </c>
      <c r="J440" s="73" t="s">
        <v>2198</v>
      </c>
      <c r="K440" s="73" t="s">
        <v>2048</v>
      </c>
      <c r="L440" s="73" t="s">
        <v>2085</v>
      </c>
      <c r="M440" s="73">
        <v>2017</v>
      </c>
      <c r="N440" s="73" t="s">
        <v>2197</v>
      </c>
      <c r="O440" s="73" t="s">
        <v>2196</v>
      </c>
      <c r="P440" s="77" t="s">
        <v>5</v>
      </c>
      <c r="Q440" s="77">
        <v>16.5</v>
      </c>
      <c r="R440" s="77" t="s">
        <v>2195</v>
      </c>
      <c r="S440" s="77" t="s">
        <v>1</v>
      </c>
      <c r="T440" s="77" t="s">
        <v>1</v>
      </c>
      <c r="U440" s="77" t="s">
        <v>1</v>
      </c>
      <c r="V440" s="77" t="s">
        <v>1</v>
      </c>
      <c r="W440" s="77" t="s">
        <v>1</v>
      </c>
      <c r="X440" s="77" t="s">
        <v>1</v>
      </c>
      <c r="Y440" s="77" t="s">
        <v>1</v>
      </c>
      <c r="Z440" s="77" t="s">
        <v>1</v>
      </c>
      <c r="AA440" s="77" t="s">
        <v>1</v>
      </c>
      <c r="AB440" s="250" t="s">
        <v>6627</v>
      </c>
      <c r="AC440" s="250" t="s">
        <v>6630</v>
      </c>
      <c r="AD440" s="250" t="s">
        <v>6636</v>
      </c>
    </row>
    <row r="441" spans="2:33" x14ac:dyDescent="0.2">
      <c r="B441" s="73" t="s">
        <v>347</v>
      </c>
      <c r="C441" s="74" t="s">
        <v>2153</v>
      </c>
      <c r="D441" s="75">
        <v>30</v>
      </c>
      <c r="E441" s="77" t="s">
        <v>4</v>
      </c>
      <c r="F441" s="75">
        <v>3.5</v>
      </c>
      <c r="H441" s="78">
        <v>43046</v>
      </c>
      <c r="J441" s="73" t="s">
        <v>2193</v>
      </c>
      <c r="K441" s="73" t="s">
        <v>2048</v>
      </c>
      <c r="L441" s="73" t="s">
        <v>2129</v>
      </c>
      <c r="M441" s="76" t="s">
        <v>2192</v>
      </c>
      <c r="O441" s="73" t="s">
        <v>2191</v>
      </c>
      <c r="AB441" s="250" t="s">
        <v>6627</v>
      </c>
      <c r="AC441" s="250" t="s">
        <v>6630</v>
      </c>
      <c r="AD441" s="250" t="s">
        <v>2365</v>
      </c>
      <c r="AE441" s="250"/>
    </row>
    <row r="442" spans="2:33" x14ac:dyDescent="0.2">
      <c r="B442" s="73" t="s">
        <v>2190</v>
      </c>
      <c r="C442" s="74" t="s">
        <v>1691</v>
      </c>
      <c r="D442" s="75">
        <v>25</v>
      </c>
      <c r="E442" s="73" t="s">
        <v>4</v>
      </c>
      <c r="F442" s="75">
        <v>4</v>
      </c>
      <c r="H442" s="78">
        <v>44518</v>
      </c>
      <c r="I442" s="73" t="s">
        <v>2189</v>
      </c>
      <c r="J442" s="73" t="s">
        <v>2188</v>
      </c>
      <c r="K442" s="73" t="s">
        <v>2048</v>
      </c>
      <c r="L442" s="73" t="s">
        <v>2187</v>
      </c>
      <c r="M442" s="73">
        <v>2018</v>
      </c>
      <c r="O442" s="73" t="s">
        <v>2186</v>
      </c>
      <c r="P442" s="77" t="s">
        <v>278</v>
      </c>
      <c r="Q442" s="77">
        <v>0.12</v>
      </c>
      <c r="R442" s="77" t="s">
        <v>639</v>
      </c>
      <c r="S442" s="77" t="s">
        <v>1</v>
      </c>
      <c r="T442" s="77" t="s">
        <v>1</v>
      </c>
      <c r="U442" s="77" t="s">
        <v>1</v>
      </c>
      <c r="V442" s="77" t="s">
        <v>1</v>
      </c>
      <c r="W442" s="77" t="s">
        <v>1</v>
      </c>
      <c r="X442" s="77" t="s">
        <v>1</v>
      </c>
      <c r="Y442" s="77" t="s">
        <v>1</v>
      </c>
      <c r="Z442" s="77" t="s">
        <v>1</v>
      </c>
      <c r="AA442" s="77" t="s">
        <v>1</v>
      </c>
      <c r="AB442" s="77" t="s">
        <v>1</v>
      </c>
      <c r="AC442" s="77"/>
      <c r="AD442" s="77"/>
      <c r="AE442" s="250"/>
    </row>
    <row r="443" spans="2:33" x14ac:dyDescent="0.2">
      <c r="B443" s="73" t="s">
        <v>2185</v>
      </c>
      <c r="C443" s="74" t="s">
        <v>2141</v>
      </c>
      <c r="D443" s="75">
        <v>20</v>
      </c>
      <c r="E443" s="73" t="s">
        <v>4</v>
      </c>
      <c r="F443" s="75">
        <v>1.6</v>
      </c>
      <c r="H443" s="78">
        <v>43060</v>
      </c>
      <c r="I443" s="73" t="s">
        <v>2184</v>
      </c>
      <c r="J443" s="73" t="s">
        <v>2183</v>
      </c>
      <c r="K443" s="73" t="s">
        <v>2048</v>
      </c>
      <c r="L443" s="73" t="s">
        <v>2059</v>
      </c>
      <c r="M443" s="73">
        <v>2015</v>
      </c>
      <c r="O443" s="73" t="s">
        <v>2182</v>
      </c>
      <c r="P443" s="77" t="s">
        <v>4</v>
      </c>
      <c r="Q443" s="77">
        <v>0.7</v>
      </c>
      <c r="R443" s="77" t="s">
        <v>629</v>
      </c>
      <c r="S443" s="77" t="s">
        <v>1</v>
      </c>
      <c r="T443" s="77" t="s">
        <v>1</v>
      </c>
      <c r="U443" s="77" t="s">
        <v>1</v>
      </c>
      <c r="V443" s="77" t="s">
        <v>1</v>
      </c>
      <c r="W443" s="77" t="s">
        <v>1</v>
      </c>
      <c r="X443" s="77" t="s">
        <v>1</v>
      </c>
      <c r="Y443" s="77" t="s">
        <v>1</v>
      </c>
      <c r="Z443" s="77" t="s">
        <v>1</v>
      </c>
      <c r="AA443" s="77" t="s">
        <v>1</v>
      </c>
      <c r="AB443" s="73" t="s">
        <v>2181</v>
      </c>
      <c r="AE443" s="25" t="s">
        <v>2180</v>
      </c>
      <c r="AF443" s="64"/>
      <c r="AG443" s="59"/>
    </row>
    <row r="444" spans="2:33" x14ac:dyDescent="0.2">
      <c r="B444" s="73" t="s">
        <v>2179</v>
      </c>
      <c r="C444" s="74" t="s">
        <v>2153</v>
      </c>
      <c r="D444" s="75" t="s">
        <v>1</v>
      </c>
      <c r="E444" s="73" t="s">
        <v>4</v>
      </c>
      <c r="F444" s="75" t="s">
        <v>1</v>
      </c>
      <c r="H444" s="78">
        <v>44169</v>
      </c>
      <c r="J444" s="73" t="s">
        <v>2178</v>
      </c>
      <c r="K444" s="73" t="s">
        <v>2048</v>
      </c>
      <c r="L444" s="73" t="s">
        <v>2177</v>
      </c>
      <c r="M444" s="73">
        <v>2017</v>
      </c>
      <c r="N444" s="73" t="s">
        <v>2149</v>
      </c>
      <c r="O444" s="73" t="s">
        <v>2176</v>
      </c>
      <c r="P444" s="77" t="s">
        <v>1</v>
      </c>
      <c r="Q444" s="77" t="s">
        <v>1</v>
      </c>
      <c r="R444" s="77" t="s">
        <v>1</v>
      </c>
      <c r="S444" s="77" t="s">
        <v>1</v>
      </c>
      <c r="T444" s="77" t="s">
        <v>1</v>
      </c>
      <c r="U444" s="77" t="s">
        <v>1</v>
      </c>
      <c r="V444" s="77" t="s">
        <v>1</v>
      </c>
      <c r="W444" s="77" t="s">
        <v>1</v>
      </c>
      <c r="X444" s="77" t="s">
        <v>1</v>
      </c>
      <c r="Y444" s="77" t="s">
        <v>1</v>
      </c>
      <c r="Z444" s="77" t="s">
        <v>1</v>
      </c>
      <c r="AA444" s="77" t="s">
        <v>1</v>
      </c>
      <c r="AB444" s="250" t="s">
        <v>6627</v>
      </c>
      <c r="AC444" s="250" t="s">
        <v>6634</v>
      </c>
      <c r="AD444" s="250" t="s">
        <v>2355</v>
      </c>
      <c r="AE444" s="250"/>
    </row>
    <row r="445" spans="2:33" x14ac:dyDescent="0.2">
      <c r="B445" s="73" t="s">
        <v>2175</v>
      </c>
      <c r="C445" s="74" t="s">
        <v>1691</v>
      </c>
      <c r="D445" s="75" t="s">
        <v>1</v>
      </c>
      <c r="E445" s="75" t="s">
        <v>1</v>
      </c>
      <c r="F445" s="75" t="s">
        <v>1</v>
      </c>
      <c r="H445" s="75" t="s">
        <v>1</v>
      </c>
      <c r="I445" s="73" t="s">
        <v>2174</v>
      </c>
      <c r="J445" s="73" t="s">
        <v>2173</v>
      </c>
      <c r="K445" s="73" t="s">
        <v>2048</v>
      </c>
      <c r="L445" s="73" t="s">
        <v>2172</v>
      </c>
      <c r="M445" s="73">
        <v>2019</v>
      </c>
      <c r="O445" s="73" t="s">
        <v>1</v>
      </c>
      <c r="P445" s="73" t="s">
        <v>1</v>
      </c>
      <c r="Q445" s="73" t="s">
        <v>1</v>
      </c>
      <c r="R445" s="73" t="s">
        <v>1</v>
      </c>
      <c r="S445" s="73" t="s">
        <v>1</v>
      </c>
      <c r="T445" s="73" t="s">
        <v>1</v>
      </c>
      <c r="U445" s="73" t="s">
        <v>1</v>
      </c>
      <c r="V445" s="73" t="s">
        <v>1</v>
      </c>
      <c r="W445" s="73" t="s">
        <v>1</v>
      </c>
      <c r="X445" s="73" t="s">
        <v>1</v>
      </c>
      <c r="Y445" s="73" t="s">
        <v>1</v>
      </c>
      <c r="Z445" s="73" t="s">
        <v>1</v>
      </c>
      <c r="AA445" s="73" t="s">
        <v>1</v>
      </c>
      <c r="AB445" s="73" t="s">
        <v>2171</v>
      </c>
      <c r="AE445" s="250"/>
    </row>
    <row r="446" spans="2:33" x14ac:dyDescent="0.2">
      <c r="B446" s="73" t="s">
        <v>2170</v>
      </c>
      <c r="C446" s="74" t="s">
        <v>1691</v>
      </c>
      <c r="D446" s="75" t="s">
        <v>1</v>
      </c>
      <c r="E446" s="81" t="s">
        <v>1</v>
      </c>
      <c r="F446" s="75" t="s">
        <v>1</v>
      </c>
      <c r="H446" s="75" t="s">
        <v>1</v>
      </c>
      <c r="I446" s="73" t="s">
        <v>2169</v>
      </c>
      <c r="J446" s="73" t="s">
        <v>1</v>
      </c>
      <c r="K446" s="73" t="s">
        <v>2048</v>
      </c>
      <c r="L446" s="73" t="s">
        <v>2168</v>
      </c>
      <c r="M446" s="73">
        <v>2016</v>
      </c>
      <c r="N446" s="73" t="s">
        <v>2167</v>
      </c>
      <c r="O446" s="73" t="s">
        <v>1</v>
      </c>
      <c r="P446" s="73" t="s">
        <v>1</v>
      </c>
      <c r="Q446" s="73" t="s">
        <v>1</v>
      </c>
      <c r="R446" s="73" t="s">
        <v>1</v>
      </c>
      <c r="S446" s="73" t="s">
        <v>1</v>
      </c>
      <c r="T446" s="73" t="s">
        <v>1</v>
      </c>
      <c r="U446" s="73" t="s">
        <v>1</v>
      </c>
      <c r="V446" s="73" t="s">
        <v>1</v>
      </c>
      <c r="W446" s="73" t="s">
        <v>1</v>
      </c>
      <c r="X446" s="73" t="s">
        <v>1</v>
      </c>
      <c r="Y446" s="73" t="s">
        <v>1</v>
      </c>
      <c r="Z446" s="73" t="s">
        <v>1</v>
      </c>
      <c r="AA446" s="73" t="s">
        <v>1</v>
      </c>
      <c r="AB446" s="250" t="s">
        <v>6652</v>
      </c>
      <c r="AD446" s="250" t="s">
        <v>2097</v>
      </c>
      <c r="AE446" s="250"/>
    </row>
    <row r="447" spans="2:33" x14ac:dyDescent="0.2">
      <c r="B447" s="73" t="s">
        <v>329</v>
      </c>
      <c r="C447" s="74" t="s">
        <v>2153</v>
      </c>
      <c r="D447" s="75">
        <v>25</v>
      </c>
      <c r="E447" s="73" t="s">
        <v>4</v>
      </c>
      <c r="F447" s="75">
        <v>5</v>
      </c>
      <c r="H447" s="78">
        <v>43224</v>
      </c>
      <c r="I447" s="73" t="s">
        <v>2165</v>
      </c>
      <c r="J447" s="73" t="s">
        <v>2164</v>
      </c>
      <c r="K447" s="73" t="s">
        <v>2048</v>
      </c>
      <c r="L447" s="73" t="s">
        <v>2163</v>
      </c>
      <c r="M447" s="73">
        <v>2017</v>
      </c>
      <c r="N447" s="73" t="s">
        <v>2149</v>
      </c>
      <c r="O447" s="73" t="s">
        <v>2162</v>
      </c>
      <c r="P447" s="77" t="s">
        <v>1</v>
      </c>
      <c r="Q447" s="77" t="s">
        <v>1</v>
      </c>
      <c r="R447" s="77" t="s">
        <v>1</v>
      </c>
      <c r="S447" s="77" t="s">
        <v>1</v>
      </c>
      <c r="T447" s="77" t="s">
        <v>1</v>
      </c>
      <c r="U447" s="77" t="s">
        <v>1</v>
      </c>
      <c r="V447" s="77" t="s">
        <v>1</v>
      </c>
      <c r="W447" s="77" t="s">
        <v>1</v>
      </c>
      <c r="X447" s="77" t="s">
        <v>1</v>
      </c>
      <c r="Y447" s="77" t="s">
        <v>1</v>
      </c>
      <c r="Z447" s="77" t="s">
        <v>1</v>
      </c>
      <c r="AA447" s="77" t="s">
        <v>1</v>
      </c>
      <c r="AB447" s="250" t="s">
        <v>6627</v>
      </c>
      <c r="AC447" s="250" t="s">
        <v>6634</v>
      </c>
      <c r="AD447" s="250" t="s">
        <v>2355</v>
      </c>
      <c r="AE447" s="250"/>
    </row>
    <row r="448" spans="2:33" x14ac:dyDescent="0.2">
      <c r="B448" s="73" t="s">
        <v>2161</v>
      </c>
      <c r="C448" s="74" t="s">
        <v>2153</v>
      </c>
      <c r="D448" s="75" t="s">
        <v>1</v>
      </c>
      <c r="E448" s="75" t="s">
        <v>1</v>
      </c>
      <c r="F448" s="75" t="s">
        <v>1</v>
      </c>
      <c r="H448" s="75" t="s">
        <v>1</v>
      </c>
      <c r="I448" s="81" t="s">
        <v>1</v>
      </c>
      <c r="J448" s="73" t="s">
        <v>2160</v>
      </c>
      <c r="M448" s="73">
        <v>2017</v>
      </c>
      <c r="O448" s="81" t="s">
        <v>1</v>
      </c>
      <c r="P448" s="81" t="s">
        <v>1</v>
      </c>
      <c r="Q448" s="81" t="s">
        <v>1</v>
      </c>
      <c r="R448" s="81" t="s">
        <v>1</v>
      </c>
      <c r="S448" s="81" t="s">
        <v>1</v>
      </c>
      <c r="T448" s="81" t="s">
        <v>1</v>
      </c>
      <c r="U448" s="81" t="s">
        <v>1</v>
      </c>
      <c r="V448" s="81" t="s">
        <v>1</v>
      </c>
      <c r="W448" s="81" t="s">
        <v>1</v>
      </c>
      <c r="X448" s="81" t="s">
        <v>1</v>
      </c>
      <c r="Y448" s="81" t="s">
        <v>1</v>
      </c>
      <c r="Z448" s="81" t="s">
        <v>1</v>
      </c>
      <c r="AA448" s="81" t="s">
        <v>1</v>
      </c>
      <c r="AB448" s="250" t="s">
        <v>6627</v>
      </c>
      <c r="AC448" s="250" t="s">
        <v>6631</v>
      </c>
      <c r="AD448" s="250" t="s">
        <v>3175</v>
      </c>
      <c r="AE448" s="250"/>
    </row>
    <row r="449" spans="2:33" x14ac:dyDescent="0.2">
      <c r="B449" s="73" t="s">
        <v>2159</v>
      </c>
      <c r="C449" s="74" t="s">
        <v>2141</v>
      </c>
      <c r="D449" s="75" t="s">
        <v>1</v>
      </c>
      <c r="E449" s="75" t="s">
        <v>1</v>
      </c>
      <c r="F449" s="75" t="s">
        <v>1</v>
      </c>
      <c r="H449" s="75" t="s">
        <v>1</v>
      </c>
      <c r="I449" s="73" t="s">
        <v>2158</v>
      </c>
      <c r="J449" s="73" t="s">
        <v>2157</v>
      </c>
      <c r="K449" s="73" t="s">
        <v>2048</v>
      </c>
      <c r="L449" s="73" t="s">
        <v>2065</v>
      </c>
      <c r="M449" s="76" t="s">
        <v>2156</v>
      </c>
      <c r="O449" s="81" t="s">
        <v>1</v>
      </c>
      <c r="P449" s="81" t="s">
        <v>1</v>
      </c>
      <c r="Q449" s="81" t="s">
        <v>1</v>
      </c>
      <c r="R449" s="81" t="s">
        <v>1</v>
      </c>
      <c r="S449" s="81" t="s">
        <v>1</v>
      </c>
      <c r="T449" s="81" t="s">
        <v>1</v>
      </c>
      <c r="U449" s="81" t="s">
        <v>1</v>
      </c>
      <c r="V449" s="81" t="s">
        <v>1</v>
      </c>
      <c r="W449" s="81" t="s">
        <v>1</v>
      </c>
      <c r="X449" s="81" t="s">
        <v>1</v>
      </c>
      <c r="Y449" s="81" t="s">
        <v>1</v>
      </c>
      <c r="Z449" s="81" t="s">
        <v>1</v>
      </c>
      <c r="AA449" s="81" t="s">
        <v>1</v>
      </c>
      <c r="AB449" s="250" t="s">
        <v>6627</v>
      </c>
      <c r="AC449" s="250" t="s">
        <v>6630</v>
      </c>
      <c r="AD449" s="250" t="s">
        <v>6637</v>
      </c>
      <c r="AE449" s="250"/>
    </row>
    <row r="450" spans="2:33" x14ac:dyDescent="0.2">
      <c r="B450" s="73" t="s">
        <v>2154</v>
      </c>
      <c r="C450" s="74" t="s">
        <v>2153</v>
      </c>
      <c r="D450" s="75" t="s">
        <v>1</v>
      </c>
      <c r="E450" s="81" t="s">
        <v>1</v>
      </c>
      <c r="F450" s="75" t="s">
        <v>1</v>
      </c>
      <c r="H450" s="75" t="s">
        <v>1</v>
      </c>
      <c r="I450" s="73" t="s">
        <v>2152</v>
      </c>
      <c r="J450" s="73" t="s">
        <v>2151</v>
      </c>
      <c r="K450" s="73" t="s">
        <v>2048</v>
      </c>
      <c r="L450" s="73" t="s">
        <v>2126</v>
      </c>
      <c r="M450" s="76" t="s">
        <v>2150</v>
      </c>
      <c r="N450" s="73" t="s">
        <v>2149</v>
      </c>
      <c r="O450" s="88" t="s">
        <v>1</v>
      </c>
      <c r="P450" s="88" t="s">
        <v>1</v>
      </c>
      <c r="Q450" s="88" t="s">
        <v>1</v>
      </c>
      <c r="R450" s="88" t="s">
        <v>1</v>
      </c>
      <c r="S450" s="88" t="s">
        <v>1</v>
      </c>
      <c r="T450" s="88" t="s">
        <v>1</v>
      </c>
      <c r="U450" s="88" t="s">
        <v>1</v>
      </c>
      <c r="V450" s="88" t="s">
        <v>1</v>
      </c>
      <c r="W450" s="88" t="s">
        <v>1</v>
      </c>
      <c r="X450" s="88" t="s">
        <v>1</v>
      </c>
      <c r="Y450" s="88" t="s">
        <v>1</v>
      </c>
      <c r="Z450" s="88" t="s">
        <v>1</v>
      </c>
      <c r="AA450" s="88" t="s">
        <v>1</v>
      </c>
      <c r="AB450" s="250" t="s">
        <v>6651</v>
      </c>
      <c r="AD450" s="250" t="s">
        <v>2148</v>
      </c>
      <c r="AE450" s="250"/>
    </row>
    <row r="451" spans="2:33" ht="15" customHeight="1" x14ac:dyDescent="0.2">
      <c r="B451" s="73" t="s">
        <v>2022</v>
      </c>
      <c r="C451" s="193" t="s">
        <v>2141</v>
      </c>
      <c r="D451" s="75">
        <v>30</v>
      </c>
      <c r="E451" s="184" t="s">
        <v>4</v>
      </c>
      <c r="F451" s="75">
        <v>5</v>
      </c>
      <c r="G451" s="75">
        <f>F451+Companies!Q451</f>
        <v>6.5</v>
      </c>
      <c r="H451" s="78">
        <v>44266</v>
      </c>
      <c r="I451" s="184" t="s">
        <v>7066</v>
      </c>
      <c r="J451" s="184" t="s">
        <v>7067</v>
      </c>
      <c r="K451" s="184" t="s">
        <v>2048</v>
      </c>
      <c r="L451" s="184" t="s">
        <v>2258</v>
      </c>
      <c r="M451" s="73">
        <v>2017</v>
      </c>
      <c r="O451" s="184" t="s">
        <v>7064</v>
      </c>
      <c r="P451" s="187" t="s">
        <v>4</v>
      </c>
      <c r="Q451" s="77">
        <v>1.5</v>
      </c>
      <c r="R451" s="184" t="s">
        <v>7064</v>
      </c>
      <c r="S451" s="187" t="s">
        <v>278</v>
      </c>
      <c r="T451" s="187" t="s">
        <v>1</v>
      </c>
      <c r="U451" s="187" t="s">
        <v>7065</v>
      </c>
      <c r="V451" s="187" t="s">
        <v>1</v>
      </c>
      <c r="W451" s="187" t="s">
        <v>1</v>
      </c>
      <c r="X451" s="187" t="s">
        <v>1</v>
      </c>
      <c r="Y451" s="187" t="s">
        <v>1</v>
      </c>
      <c r="Z451" s="187" t="s">
        <v>1</v>
      </c>
      <c r="AA451" s="187" t="s">
        <v>1</v>
      </c>
      <c r="AB451" s="184" t="s">
        <v>6653</v>
      </c>
      <c r="AC451" s="184" t="s">
        <v>3699</v>
      </c>
      <c r="AD451" s="184" t="s">
        <v>2333</v>
      </c>
      <c r="AE451" s="25" t="s">
        <v>7059</v>
      </c>
    </row>
    <row r="452" spans="2:33" x14ac:dyDescent="0.2">
      <c r="B452" s="73" t="s">
        <v>2147</v>
      </c>
      <c r="C452" s="74" t="s">
        <v>2141</v>
      </c>
      <c r="E452" s="77"/>
      <c r="I452" s="73" t="s">
        <v>2146</v>
      </c>
      <c r="J452" s="73" t="s">
        <v>1</v>
      </c>
      <c r="K452" s="73" t="s">
        <v>2048</v>
      </c>
      <c r="L452" s="73" t="s">
        <v>2145</v>
      </c>
      <c r="M452" s="73">
        <v>1995</v>
      </c>
      <c r="AE452" s="250"/>
    </row>
    <row r="453" spans="2:33" ht="12.75" customHeight="1" x14ac:dyDescent="0.2">
      <c r="B453" s="73" t="s">
        <v>2144</v>
      </c>
      <c r="C453" s="74" t="s">
        <v>2141</v>
      </c>
      <c r="D453" s="75" t="s">
        <v>1</v>
      </c>
      <c r="E453" s="75" t="s">
        <v>1</v>
      </c>
      <c r="F453" s="75" t="s">
        <v>1</v>
      </c>
      <c r="H453" s="75" t="s">
        <v>1</v>
      </c>
      <c r="I453" s="73" t="s">
        <v>2143</v>
      </c>
      <c r="J453" s="73" t="s">
        <v>1</v>
      </c>
      <c r="K453" s="73" t="s">
        <v>1</v>
      </c>
      <c r="L453" s="73" t="s">
        <v>1</v>
      </c>
      <c r="O453" s="73" t="s">
        <v>1</v>
      </c>
      <c r="P453" s="73" t="s">
        <v>1</v>
      </c>
      <c r="Q453" s="73" t="s">
        <v>1</v>
      </c>
      <c r="R453" s="73" t="s">
        <v>1</v>
      </c>
      <c r="S453" s="73" t="s">
        <v>1</v>
      </c>
      <c r="T453" s="73" t="s">
        <v>1</v>
      </c>
      <c r="U453" s="73" t="s">
        <v>1</v>
      </c>
      <c r="V453" s="73" t="s">
        <v>1</v>
      </c>
      <c r="W453" s="73" t="s">
        <v>1</v>
      </c>
      <c r="X453" s="73" t="s">
        <v>1</v>
      </c>
      <c r="Y453" s="73" t="s">
        <v>1</v>
      </c>
      <c r="Z453" s="73" t="s">
        <v>1</v>
      </c>
      <c r="AA453" s="73" t="s">
        <v>1</v>
      </c>
      <c r="AB453" s="73" t="s">
        <v>1</v>
      </c>
      <c r="AE453" s="250"/>
    </row>
    <row r="454" spans="2:33" x14ac:dyDescent="0.2">
      <c r="B454" s="73" t="s">
        <v>2142</v>
      </c>
      <c r="C454" s="74" t="s">
        <v>2141</v>
      </c>
      <c r="D454" s="75">
        <v>50</v>
      </c>
      <c r="E454" s="73" t="s">
        <v>5</v>
      </c>
      <c r="F454" s="75">
        <v>18</v>
      </c>
      <c r="H454" s="78">
        <v>43510</v>
      </c>
      <c r="J454" s="73" t="s">
        <v>1</v>
      </c>
      <c r="K454" s="73" t="s">
        <v>2048</v>
      </c>
      <c r="M454" s="73">
        <v>2004</v>
      </c>
      <c r="O454" s="73" t="s">
        <v>2140</v>
      </c>
      <c r="P454" s="73" t="s">
        <v>4</v>
      </c>
      <c r="Q454" s="77">
        <v>3.4</v>
      </c>
      <c r="R454" s="73" t="s">
        <v>626</v>
      </c>
      <c r="S454" s="73" t="s">
        <v>1</v>
      </c>
      <c r="T454" s="73" t="s">
        <v>1</v>
      </c>
      <c r="U454" s="73" t="s">
        <v>1</v>
      </c>
      <c r="V454" s="73" t="s">
        <v>1</v>
      </c>
      <c r="W454" s="73" t="s">
        <v>1</v>
      </c>
      <c r="X454" s="73" t="s">
        <v>1</v>
      </c>
      <c r="Y454" s="73" t="s">
        <v>1</v>
      </c>
      <c r="Z454" s="73" t="s">
        <v>1</v>
      </c>
      <c r="AA454" s="73" t="s">
        <v>1</v>
      </c>
      <c r="AB454" s="73" t="s">
        <v>2139</v>
      </c>
      <c r="AE454" s="250"/>
    </row>
    <row r="455" spans="2:33" x14ac:dyDescent="0.2">
      <c r="B455" s="73" t="s">
        <v>4361</v>
      </c>
      <c r="C455" s="74" t="s">
        <v>2153</v>
      </c>
      <c r="D455" s="75">
        <v>4900</v>
      </c>
      <c r="F455" s="75">
        <v>2600</v>
      </c>
      <c r="H455" s="78"/>
      <c r="O455" s="73" t="s">
        <v>4362</v>
      </c>
      <c r="P455" s="73"/>
      <c r="R455" s="73"/>
      <c r="S455" s="73"/>
      <c r="T455" s="73"/>
      <c r="U455" s="73"/>
      <c r="V455" s="73"/>
      <c r="W455" s="73"/>
      <c r="X455" s="73"/>
      <c r="Y455" s="73"/>
      <c r="Z455" s="73"/>
      <c r="AA455" s="73"/>
      <c r="AE455" s="250"/>
    </row>
    <row r="456" spans="2:33" s="160" customFormat="1" x14ac:dyDescent="0.2">
      <c r="B456" s="160" t="s">
        <v>2043</v>
      </c>
      <c r="C456" s="165" t="s">
        <v>2141</v>
      </c>
      <c r="D456" s="162"/>
      <c r="F456" s="162"/>
      <c r="G456" s="162"/>
      <c r="H456" s="161"/>
      <c r="I456" s="160" t="s">
        <v>6408</v>
      </c>
      <c r="N456" s="160" t="s">
        <v>6407</v>
      </c>
      <c r="P456" s="164"/>
      <c r="Q456" s="164"/>
      <c r="R456" s="164"/>
      <c r="S456" s="164"/>
      <c r="T456" s="164"/>
      <c r="U456" s="164"/>
      <c r="V456" s="164"/>
      <c r="W456" s="164"/>
      <c r="X456" s="164"/>
      <c r="Y456" s="164"/>
      <c r="Z456" s="164"/>
      <c r="AA456" s="164"/>
      <c r="AE456" s="25" t="s">
        <v>6406</v>
      </c>
      <c r="AF456" s="63"/>
      <c r="AG456" s="58"/>
    </row>
    <row r="457" spans="2:33" s="160" customFormat="1" x14ac:dyDescent="0.2">
      <c r="B457" s="160" t="s">
        <v>2039</v>
      </c>
      <c r="C457" s="165" t="s">
        <v>2141</v>
      </c>
      <c r="D457" s="162">
        <v>100</v>
      </c>
      <c r="E457" s="160" t="s">
        <v>7</v>
      </c>
      <c r="F457" s="162">
        <v>25</v>
      </c>
      <c r="G457" s="162"/>
      <c r="H457" s="163">
        <v>43528</v>
      </c>
      <c r="I457" s="160" t="s">
        <v>4294</v>
      </c>
      <c r="J457" s="160" t="s">
        <v>6440</v>
      </c>
      <c r="K457" s="160" t="s">
        <v>2048</v>
      </c>
      <c r="L457" s="160" t="s">
        <v>6441</v>
      </c>
      <c r="M457" s="166">
        <v>42917</v>
      </c>
      <c r="N457" s="160" t="s">
        <v>6442</v>
      </c>
      <c r="O457" s="160" t="s">
        <v>6443</v>
      </c>
      <c r="P457" s="164" t="s">
        <v>5</v>
      </c>
      <c r="Q457" s="164">
        <v>7.3</v>
      </c>
      <c r="R457" s="164" t="s">
        <v>6445</v>
      </c>
      <c r="S457" s="164" t="s">
        <v>1</v>
      </c>
      <c r="T457" s="164" t="s">
        <v>1</v>
      </c>
      <c r="U457" s="164" t="s">
        <v>1</v>
      </c>
      <c r="V457" s="164" t="s">
        <v>1</v>
      </c>
      <c r="W457" s="164" t="s">
        <v>1</v>
      </c>
      <c r="X457" s="164" t="s">
        <v>1</v>
      </c>
      <c r="Y457" s="164" t="s">
        <v>1</v>
      </c>
      <c r="Z457" s="164" t="s">
        <v>1</v>
      </c>
      <c r="AA457" s="164" t="s">
        <v>1</v>
      </c>
      <c r="AB457" s="173" t="s">
        <v>6627</v>
      </c>
      <c r="AC457" s="173" t="s">
        <v>6630</v>
      </c>
      <c r="AD457" s="173" t="s">
        <v>2365</v>
      </c>
      <c r="AE457" s="25" t="s">
        <v>6411</v>
      </c>
      <c r="AF457" s="63"/>
      <c r="AG457" s="58"/>
    </row>
    <row r="458" spans="2:33" x14ac:dyDescent="0.2">
      <c r="B458" s="92" t="s">
        <v>5423</v>
      </c>
      <c r="C458" s="97" t="s">
        <v>2141</v>
      </c>
      <c r="H458" s="78"/>
      <c r="P458" s="73"/>
      <c r="R458" s="73"/>
      <c r="S458" s="73"/>
      <c r="T458" s="73"/>
      <c r="U458" s="73"/>
      <c r="V458" s="73"/>
      <c r="W458" s="73"/>
      <c r="X458" s="73"/>
      <c r="Y458" s="73"/>
      <c r="Z458" s="73"/>
      <c r="AA458" s="73"/>
      <c r="AE458" s="250"/>
    </row>
    <row r="459" spans="2:33" x14ac:dyDescent="0.2">
      <c r="B459" s="250" t="s">
        <v>7481</v>
      </c>
      <c r="C459" s="249" t="s">
        <v>2141</v>
      </c>
      <c r="D459" s="73"/>
      <c r="F459" s="73"/>
      <c r="G459" s="73"/>
      <c r="H459" s="73"/>
      <c r="I459" s="250" t="s">
        <v>7483</v>
      </c>
      <c r="P459" s="73"/>
      <c r="Q459" s="73"/>
      <c r="R459" s="73"/>
      <c r="S459" s="73"/>
      <c r="T459" s="73"/>
      <c r="U459" s="73"/>
      <c r="V459" s="73"/>
      <c r="W459" s="73"/>
      <c r="X459" s="73"/>
      <c r="Y459" s="73"/>
      <c r="Z459" s="73"/>
      <c r="AA459" s="73"/>
      <c r="AE459" s="250"/>
      <c r="AF459" s="73"/>
      <c r="AG459" s="73"/>
    </row>
    <row r="460" spans="2:33" x14ac:dyDescent="0.2">
      <c r="H460" s="78"/>
      <c r="AE460" s="25"/>
      <c r="AF460" s="64"/>
      <c r="AG460" s="59"/>
    </row>
    <row r="461" spans="2:33" x14ac:dyDescent="0.2">
      <c r="B461" s="26" t="s">
        <v>2138</v>
      </c>
      <c r="AB461" s="173"/>
      <c r="AC461" s="173"/>
      <c r="AD461" s="173"/>
      <c r="AE461" s="250"/>
      <c r="AF461" s="64"/>
      <c r="AG461" s="59"/>
    </row>
    <row r="462" spans="2:33" x14ac:dyDescent="0.2">
      <c r="B462" s="12" t="s">
        <v>2006</v>
      </c>
      <c r="C462" s="73"/>
      <c r="D462" s="73"/>
      <c r="F462" s="73"/>
      <c r="G462" s="73"/>
      <c r="H462" s="73"/>
      <c r="P462" s="73"/>
      <c r="Q462" s="73"/>
      <c r="R462" s="73"/>
      <c r="S462" s="73"/>
      <c r="T462" s="73"/>
      <c r="U462" s="73"/>
      <c r="V462" s="73"/>
      <c r="W462" s="73"/>
      <c r="X462" s="73"/>
      <c r="Y462" s="73"/>
      <c r="Z462" s="73"/>
      <c r="AA462" s="73"/>
      <c r="AF462" s="73"/>
      <c r="AG462" s="73"/>
    </row>
    <row r="463" spans="2:33" x14ac:dyDescent="0.2">
      <c r="B463" s="73" t="s">
        <v>2005</v>
      </c>
      <c r="C463" s="73"/>
      <c r="D463" s="73"/>
      <c r="F463" s="73"/>
      <c r="G463" s="73"/>
      <c r="H463" s="73"/>
      <c r="P463" s="73"/>
      <c r="Q463" s="73"/>
      <c r="R463" s="73"/>
      <c r="S463" s="73"/>
      <c r="T463" s="73"/>
      <c r="U463" s="73"/>
      <c r="V463" s="73"/>
      <c r="W463" s="73"/>
      <c r="X463" s="73"/>
      <c r="Y463" s="73"/>
      <c r="Z463" s="73"/>
      <c r="AA463" s="73"/>
      <c r="AF463" s="73"/>
      <c r="AG463" s="73"/>
    </row>
    <row r="464" spans="2:33" x14ac:dyDescent="0.2">
      <c r="B464" s="73" t="s">
        <v>2004</v>
      </c>
      <c r="C464" s="73"/>
      <c r="D464" s="73"/>
      <c r="F464" s="73"/>
      <c r="G464" s="73"/>
      <c r="H464" s="73"/>
      <c r="P464" s="73"/>
      <c r="Q464" s="73"/>
      <c r="R464" s="73"/>
      <c r="S464" s="73"/>
      <c r="T464" s="73"/>
      <c r="U464" s="73"/>
      <c r="V464" s="73"/>
      <c r="W464" s="73"/>
      <c r="X464" s="73"/>
      <c r="Y464" s="73"/>
      <c r="Z464" s="73"/>
      <c r="AA464" s="73"/>
      <c r="AF464" s="73"/>
      <c r="AG464" s="73"/>
    </row>
    <row r="465" spans="2:33" x14ac:dyDescent="0.2">
      <c r="B465" s="73" t="s">
        <v>2003</v>
      </c>
      <c r="P465" s="73"/>
      <c r="Q465" s="73"/>
      <c r="R465" s="73"/>
      <c r="S465" s="73"/>
      <c r="T465" s="73"/>
      <c r="U465" s="73"/>
      <c r="V465" s="73"/>
      <c r="W465" s="73"/>
      <c r="X465" s="73"/>
      <c r="Y465" s="73"/>
      <c r="Z465" s="73"/>
      <c r="AA465" s="73"/>
      <c r="AF465" s="73"/>
      <c r="AG465" s="73"/>
    </row>
    <row r="466" spans="2:33" x14ac:dyDescent="0.2">
      <c r="B466" s="73" t="s">
        <v>2002</v>
      </c>
      <c r="P466" s="73"/>
      <c r="Q466" s="73"/>
      <c r="R466" s="73"/>
      <c r="S466" s="73"/>
      <c r="T466" s="73"/>
      <c r="U466" s="73"/>
      <c r="V466" s="73"/>
      <c r="W466" s="73"/>
      <c r="X466" s="73"/>
      <c r="Y466" s="73"/>
      <c r="Z466" s="73"/>
      <c r="AA466" s="73"/>
      <c r="AF466" s="73"/>
      <c r="AG466" s="73"/>
    </row>
    <row r="467" spans="2:33" x14ac:dyDescent="0.2">
      <c r="B467" s="73" t="s">
        <v>1575</v>
      </c>
      <c r="P467" s="73"/>
      <c r="Q467" s="73"/>
      <c r="R467" s="73"/>
      <c r="S467" s="73"/>
      <c r="T467" s="73"/>
      <c r="U467" s="73"/>
      <c r="V467" s="73"/>
      <c r="W467" s="73"/>
      <c r="X467" s="73"/>
      <c r="Y467" s="73"/>
      <c r="Z467" s="73"/>
      <c r="AA467" s="73"/>
      <c r="AF467" s="73"/>
      <c r="AG467" s="73"/>
    </row>
    <row r="468" spans="2:33" x14ac:dyDescent="0.2">
      <c r="B468" s="73" t="s">
        <v>2001</v>
      </c>
      <c r="N468" s="73" t="s">
        <v>1900</v>
      </c>
      <c r="P468" s="73"/>
      <c r="Q468" s="73"/>
      <c r="R468" s="73"/>
      <c r="S468" s="73"/>
      <c r="T468" s="73"/>
      <c r="U468" s="73"/>
      <c r="V468" s="73"/>
      <c r="W468" s="73"/>
      <c r="X468" s="73"/>
      <c r="Y468" s="73"/>
      <c r="Z468" s="73"/>
      <c r="AA468" s="73"/>
      <c r="AF468" s="73"/>
      <c r="AG468" s="73"/>
    </row>
    <row r="469" spans="2:33" x14ac:dyDescent="0.2">
      <c r="B469" s="12" t="s">
        <v>2000</v>
      </c>
      <c r="P469" s="73"/>
      <c r="Q469" s="73"/>
      <c r="R469" s="73"/>
      <c r="S469" s="73"/>
      <c r="T469" s="73"/>
      <c r="U469" s="73"/>
      <c r="V469" s="73"/>
      <c r="W469" s="73"/>
      <c r="X469" s="73"/>
      <c r="Y469" s="73"/>
      <c r="Z469" s="73"/>
      <c r="AA469" s="73"/>
      <c r="AF469" s="73"/>
      <c r="AG469" s="73"/>
    </row>
    <row r="470" spans="2:33" x14ac:dyDescent="0.2">
      <c r="B470" s="73" t="s">
        <v>1999</v>
      </c>
      <c r="P470" s="73"/>
      <c r="Q470" s="73"/>
      <c r="R470" s="73"/>
      <c r="S470" s="73"/>
      <c r="T470" s="73"/>
      <c r="U470" s="73"/>
      <c r="V470" s="73"/>
      <c r="W470" s="73"/>
      <c r="X470" s="73"/>
      <c r="Y470" s="73"/>
      <c r="Z470" s="73"/>
      <c r="AA470" s="73"/>
      <c r="AF470" s="73"/>
      <c r="AG470" s="73"/>
    </row>
    <row r="471" spans="2:33" x14ac:dyDescent="0.2">
      <c r="B471" s="73" t="s">
        <v>1998</v>
      </c>
      <c r="P471" s="73"/>
      <c r="Q471" s="73"/>
      <c r="R471" s="73"/>
      <c r="S471" s="73"/>
      <c r="T471" s="73"/>
      <c r="U471" s="73"/>
      <c r="V471" s="73"/>
      <c r="W471" s="73"/>
      <c r="X471" s="73"/>
      <c r="Y471" s="73"/>
      <c r="Z471" s="73"/>
      <c r="AA471" s="73"/>
      <c r="AF471" s="73"/>
      <c r="AG471" s="73"/>
    </row>
    <row r="472" spans="2:33" x14ac:dyDescent="0.2">
      <c r="B472" s="73" t="s">
        <v>1997</v>
      </c>
      <c r="P472" s="73"/>
      <c r="Q472" s="73"/>
      <c r="R472" s="73"/>
      <c r="S472" s="73"/>
      <c r="T472" s="73"/>
      <c r="U472" s="73"/>
      <c r="V472" s="73"/>
      <c r="W472" s="73"/>
      <c r="X472" s="73"/>
      <c r="Y472" s="73"/>
      <c r="Z472" s="73"/>
      <c r="AA472" s="73"/>
      <c r="AF472" s="73"/>
      <c r="AG472" s="73"/>
    </row>
    <row r="473" spans="2:33" x14ac:dyDescent="0.2">
      <c r="B473" s="73" t="s">
        <v>1996</v>
      </c>
      <c r="P473" s="73"/>
      <c r="Q473" s="73"/>
      <c r="R473" s="73"/>
      <c r="S473" s="73"/>
      <c r="T473" s="73"/>
      <c r="U473" s="73"/>
      <c r="V473" s="73"/>
      <c r="W473" s="73"/>
      <c r="X473" s="73"/>
      <c r="Y473" s="73"/>
      <c r="Z473" s="73"/>
      <c r="AA473" s="73"/>
      <c r="AF473" s="73"/>
      <c r="AG473" s="73"/>
    </row>
    <row r="474" spans="2:33" x14ac:dyDescent="0.2">
      <c r="B474" s="73" t="s">
        <v>1995</v>
      </c>
      <c r="P474" s="73"/>
      <c r="Q474" s="73"/>
      <c r="R474" s="73"/>
      <c r="S474" s="73"/>
      <c r="T474" s="73"/>
      <c r="U474" s="73"/>
      <c r="V474" s="73"/>
      <c r="W474" s="73"/>
      <c r="X474" s="73"/>
      <c r="Y474" s="73"/>
      <c r="Z474" s="73"/>
      <c r="AA474" s="73"/>
      <c r="AF474" s="73"/>
      <c r="AG474" s="73"/>
    </row>
    <row r="475" spans="2:33" x14ac:dyDescent="0.2">
      <c r="B475" s="73" t="s">
        <v>1994</v>
      </c>
      <c r="P475" s="73"/>
      <c r="Q475" s="73"/>
      <c r="R475" s="73"/>
      <c r="S475" s="73"/>
      <c r="T475" s="73"/>
      <c r="U475" s="73"/>
      <c r="V475" s="73"/>
      <c r="W475" s="73"/>
      <c r="X475" s="73"/>
      <c r="Y475" s="73"/>
      <c r="Z475" s="73"/>
      <c r="AA475" s="73"/>
      <c r="AF475" s="73"/>
      <c r="AG475" s="73"/>
    </row>
    <row r="476" spans="2:33" x14ac:dyDescent="0.2">
      <c r="B476" s="73" t="s">
        <v>1993</v>
      </c>
      <c r="P476" s="73"/>
      <c r="Q476" s="73"/>
      <c r="R476" s="73"/>
      <c r="S476" s="73"/>
      <c r="T476" s="73"/>
      <c r="U476" s="73"/>
      <c r="V476" s="73"/>
      <c r="W476" s="73"/>
      <c r="X476" s="73"/>
      <c r="Y476" s="73"/>
      <c r="Z476" s="73"/>
      <c r="AA476" s="73"/>
      <c r="AF476" s="73"/>
      <c r="AG476" s="73"/>
    </row>
    <row r="477" spans="2:33" x14ac:dyDescent="0.2">
      <c r="B477" s="73" t="s">
        <v>1992</v>
      </c>
      <c r="N477" s="73" t="s">
        <v>1900</v>
      </c>
      <c r="P477" s="73"/>
      <c r="Q477" s="73"/>
      <c r="R477" s="73"/>
      <c r="S477" s="73"/>
      <c r="T477" s="73"/>
      <c r="U477" s="73"/>
      <c r="V477" s="73"/>
      <c r="W477" s="73"/>
      <c r="X477" s="73"/>
      <c r="Y477" s="73"/>
      <c r="Z477" s="73"/>
      <c r="AA477" s="73"/>
      <c r="AF477" s="73"/>
      <c r="AG477" s="73"/>
    </row>
    <row r="478" spans="2:33" x14ac:dyDescent="0.2">
      <c r="B478" s="73" t="s">
        <v>1991</v>
      </c>
      <c r="P478" s="73"/>
      <c r="Q478" s="73"/>
      <c r="R478" s="73"/>
      <c r="S478" s="73"/>
      <c r="T478" s="73"/>
      <c r="U478" s="73"/>
      <c r="V478" s="73"/>
      <c r="W478" s="73"/>
      <c r="X478" s="73"/>
      <c r="Y478" s="73"/>
      <c r="Z478" s="73"/>
      <c r="AA478" s="73"/>
      <c r="AF478" s="73"/>
      <c r="AG478" s="73"/>
    </row>
    <row r="479" spans="2:33" x14ac:dyDescent="0.2">
      <c r="B479" s="73" t="s">
        <v>1990</v>
      </c>
      <c r="P479" s="73"/>
      <c r="Q479" s="73"/>
      <c r="R479" s="73"/>
      <c r="S479" s="73"/>
      <c r="T479" s="73"/>
      <c r="U479" s="73"/>
      <c r="V479" s="73"/>
      <c r="W479" s="73"/>
      <c r="X479" s="73"/>
      <c r="Y479" s="73"/>
      <c r="Z479" s="73"/>
      <c r="AA479" s="73"/>
      <c r="AF479" s="73"/>
      <c r="AG479" s="73"/>
    </row>
    <row r="480" spans="2:33" x14ac:dyDescent="0.2">
      <c r="B480" s="73" t="s">
        <v>1989</v>
      </c>
      <c r="P480" s="73"/>
      <c r="Q480" s="73"/>
      <c r="R480" s="73"/>
      <c r="S480" s="73"/>
      <c r="T480" s="73"/>
      <c r="U480" s="73"/>
      <c r="V480" s="73"/>
      <c r="W480" s="73"/>
      <c r="X480" s="73"/>
      <c r="Y480" s="73"/>
      <c r="Z480" s="73"/>
      <c r="AA480" s="73"/>
      <c r="AF480" s="73"/>
      <c r="AG480" s="73"/>
    </row>
    <row r="481" spans="2:33" x14ac:dyDescent="0.2">
      <c r="B481" s="73" t="s">
        <v>1988</v>
      </c>
      <c r="C481" s="73"/>
      <c r="D481" s="73"/>
      <c r="F481" s="73"/>
      <c r="G481" s="73"/>
      <c r="H481" s="73"/>
      <c r="P481" s="73"/>
      <c r="Q481" s="73"/>
      <c r="R481" s="73"/>
      <c r="S481" s="73"/>
      <c r="T481" s="73"/>
      <c r="U481" s="73"/>
      <c r="V481" s="73"/>
      <c r="W481" s="73"/>
      <c r="X481" s="73"/>
      <c r="Y481" s="73"/>
      <c r="Z481" s="73"/>
      <c r="AA481" s="73"/>
      <c r="AF481" s="73"/>
      <c r="AG481" s="73"/>
    </row>
    <row r="482" spans="2:33" x14ac:dyDescent="0.2">
      <c r="B482" s="73" t="s">
        <v>1987</v>
      </c>
      <c r="C482" s="73"/>
      <c r="D482" s="73"/>
      <c r="F482" s="73"/>
      <c r="G482" s="73"/>
      <c r="H482" s="73"/>
      <c r="P482" s="73"/>
      <c r="Q482" s="73"/>
      <c r="R482" s="73"/>
      <c r="S482" s="73"/>
      <c r="T482" s="73"/>
      <c r="U482" s="73"/>
      <c r="V482" s="73"/>
      <c r="W482" s="73"/>
      <c r="X482" s="73"/>
      <c r="Y482" s="73"/>
      <c r="Z482" s="73"/>
      <c r="AA482" s="73"/>
      <c r="AF482" s="73"/>
      <c r="AG482" s="73"/>
    </row>
    <row r="483" spans="2:33" x14ac:dyDescent="0.2">
      <c r="B483" s="73" t="s">
        <v>1986</v>
      </c>
      <c r="C483" s="73"/>
      <c r="D483" s="73"/>
      <c r="F483" s="73"/>
      <c r="G483" s="73"/>
      <c r="H483" s="73"/>
      <c r="P483" s="73"/>
      <c r="Q483" s="73"/>
      <c r="R483" s="73"/>
      <c r="S483" s="73"/>
      <c r="T483" s="73"/>
      <c r="U483" s="73"/>
      <c r="V483" s="73"/>
      <c r="W483" s="73"/>
      <c r="X483" s="73"/>
      <c r="Y483" s="73"/>
      <c r="Z483" s="73"/>
      <c r="AA483" s="73"/>
      <c r="AF483" s="73"/>
      <c r="AG483" s="73"/>
    </row>
    <row r="484" spans="2:33" x14ac:dyDescent="0.2">
      <c r="B484" s="73" t="s">
        <v>1985</v>
      </c>
      <c r="C484" s="73"/>
      <c r="D484" s="73"/>
      <c r="F484" s="73"/>
      <c r="G484" s="73"/>
      <c r="H484" s="73"/>
      <c r="P484" s="73"/>
      <c r="Q484" s="73"/>
      <c r="R484" s="73"/>
      <c r="S484" s="73"/>
      <c r="T484" s="73"/>
      <c r="U484" s="73"/>
      <c r="V484" s="73"/>
      <c r="W484" s="73"/>
      <c r="X484" s="73"/>
      <c r="Y484" s="73"/>
      <c r="Z484" s="73"/>
      <c r="AA484" s="73"/>
      <c r="AF484" s="73"/>
      <c r="AG484" s="73"/>
    </row>
    <row r="485" spans="2:33" x14ac:dyDescent="0.2">
      <c r="B485" s="73" t="s">
        <v>1984</v>
      </c>
      <c r="C485" s="73"/>
      <c r="D485" s="73"/>
      <c r="F485" s="73"/>
      <c r="G485" s="73"/>
      <c r="H485" s="73"/>
      <c r="P485" s="73"/>
      <c r="Q485" s="73"/>
      <c r="R485" s="73"/>
      <c r="S485" s="73"/>
      <c r="T485" s="73"/>
      <c r="U485" s="73"/>
      <c r="V485" s="73"/>
      <c r="W485" s="73"/>
      <c r="X485" s="73"/>
      <c r="Y485" s="73"/>
      <c r="Z485" s="73"/>
      <c r="AA485" s="73"/>
      <c r="AF485" s="73"/>
      <c r="AG485" s="73"/>
    </row>
    <row r="486" spans="2:33" x14ac:dyDescent="0.2">
      <c r="B486" s="73" t="s">
        <v>1983</v>
      </c>
      <c r="C486" s="73"/>
      <c r="D486" s="73"/>
      <c r="F486" s="73"/>
      <c r="G486" s="73"/>
      <c r="H486" s="73"/>
      <c r="P486" s="73"/>
      <c r="Q486" s="73"/>
      <c r="R486" s="73"/>
      <c r="S486" s="73"/>
      <c r="T486" s="73"/>
      <c r="U486" s="73"/>
      <c r="V486" s="73"/>
      <c r="W486" s="73"/>
      <c r="X486" s="73"/>
      <c r="Y486" s="73"/>
      <c r="Z486" s="73"/>
      <c r="AA486" s="73"/>
      <c r="AF486" s="73"/>
      <c r="AG486" s="73"/>
    </row>
    <row r="487" spans="2:33" x14ac:dyDescent="0.2">
      <c r="B487" s="73" t="s">
        <v>1982</v>
      </c>
      <c r="C487" s="73"/>
      <c r="D487" s="73"/>
      <c r="F487" s="73"/>
      <c r="G487" s="73"/>
      <c r="H487" s="73"/>
      <c r="P487" s="73"/>
      <c r="Q487" s="73"/>
      <c r="R487" s="73"/>
      <c r="S487" s="73"/>
      <c r="T487" s="73"/>
      <c r="U487" s="73"/>
      <c r="V487" s="73"/>
      <c r="W487" s="73"/>
      <c r="X487" s="73"/>
      <c r="Y487" s="73"/>
      <c r="Z487" s="73"/>
      <c r="AA487" s="73"/>
      <c r="AF487" s="73"/>
      <c r="AG487" s="73"/>
    </row>
    <row r="488" spans="2:33" x14ac:dyDescent="0.2">
      <c r="B488" s="73" t="s">
        <v>1981</v>
      </c>
      <c r="C488" s="73"/>
      <c r="D488" s="73"/>
      <c r="F488" s="73"/>
      <c r="G488" s="73"/>
      <c r="H488" s="73"/>
      <c r="P488" s="73"/>
      <c r="Q488" s="73"/>
      <c r="R488" s="73"/>
      <c r="S488" s="73"/>
      <c r="T488" s="73"/>
      <c r="U488" s="73"/>
      <c r="V488" s="73"/>
      <c r="W488" s="73"/>
      <c r="X488" s="73"/>
      <c r="Y488" s="73"/>
      <c r="Z488" s="73"/>
      <c r="AA488" s="73"/>
      <c r="AF488" s="73"/>
      <c r="AG488" s="73"/>
    </row>
    <row r="489" spans="2:33" x14ac:dyDescent="0.2">
      <c r="B489" s="12" t="s">
        <v>1980</v>
      </c>
      <c r="C489" s="73"/>
      <c r="D489" s="73"/>
      <c r="F489" s="73"/>
      <c r="G489" s="73"/>
      <c r="H489" s="73"/>
      <c r="P489" s="73"/>
      <c r="Q489" s="73"/>
      <c r="R489" s="73"/>
      <c r="S489" s="73"/>
      <c r="T489" s="73"/>
      <c r="U489" s="73"/>
      <c r="V489" s="73"/>
      <c r="W489" s="73"/>
      <c r="X489" s="73"/>
      <c r="Y489" s="73"/>
      <c r="Z489" s="73"/>
      <c r="AA489" s="73"/>
      <c r="AF489" s="73"/>
      <c r="AG489" s="73"/>
    </row>
    <row r="490" spans="2:33" x14ac:dyDescent="0.2">
      <c r="B490" s="73" t="s">
        <v>1979</v>
      </c>
      <c r="C490" s="73"/>
      <c r="D490" s="73"/>
      <c r="F490" s="73"/>
      <c r="G490" s="73"/>
      <c r="H490" s="73"/>
      <c r="P490" s="73"/>
      <c r="Q490" s="73"/>
      <c r="R490" s="73"/>
      <c r="S490" s="73"/>
      <c r="T490" s="73"/>
      <c r="U490" s="73"/>
      <c r="V490" s="73"/>
      <c r="W490" s="73"/>
      <c r="X490" s="73"/>
      <c r="Y490" s="73"/>
      <c r="Z490" s="73"/>
      <c r="AA490" s="73"/>
      <c r="AF490" s="73"/>
      <c r="AG490" s="73"/>
    </row>
    <row r="491" spans="2:33" x14ac:dyDescent="0.2">
      <c r="B491" s="73" t="s">
        <v>1978</v>
      </c>
      <c r="C491" s="73"/>
      <c r="D491" s="73"/>
      <c r="F491" s="73"/>
      <c r="G491" s="73"/>
      <c r="H491" s="73"/>
      <c r="P491" s="73"/>
      <c r="Q491" s="73"/>
      <c r="R491" s="73"/>
      <c r="S491" s="73"/>
      <c r="T491" s="73"/>
      <c r="U491" s="73"/>
      <c r="V491" s="73"/>
      <c r="W491" s="73"/>
      <c r="X491" s="73"/>
      <c r="Y491" s="73"/>
      <c r="Z491" s="73"/>
      <c r="AA491" s="73"/>
      <c r="AF491" s="73"/>
      <c r="AG491" s="73"/>
    </row>
    <row r="492" spans="2:33" x14ac:dyDescent="0.2">
      <c r="B492" s="73" t="s">
        <v>1977</v>
      </c>
      <c r="C492" s="73"/>
      <c r="D492" s="73"/>
      <c r="F492" s="73"/>
      <c r="G492" s="73"/>
      <c r="H492" s="73"/>
      <c r="P492" s="73"/>
      <c r="Q492" s="73"/>
      <c r="R492" s="73"/>
      <c r="S492" s="73"/>
      <c r="T492" s="73"/>
      <c r="U492" s="73"/>
      <c r="V492" s="73"/>
      <c r="W492" s="73"/>
      <c r="X492" s="73"/>
      <c r="Y492" s="73"/>
      <c r="Z492" s="73"/>
      <c r="AA492" s="73"/>
      <c r="AF492" s="73"/>
      <c r="AG492" s="73"/>
    </row>
    <row r="493" spans="2:33" x14ac:dyDescent="0.2">
      <c r="B493" s="250" t="s">
        <v>7482</v>
      </c>
      <c r="C493" s="73"/>
      <c r="D493" s="73"/>
      <c r="F493" s="73"/>
      <c r="G493" s="73"/>
      <c r="H493" s="73"/>
      <c r="P493" s="73"/>
      <c r="Q493" s="73"/>
      <c r="R493" s="73"/>
      <c r="S493" s="73"/>
      <c r="T493" s="73"/>
      <c r="U493" s="73"/>
      <c r="V493" s="73"/>
      <c r="W493" s="73"/>
      <c r="X493" s="73"/>
      <c r="Y493" s="73"/>
      <c r="Z493" s="73"/>
      <c r="AA493" s="73"/>
      <c r="AF493" s="73"/>
      <c r="AG493" s="73"/>
    </row>
    <row r="494" spans="2:33" x14ac:dyDescent="0.2">
      <c r="B494" s="73" t="s">
        <v>1976</v>
      </c>
      <c r="C494" s="73"/>
      <c r="D494" s="73"/>
      <c r="F494" s="73"/>
      <c r="G494" s="73"/>
      <c r="H494" s="73"/>
      <c r="P494" s="73"/>
      <c r="Q494" s="73"/>
      <c r="R494" s="73"/>
      <c r="S494" s="73"/>
      <c r="T494" s="73"/>
      <c r="U494" s="73"/>
      <c r="V494" s="73"/>
      <c r="W494" s="73"/>
      <c r="X494" s="73"/>
      <c r="Y494" s="73"/>
      <c r="Z494" s="73"/>
      <c r="AA494" s="73"/>
      <c r="AF494" s="73"/>
      <c r="AG494" s="73"/>
    </row>
    <row r="495" spans="2:33" x14ac:dyDescent="0.2">
      <c r="B495" s="73" t="s">
        <v>1975</v>
      </c>
      <c r="C495" s="73"/>
      <c r="D495" s="73"/>
      <c r="F495" s="73"/>
      <c r="G495" s="73"/>
      <c r="H495" s="73"/>
      <c r="P495" s="73"/>
      <c r="Q495" s="73"/>
      <c r="R495" s="73"/>
      <c r="S495" s="73"/>
      <c r="T495" s="73"/>
      <c r="U495" s="73"/>
      <c r="V495" s="73"/>
      <c r="W495" s="73"/>
      <c r="X495" s="73"/>
      <c r="Y495" s="73"/>
      <c r="Z495" s="73"/>
      <c r="AA495" s="73"/>
      <c r="AF495" s="73"/>
      <c r="AG495" s="73"/>
    </row>
    <row r="496" spans="2:33" x14ac:dyDescent="0.2">
      <c r="B496" s="73" t="s">
        <v>1974</v>
      </c>
      <c r="C496" s="73"/>
      <c r="D496" s="73"/>
      <c r="F496" s="73"/>
      <c r="G496" s="73"/>
      <c r="H496" s="73"/>
      <c r="P496" s="73"/>
      <c r="Q496" s="73"/>
      <c r="R496" s="73"/>
      <c r="S496" s="73"/>
      <c r="T496" s="73"/>
      <c r="U496" s="73"/>
      <c r="V496" s="73"/>
      <c r="W496" s="73"/>
      <c r="X496" s="73"/>
      <c r="Y496" s="73"/>
      <c r="Z496" s="73"/>
      <c r="AA496" s="73"/>
      <c r="AF496" s="73"/>
      <c r="AG496" s="73"/>
    </row>
    <row r="497" spans="2:33" x14ac:dyDescent="0.2">
      <c r="B497" s="73" t="s">
        <v>1973</v>
      </c>
      <c r="C497" s="73"/>
      <c r="D497" s="73"/>
      <c r="F497" s="73"/>
      <c r="G497" s="73"/>
      <c r="H497" s="73"/>
      <c r="P497" s="73"/>
      <c r="Q497" s="73"/>
      <c r="R497" s="73"/>
      <c r="S497" s="73"/>
      <c r="T497" s="73"/>
      <c r="U497" s="73"/>
      <c r="V497" s="73"/>
      <c r="W497" s="73"/>
      <c r="X497" s="73"/>
      <c r="Y497" s="73"/>
      <c r="Z497" s="73"/>
      <c r="AA497" s="73"/>
      <c r="AF497" s="73"/>
      <c r="AG497" s="73"/>
    </row>
    <row r="498" spans="2:33" x14ac:dyDescent="0.2">
      <c r="B498" s="73" t="s">
        <v>1972</v>
      </c>
      <c r="P498" s="73"/>
      <c r="Q498" s="73"/>
      <c r="R498" s="73"/>
      <c r="S498" s="73"/>
      <c r="T498" s="73"/>
      <c r="U498" s="73"/>
      <c r="V498" s="73"/>
      <c r="W498" s="73"/>
      <c r="X498" s="73"/>
      <c r="Y498" s="73"/>
      <c r="Z498" s="73"/>
      <c r="AA498" s="73"/>
      <c r="AF498" s="73"/>
      <c r="AG498" s="73"/>
    </row>
    <row r="499" spans="2:33" x14ac:dyDescent="0.2">
      <c r="B499" s="73" t="s">
        <v>1971</v>
      </c>
      <c r="P499" s="73"/>
      <c r="Q499" s="73"/>
      <c r="R499" s="73"/>
      <c r="S499" s="73"/>
      <c r="T499" s="73"/>
      <c r="U499" s="73"/>
      <c r="V499" s="73"/>
      <c r="W499" s="73"/>
      <c r="X499" s="73"/>
      <c r="Y499" s="73"/>
      <c r="Z499" s="73"/>
      <c r="AA499" s="73"/>
      <c r="AF499" s="73"/>
      <c r="AG499" s="73"/>
    </row>
    <row r="500" spans="2:33" x14ac:dyDescent="0.2">
      <c r="B500" s="73" t="s">
        <v>1970</v>
      </c>
      <c r="P500" s="73"/>
      <c r="Q500" s="73"/>
      <c r="R500" s="73"/>
      <c r="S500" s="73"/>
      <c r="T500" s="73"/>
      <c r="U500" s="73"/>
      <c r="V500" s="73"/>
      <c r="W500" s="73"/>
      <c r="X500" s="73"/>
      <c r="Y500" s="73"/>
      <c r="Z500" s="73"/>
      <c r="AA500" s="73"/>
      <c r="AF500" s="73"/>
      <c r="AG500" s="73"/>
    </row>
    <row r="501" spans="2:33" x14ac:dyDescent="0.2">
      <c r="B501" s="73" t="s">
        <v>1969</v>
      </c>
      <c r="P501" s="73"/>
      <c r="Q501" s="73"/>
      <c r="R501" s="73"/>
      <c r="S501" s="73"/>
      <c r="T501" s="73"/>
      <c r="U501" s="73"/>
      <c r="V501" s="73"/>
      <c r="W501" s="73"/>
      <c r="X501" s="73"/>
      <c r="Y501" s="73"/>
      <c r="Z501" s="73"/>
      <c r="AA501" s="73"/>
      <c r="AF501" s="73"/>
      <c r="AG501" s="73"/>
    </row>
    <row r="502" spans="2:33" x14ac:dyDescent="0.2">
      <c r="B502" s="73" t="s">
        <v>1968</v>
      </c>
      <c r="P502" s="73"/>
      <c r="Q502" s="73"/>
      <c r="R502" s="73"/>
      <c r="S502" s="73"/>
      <c r="T502" s="73"/>
      <c r="U502" s="73"/>
      <c r="V502" s="73"/>
      <c r="W502" s="73"/>
      <c r="X502" s="73"/>
      <c r="Y502" s="73"/>
      <c r="Z502" s="73"/>
      <c r="AA502" s="73"/>
      <c r="AF502" s="73"/>
      <c r="AG502" s="73"/>
    </row>
    <row r="503" spans="2:33" x14ac:dyDescent="0.2">
      <c r="B503" s="73" t="s">
        <v>1967</v>
      </c>
      <c r="P503" s="73"/>
      <c r="Q503" s="73"/>
      <c r="R503" s="73"/>
      <c r="S503" s="73"/>
      <c r="T503" s="73"/>
      <c r="U503" s="73"/>
      <c r="V503" s="73"/>
      <c r="W503" s="73"/>
      <c r="X503" s="73"/>
      <c r="Y503" s="73"/>
      <c r="Z503" s="73"/>
      <c r="AA503" s="73"/>
      <c r="AF503" s="73"/>
      <c r="AG503" s="73"/>
    </row>
    <row r="504" spans="2:33" x14ac:dyDescent="0.2">
      <c r="B504" s="12" t="s">
        <v>1966</v>
      </c>
      <c r="I504" s="73" t="s">
        <v>5230</v>
      </c>
      <c r="P504" s="73"/>
      <c r="Q504" s="73"/>
      <c r="R504" s="73"/>
      <c r="S504" s="73"/>
      <c r="T504" s="73"/>
      <c r="U504" s="73"/>
      <c r="V504" s="73"/>
      <c r="W504" s="73"/>
      <c r="X504" s="73"/>
      <c r="Y504" s="73"/>
      <c r="Z504" s="73"/>
      <c r="AA504" s="73"/>
      <c r="AF504" s="73"/>
      <c r="AG504" s="73"/>
    </row>
    <row r="505" spans="2:33" x14ac:dyDescent="0.2">
      <c r="B505" s="73" t="s">
        <v>1965</v>
      </c>
      <c r="P505" s="73"/>
      <c r="Q505" s="73"/>
      <c r="R505" s="73"/>
      <c r="S505" s="73"/>
      <c r="T505" s="73"/>
      <c r="U505" s="73"/>
      <c r="V505" s="73"/>
      <c r="W505" s="73"/>
      <c r="X505" s="73"/>
      <c r="Y505" s="73"/>
      <c r="Z505" s="73"/>
      <c r="AA505" s="73"/>
      <c r="AF505" s="73"/>
      <c r="AG505" s="73"/>
    </row>
    <row r="506" spans="2:33" x14ac:dyDescent="0.2">
      <c r="B506" s="73" t="s">
        <v>1964</v>
      </c>
      <c r="P506" s="73"/>
      <c r="Q506" s="73"/>
      <c r="R506" s="73"/>
      <c r="S506" s="73"/>
      <c r="T506" s="73"/>
      <c r="U506" s="73"/>
      <c r="V506" s="73"/>
      <c r="W506" s="73"/>
      <c r="X506" s="73"/>
      <c r="Y506" s="73"/>
      <c r="Z506" s="73"/>
      <c r="AA506" s="73"/>
      <c r="AF506" s="73"/>
      <c r="AG506" s="73"/>
    </row>
    <row r="507" spans="2:33" x14ac:dyDescent="0.2">
      <c r="B507" s="73" t="s">
        <v>1963</v>
      </c>
      <c r="P507" s="73"/>
      <c r="Q507" s="73"/>
      <c r="R507" s="73"/>
      <c r="S507" s="73"/>
      <c r="T507" s="73"/>
      <c r="U507" s="73"/>
      <c r="V507" s="73"/>
      <c r="W507" s="73"/>
      <c r="X507" s="73"/>
      <c r="Y507" s="73"/>
      <c r="Z507" s="73"/>
      <c r="AA507" s="73"/>
      <c r="AF507" s="73"/>
      <c r="AG507" s="73"/>
    </row>
    <row r="508" spans="2:33" x14ac:dyDescent="0.2">
      <c r="B508" s="73" t="s">
        <v>1962</v>
      </c>
      <c r="P508" s="73"/>
      <c r="Q508" s="73"/>
      <c r="R508" s="73"/>
      <c r="S508" s="73"/>
      <c r="T508" s="73"/>
      <c r="U508" s="73"/>
      <c r="V508" s="73"/>
      <c r="W508" s="73"/>
      <c r="X508" s="73"/>
      <c r="Y508" s="73"/>
      <c r="Z508" s="73"/>
      <c r="AA508" s="73"/>
      <c r="AF508" s="73"/>
      <c r="AG508" s="73"/>
    </row>
    <row r="509" spans="2:33" x14ac:dyDescent="0.2">
      <c r="B509" s="73" t="s">
        <v>1961</v>
      </c>
      <c r="P509" s="73"/>
      <c r="Q509" s="73"/>
      <c r="R509" s="73"/>
      <c r="S509" s="73"/>
      <c r="T509" s="73"/>
      <c r="U509" s="73"/>
      <c r="V509" s="73"/>
      <c r="W509" s="73"/>
      <c r="X509" s="73"/>
      <c r="Y509" s="73"/>
      <c r="Z509" s="73"/>
      <c r="AA509" s="73"/>
      <c r="AF509" s="73"/>
      <c r="AG509" s="73"/>
    </row>
    <row r="510" spans="2:33" x14ac:dyDescent="0.2">
      <c r="B510" s="73" t="s">
        <v>1960</v>
      </c>
      <c r="P510" s="73"/>
      <c r="Q510" s="73"/>
      <c r="R510" s="73"/>
      <c r="S510" s="73"/>
      <c r="T510" s="73"/>
      <c r="U510" s="73"/>
      <c r="V510" s="73"/>
      <c r="W510" s="73"/>
      <c r="X510" s="73"/>
      <c r="Y510" s="73"/>
      <c r="Z510" s="73"/>
      <c r="AA510" s="73"/>
      <c r="AF510" s="73"/>
      <c r="AG510" s="73"/>
    </row>
    <row r="511" spans="2:33" x14ac:dyDescent="0.2">
      <c r="B511" s="73" t="s">
        <v>1959</v>
      </c>
      <c r="P511" s="73"/>
      <c r="Q511" s="73"/>
      <c r="R511" s="73"/>
      <c r="S511" s="73"/>
      <c r="T511" s="73"/>
      <c r="U511" s="73"/>
      <c r="V511" s="73"/>
      <c r="W511" s="73"/>
      <c r="X511" s="73"/>
      <c r="Y511" s="73"/>
      <c r="Z511" s="73"/>
      <c r="AA511" s="73"/>
      <c r="AF511" s="73"/>
      <c r="AG511" s="73"/>
    </row>
    <row r="512" spans="2:33" x14ac:dyDescent="0.2">
      <c r="B512" s="73" t="s">
        <v>1958</v>
      </c>
      <c r="P512" s="73"/>
      <c r="Q512" s="73"/>
      <c r="R512" s="73"/>
      <c r="S512" s="73"/>
      <c r="T512" s="73"/>
      <c r="U512" s="73"/>
      <c r="V512" s="73"/>
      <c r="W512" s="73"/>
      <c r="X512" s="73"/>
      <c r="Y512" s="73"/>
      <c r="Z512" s="73"/>
      <c r="AA512" s="73"/>
      <c r="AF512" s="73"/>
      <c r="AG512" s="73"/>
    </row>
    <row r="513" spans="2:33" x14ac:dyDescent="0.2">
      <c r="B513" s="73" t="s">
        <v>1957</v>
      </c>
      <c r="P513" s="73"/>
      <c r="Q513" s="73"/>
      <c r="R513" s="73"/>
      <c r="S513" s="73"/>
      <c r="T513" s="73"/>
      <c r="U513" s="73"/>
      <c r="V513" s="73"/>
      <c r="W513" s="73"/>
      <c r="X513" s="73"/>
      <c r="Y513" s="73"/>
      <c r="Z513" s="73"/>
      <c r="AA513" s="73"/>
      <c r="AF513" s="73"/>
      <c r="AG513" s="73"/>
    </row>
    <row r="514" spans="2:33" x14ac:dyDescent="0.2">
      <c r="B514" s="73" t="s">
        <v>1956</v>
      </c>
      <c r="P514" s="73"/>
      <c r="Q514" s="73"/>
      <c r="R514" s="73"/>
      <c r="S514" s="73"/>
      <c r="T514" s="73"/>
      <c r="U514" s="73"/>
      <c r="V514" s="73"/>
      <c r="W514" s="73"/>
      <c r="X514" s="73"/>
      <c r="Y514" s="73"/>
      <c r="Z514" s="73"/>
      <c r="AA514" s="73"/>
      <c r="AF514" s="73"/>
      <c r="AG514" s="73"/>
    </row>
    <row r="515" spans="2:33" x14ac:dyDescent="0.2">
      <c r="B515" s="73" t="s">
        <v>1955</v>
      </c>
      <c r="P515" s="73"/>
      <c r="Q515" s="73"/>
      <c r="R515" s="73"/>
      <c r="S515" s="73"/>
      <c r="T515" s="73"/>
      <c r="U515" s="73"/>
      <c r="V515" s="73"/>
      <c r="W515" s="73"/>
      <c r="X515" s="73"/>
      <c r="Y515" s="73"/>
      <c r="Z515" s="73"/>
      <c r="AA515" s="73"/>
      <c r="AF515" s="73"/>
      <c r="AG515" s="73"/>
    </row>
    <row r="516" spans="2:33" x14ac:dyDescent="0.2">
      <c r="B516" s="73" t="s">
        <v>1954</v>
      </c>
      <c r="P516" s="73"/>
      <c r="Q516" s="73"/>
      <c r="R516" s="73"/>
      <c r="S516" s="73"/>
      <c r="T516" s="73"/>
      <c r="U516" s="73"/>
      <c r="V516" s="73"/>
      <c r="W516" s="73"/>
      <c r="X516" s="73"/>
      <c r="Y516" s="73"/>
      <c r="Z516" s="73"/>
      <c r="AA516" s="73"/>
      <c r="AF516" s="73"/>
      <c r="AG516" s="73"/>
    </row>
    <row r="517" spans="2:33" x14ac:dyDescent="0.2">
      <c r="B517" s="73" t="s">
        <v>1953</v>
      </c>
      <c r="P517" s="73"/>
      <c r="Q517" s="73"/>
      <c r="R517" s="73"/>
      <c r="S517" s="73"/>
      <c r="T517" s="73"/>
      <c r="U517" s="73"/>
      <c r="V517" s="73"/>
      <c r="W517" s="73"/>
      <c r="X517" s="73"/>
      <c r="Y517" s="73"/>
      <c r="Z517" s="73"/>
      <c r="AA517" s="73"/>
      <c r="AF517" s="73"/>
      <c r="AG517" s="73"/>
    </row>
    <row r="518" spans="2:33" x14ac:dyDescent="0.2">
      <c r="B518" s="73" t="s">
        <v>1952</v>
      </c>
      <c r="N518" s="73" t="s">
        <v>1900</v>
      </c>
      <c r="P518" s="73"/>
      <c r="Q518" s="73"/>
      <c r="R518" s="73"/>
      <c r="S518" s="73"/>
      <c r="T518" s="73"/>
      <c r="U518" s="73"/>
      <c r="V518" s="73"/>
      <c r="W518" s="73"/>
      <c r="X518" s="73"/>
      <c r="Y518" s="73"/>
      <c r="Z518" s="73"/>
      <c r="AA518" s="73"/>
      <c r="AF518" s="73"/>
      <c r="AG518" s="73"/>
    </row>
    <row r="519" spans="2:33" x14ac:dyDescent="0.2">
      <c r="B519" s="73" t="s">
        <v>1951</v>
      </c>
      <c r="P519" s="73"/>
      <c r="Q519" s="73"/>
      <c r="R519" s="73"/>
      <c r="S519" s="73"/>
      <c r="T519" s="73"/>
      <c r="U519" s="73"/>
      <c r="V519" s="73"/>
      <c r="W519" s="73"/>
      <c r="X519" s="73"/>
      <c r="Y519" s="73"/>
      <c r="Z519" s="73"/>
      <c r="AA519" s="73"/>
      <c r="AF519" s="73"/>
      <c r="AG519" s="73"/>
    </row>
    <row r="520" spans="2:33" x14ac:dyDescent="0.2">
      <c r="B520" s="73" t="s">
        <v>1950</v>
      </c>
      <c r="P520" s="73"/>
      <c r="Q520" s="73"/>
      <c r="R520" s="73"/>
      <c r="S520" s="73"/>
      <c r="T520" s="73"/>
      <c r="U520" s="73"/>
      <c r="V520" s="73"/>
      <c r="W520" s="73"/>
      <c r="X520" s="73"/>
      <c r="Y520" s="73"/>
      <c r="Z520" s="73"/>
      <c r="AA520" s="73"/>
      <c r="AF520" s="73"/>
      <c r="AG520" s="73"/>
    </row>
    <row r="521" spans="2:33" x14ac:dyDescent="0.2">
      <c r="B521" s="73" t="s">
        <v>1949</v>
      </c>
      <c r="P521" s="73"/>
      <c r="Q521" s="73"/>
      <c r="R521" s="73"/>
      <c r="S521" s="73"/>
      <c r="T521" s="73"/>
      <c r="U521" s="73"/>
      <c r="V521" s="73"/>
      <c r="W521" s="73"/>
      <c r="X521" s="73"/>
      <c r="Y521" s="73"/>
      <c r="Z521" s="73"/>
      <c r="AA521" s="73"/>
      <c r="AF521" s="73"/>
      <c r="AG521" s="73"/>
    </row>
    <row r="522" spans="2:33" x14ac:dyDescent="0.2">
      <c r="B522" s="73" t="s">
        <v>1948</v>
      </c>
      <c r="P522" s="73"/>
      <c r="Q522" s="73"/>
      <c r="R522" s="73"/>
      <c r="S522" s="73"/>
      <c r="T522" s="73"/>
      <c r="U522" s="73"/>
      <c r="V522" s="73"/>
      <c r="W522" s="73"/>
      <c r="X522" s="73"/>
      <c r="Y522" s="73"/>
      <c r="Z522" s="73"/>
      <c r="AA522" s="73"/>
      <c r="AF522" s="73"/>
      <c r="AG522" s="73"/>
    </row>
    <row r="523" spans="2:33" x14ac:dyDescent="0.2">
      <c r="B523" s="73" t="s">
        <v>1947</v>
      </c>
      <c r="P523" s="73"/>
      <c r="Q523" s="73"/>
      <c r="R523" s="73"/>
      <c r="S523" s="73"/>
      <c r="T523" s="73"/>
      <c r="U523" s="73"/>
      <c r="V523" s="73"/>
      <c r="W523" s="73"/>
      <c r="X523" s="73"/>
      <c r="Y523" s="73"/>
      <c r="Z523" s="73"/>
      <c r="AA523" s="73"/>
      <c r="AF523" s="73"/>
      <c r="AG523" s="73"/>
    </row>
    <row r="524" spans="2:33" x14ac:dyDescent="0.2">
      <c r="B524" s="73" t="s">
        <v>1946</v>
      </c>
      <c r="P524" s="73"/>
      <c r="Q524" s="73"/>
      <c r="R524" s="73"/>
      <c r="S524" s="73"/>
      <c r="T524" s="73"/>
      <c r="U524" s="73"/>
      <c r="V524" s="73"/>
      <c r="W524" s="73"/>
      <c r="X524" s="73"/>
      <c r="Y524" s="73"/>
      <c r="Z524" s="73"/>
      <c r="AA524" s="73"/>
      <c r="AF524" s="73"/>
      <c r="AG524" s="73"/>
    </row>
    <row r="525" spans="2:33" x14ac:dyDescent="0.2">
      <c r="B525" s="73" t="s">
        <v>1945</v>
      </c>
      <c r="P525" s="73"/>
      <c r="Q525" s="73"/>
      <c r="R525" s="73"/>
      <c r="S525" s="73"/>
      <c r="T525" s="73"/>
      <c r="U525" s="73"/>
      <c r="V525" s="73"/>
      <c r="W525" s="73"/>
      <c r="X525" s="73"/>
      <c r="Y525" s="73"/>
      <c r="Z525" s="73"/>
      <c r="AA525" s="73"/>
      <c r="AF525" s="73"/>
      <c r="AG525" s="73"/>
    </row>
    <row r="526" spans="2:33" x14ac:dyDescent="0.2">
      <c r="B526" s="73" t="s">
        <v>1944</v>
      </c>
      <c r="P526" s="73"/>
      <c r="Q526" s="73"/>
      <c r="R526" s="73"/>
      <c r="S526" s="73"/>
      <c r="T526" s="73"/>
      <c r="U526" s="73"/>
      <c r="V526" s="73"/>
      <c r="W526" s="73"/>
      <c r="X526" s="73"/>
      <c r="Y526" s="73"/>
      <c r="Z526" s="73"/>
      <c r="AA526" s="73"/>
      <c r="AF526" s="73"/>
      <c r="AG526" s="73"/>
    </row>
    <row r="527" spans="2:33" x14ac:dyDescent="0.2">
      <c r="B527" s="73" t="s">
        <v>1943</v>
      </c>
      <c r="P527" s="73"/>
      <c r="Q527" s="73"/>
      <c r="R527" s="73"/>
      <c r="S527" s="73"/>
      <c r="T527" s="73"/>
      <c r="U527" s="73"/>
      <c r="V527" s="73"/>
      <c r="W527" s="73"/>
      <c r="X527" s="73"/>
      <c r="Y527" s="73"/>
      <c r="Z527" s="73"/>
      <c r="AA527" s="73"/>
      <c r="AF527" s="73"/>
      <c r="AG527" s="73"/>
    </row>
    <row r="528" spans="2:33" x14ac:dyDescent="0.2">
      <c r="B528" s="73" t="s">
        <v>1942</v>
      </c>
      <c r="P528" s="73"/>
      <c r="Q528" s="73"/>
      <c r="R528" s="73"/>
      <c r="S528" s="73"/>
      <c r="T528" s="73"/>
      <c r="U528" s="73"/>
      <c r="V528" s="73"/>
      <c r="W528" s="73"/>
      <c r="X528" s="73"/>
      <c r="Y528" s="73"/>
      <c r="Z528" s="73"/>
      <c r="AA528" s="73"/>
      <c r="AF528" s="73"/>
      <c r="AG528" s="73"/>
    </row>
    <row r="529" spans="2:33" x14ac:dyDescent="0.2">
      <c r="B529" s="73" t="s">
        <v>1243</v>
      </c>
      <c r="P529" s="73"/>
      <c r="Q529" s="73"/>
      <c r="R529" s="73"/>
      <c r="S529" s="73"/>
      <c r="T529" s="73"/>
      <c r="U529" s="73"/>
      <c r="V529" s="73"/>
      <c r="W529" s="73"/>
      <c r="X529" s="73"/>
      <c r="Y529" s="73"/>
      <c r="Z529" s="73"/>
      <c r="AA529" s="73"/>
      <c r="AF529" s="73"/>
      <c r="AG529" s="73"/>
    </row>
    <row r="530" spans="2:33" x14ac:dyDescent="0.2">
      <c r="B530" s="73" t="s">
        <v>1941</v>
      </c>
      <c r="P530" s="73"/>
      <c r="Q530" s="73"/>
      <c r="R530" s="73"/>
      <c r="S530" s="73"/>
      <c r="T530" s="73"/>
      <c r="U530" s="73"/>
      <c r="V530" s="73"/>
      <c r="W530" s="73"/>
      <c r="X530" s="73"/>
      <c r="Y530" s="73"/>
      <c r="Z530" s="73"/>
      <c r="AA530" s="73"/>
      <c r="AF530" s="73"/>
      <c r="AG530" s="73"/>
    </row>
    <row r="531" spans="2:33" x14ac:dyDescent="0.2">
      <c r="B531" s="73" t="s">
        <v>1940</v>
      </c>
      <c r="P531" s="73"/>
      <c r="Q531" s="73"/>
      <c r="R531" s="73"/>
      <c r="S531" s="73"/>
      <c r="T531" s="73"/>
      <c r="U531" s="73"/>
      <c r="V531" s="73"/>
      <c r="W531" s="73"/>
      <c r="X531" s="73"/>
      <c r="Y531" s="73"/>
      <c r="Z531" s="73"/>
      <c r="AA531" s="73"/>
      <c r="AF531" s="73"/>
      <c r="AG531" s="73"/>
    </row>
    <row r="532" spans="2:33" x14ac:dyDescent="0.2">
      <c r="B532" s="73" t="s">
        <v>1939</v>
      </c>
      <c r="P532" s="73"/>
      <c r="Q532" s="73"/>
      <c r="R532" s="73"/>
      <c r="S532" s="73"/>
      <c r="T532" s="73"/>
      <c r="U532" s="73"/>
      <c r="V532" s="73"/>
      <c r="W532" s="73"/>
      <c r="X532" s="73"/>
      <c r="Y532" s="73"/>
      <c r="Z532" s="73"/>
      <c r="AA532" s="73"/>
      <c r="AF532" s="73"/>
      <c r="AG532" s="73"/>
    </row>
    <row r="533" spans="2:33" x14ac:dyDescent="0.2">
      <c r="B533" s="73" t="s">
        <v>1938</v>
      </c>
      <c r="P533" s="73"/>
      <c r="Q533" s="73"/>
      <c r="R533" s="73"/>
      <c r="S533" s="73"/>
      <c r="T533" s="73"/>
      <c r="U533" s="73"/>
      <c r="V533" s="73"/>
      <c r="W533" s="73"/>
      <c r="X533" s="73"/>
      <c r="Y533" s="73"/>
      <c r="Z533" s="73"/>
      <c r="AA533" s="73"/>
      <c r="AF533" s="73"/>
      <c r="AG533" s="73"/>
    </row>
    <row r="534" spans="2:33" x14ac:dyDescent="0.2">
      <c r="B534" s="73" t="s">
        <v>1937</v>
      </c>
      <c r="P534" s="73"/>
      <c r="Q534" s="73"/>
      <c r="R534" s="73"/>
      <c r="S534" s="73"/>
      <c r="T534" s="73"/>
      <c r="U534" s="73"/>
      <c r="V534" s="73"/>
      <c r="W534" s="73"/>
      <c r="X534" s="73"/>
      <c r="Y534" s="73"/>
      <c r="Z534" s="73"/>
      <c r="AA534" s="73"/>
      <c r="AF534" s="73"/>
      <c r="AG534" s="73"/>
    </row>
    <row r="535" spans="2:33" x14ac:dyDescent="0.2">
      <c r="B535" s="73" t="s">
        <v>1936</v>
      </c>
      <c r="P535" s="73"/>
      <c r="Q535" s="73"/>
      <c r="R535" s="73"/>
      <c r="S535" s="73"/>
      <c r="T535" s="73"/>
      <c r="U535" s="73"/>
      <c r="V535" s="73"/>
      <c r="W535" s="73"/>
      <c r="X535" s="73"/>
      <c r="Y535" s="73"/>
      <c r="Z535" s="73"/>
      <c r="AA535" s="73"/>
      <c r="AF535" s="73"/>
      <c r="AG535" s="73"/>
    </row>
    <row r="536" spans="2:33" x14ac:dyDescent="0.2">
      <c r="B536" s="73" t="s">
        <v>1935</v>
      </c>
      <c r="P536" s="73"/>
      <c r="Q536" s="73"/>
      <c r="R536" s="73"/>
      <c r="S536" s="73"/>
      <c r="T536" s="73"/>
      <c r="U536" s="73"/>
      <c r="V536" s="73"/>
      <c r="W536" s="73"/>
      <c r="X536" s="73"/>
      <c r="Y536" s="73"/>
      <c r="Z536" s="73"/>
      <c r="AA536" s="73"/>
      <c r="AF536" s="73"/>
      <c r="AG536" s="73"/>
    </row>
    <row r="537" spans="2:33" x14ac:dyDescent="0.2">
      <c r="B537" s="73" t="s">
        <v>1934</v>
      </c>
      <c r="P537" s="73"/>
      <c r="Q537" s="73"/>
      <c r="R537" s="73"/>
      <c r="S537" s="73"/>
      <c r="T537" s="73"/>
      <c r="U537" s="73"/>
      <c r="V537" s="73"/>
      <c r="W537" s="73"/>
      <c r="X537" s="73"/>
      <c r="Y537" s="73"/>
      <c r="Z537" s="73"/>
      <c r="AA537" s="73"/>
      <c r="AF537" s="73"/>
      <c r="AG537" s="73"/>
    </row>
    <row r="538" spans="2:33" x14ac:dyDescent="0.2">
      <c r="B538" s="73" t="s">
        <v>1247</v>
      </c>
      <c r="P538" s="73"/>
      <c r="Q538" s="73"/>
      <c r="R538" s="73"/>
      <c r="S538" s="73"/>
      <c r="T538" s="73"/>
      <c r="U538" s="73"/>
      <c r="V538" s="73"/>
      <c r="W538" s="73"/>
      <c r="X538" s="73"/>
      <c r="Y538" s="73"/>
      <c r="Z538" s="73"/>
      <c r="AA538" s="73"/>
      <c r="AF538" s="73"/>
      <c r="AG538" s="73"/>
    </row>
    <row r="539" spans="2:33" x14ac:dyDescent="0.2">
      <c r="B539" s="73" t="s">
        <v>1933</v>
      </c>
      <c r="P539" s="73"/>
      <c r="Q539" s="73"/>
      <c r="R539" s="73"/>
      <c r="S539" s="73"/>
      <c r="T539" s="73"/>
      <c r="U539" s="73"/>
      <c r="V539" s="73"/>
      <c r="W539" s="73"/>
      <c r="X539" s="73"/>
      <c r="Y539" s="73"/>
      <c r="Z539" s="73"/>
      <c r="AA539" s="73"/>
      <c r="AF539" s="73"/>
      <c r="AG539" s="73"/>
    </row>
    <row r="540" spans="2:33" x14ac:dyDescent="0.2">
      <c r="B540" s="73" t="s">
        <v>1932</v>
      </c>
      <c r="P540" s="73"/>
      <c r="Q540" s="73"/>
      <c r="R540" s="73"/>
      <c r="S540" s="73"/>
      <c r="T540" s="73"/>
      <c r="U540" s="73"/>
      <c r="V540" s="73"/>
      <c r="W540" s="73"/>
      <c r="X540" s="73"/>
      <c r="Y540" s="73"/>
      <c r="Z540" s="73"/>
      <c r="AA540" s="73"/>
      <c r="AF540" s="73"/>
      <c r="AG540" s="73"/>
    </row>
    <row r="541" spans="2:33" x14ac:dyDescent="0.2">
      <c r="B541" s="73" t="s">
        <v>1931</v>
      </c>
      <c r="N541" s="73" t="s">
        <v>1900</v>
      </c>
      <c r="P541" s="73"/>
      <c r="Q541" s="73"/>
      <c r="R541" s="73"/>
      <c r="S541" s="73"/>
      <c r="T541" s="73"/>
      <c r="U541" s="73"/>
      <c r="V541" s="73"/>
      <c r="W541" s="73"/>
      <c r="X541" s="73"/>
      <c r="Y541" s="73"/>
      <c r="Z541" s="73"/>
      <c r="AA541" s="73"/>
      <c r="AF541" s="73"/>
      <c r="AG541" s="73"/>
    </row>
    <row r="542" spans="2:33" x14ac:dyDescent="0.2">
      <c r="B542" s="73" t="s">
        <v>1930</v>
      </c>
      <c r="P542" s="73"/>
      <c r="Q542" s="73"/>
      <c r="R542" s="73"/>
      <c r="S542" s="73"/>
      <c r="T542" s="73"/>
      <c r="U542" s="73"/>
      <c r="V542" s="73"/>
      <c r="W542" s="73"/>
      <c r="X542" s="73"/>
      <c r="Y542" s="73"/>
      <c r="Z542" s="73"/>
      <c r="AA542" s="73"/>
      <c r="AF542" s="73"/>
      <c r="AG542" s="73"/>
    </row>
    <row r="543" spans="2:33" x14ac:dyDescent="0.2">
      <c r="B543" s="73" t="s">
        <v>1929</v>
      </c>
      <c r="N543" s="73" t="s">
        <v>1900</v>
      </c>
      <c r="P543" s="73"/>
      <c r="Q543" s="73"/>
      <c r="R543" s="73"/>
      <c r="S543" s="73"/>
      <c r="T543" s="73"/>
      <c r="U543" s="73"/>
      <c r="V543" s="73"/>
      <c r="W543" s="73"/>
      <c r="X543" s="73"/>
      <c r="Y543" s="73"/>
      <c r="Z543" s="73"/>
      <c r="AA543" s="73"/>
      <c r="AF543" s="73"/>
      <c r="AG543" s="73"/>
    </row>
    <row r="544" spans="2:33" x14ac:dyDescent="0.2">
      <c r="B544" s="73" t="s">
        <v>1928</v>
      </c>
      <c r="P544" s="73"/>
      <c r="Q544" s="73"/>
      <c r="R544" s="73"/>
      <c r="S544" s="73"/>
      <c r="T544" s="73"/>
      <c r="U544" s="73"/>
      <c r="V544" s="73"/>
      <c r="W544" s="73"/>
      <c r="X544" s="73"/>
      <c r="Y544" s="73"/>
      <c r="Z544" s="73"/>
      <c r="AA544" s="73"/>
      <c r="AF544" s="73"/>
      <c r="AG544" s="73"/>
    </row>
    <row r="545" spans="2:33" x14ac:dyDescent="0.2">
      <c r="B545" s="73" t="s">
        <v>1927</v>
      </c>
      <c r="P545" s="73"/>
      <c r="Q545" s="73"/>
      <c r="R545" s="73"/>
      <c r="S545" s="73"/>
      <c r="T545" s="73"/>
      <c r="U545" s="73"/>
      <c r="V545" s="73"/>
      <c r="W545" s="73"/>
      <c r="X545" s="73"/>
      <c r="Y545" s="73"/>
      <c r="Z545" s="73"/>
      <c r="AA545" s="73"/>
      <c r="AF545" s="73"/>
      <c r="AG545" s="73"/>
    </row>
    <row r="546" spans="2:33" x14ac:dyDescent="0.2">
      <c r="B546" s="73" t="s">
        <v>1926</v>
      </c>
      <c r="P546" s="73"/>
      <c r="Q546" s="73"/>
      <c r="R546" s="73"/>
      <c r="S546" s="73"/>
      <c r="T546" s="73"/>
      <c r="U546" s="73"/>
      <c r="V546" s="73"/>
      <c r="W546" s="73"/>
      <c r="X546" s="73"/>
      <c r="Y546" s="73"/>
      <c r="Z546" s="73"/>
      <c r="AA546" s="73"/>
      <c r="AF546" s="73"/>
      <c r="AG546" s="73"/>
    </row>
    <row r="547" spans="2:33" x14ac:dyDescent="0.2">
      <c r="B547" s="73" t="s">
        <v>1925</v>
      </c>
      <c r="P547" s="73"/>
      <c r="Q547" s="73"/>
      <c r="R547" s="73"/>
      <c r="S547" s="73"/>
      <c r="T547" s="73"/>
      <c r="U547" s="73"/>
      <c r="V547" s="73"/>
      <c r="W547" s="73"/>
      <c r="X547" s="73"/>
      <c r="Y547" s="73"/>
      <c r="Z547" s="73"/>
      <c r="AA547" s="73"/>
      <c r="AF547" s="73"/>
      <c r="AG547" s="73"/>
    </row>
    <row r="548" spans="2:33" x14ac:dyDescent="0.2">
      <c r="B548" s="73" t="s">
        <v>1287</v>
      </c>
      <c r="P548" s="73"/>
      <c r="Q548" s="73"/>
      <c r="R548" s="73"/>
      <c r="S548" s="73"/>
      <c r="T548" s="73"/>
      <c r="U548" s="73"/>
      <c r="V548" s="73"/>
      <c r="W548" s="73"/>
      <c r="X548" s="73"/>
      <c r="Y548" s="73"/>
      <c r="Z548" s="73"/>
      <c r="AA548" s="73"/>
      <c r="AF548" s="73"/>
      <c r="AG548" s="73"/>
    </row>
    <row r="549" spans="2:33" x14ac:dyDescent="0.2">
      <c r="B549" s="73" t="s">
        <v>1924</v>
      </c>
      <c r="P549" s="73"/>
      <c r="Q549" s="73"/>
      <c r="R549" s="73"/>
      <c r="S549" s="73"/>
      <c r="T549" s="73"/>
      <c r="U549" s="73"/>
      <c r="V549" s="73"/>
      <c r="W549" s="73"/>
      <c r="X549" s="73"/>
      <c r="Y549" s="73"/>
      <c r="Z549" s="73"/>
      <c r="AA549" s="73"/>
      <c r="AF549" s="73"/>
      <c r="AG549" s="73"/>
    </row>
    <row r="550" spans="2:33" x14ac:dyDescent="0.2">
      <c r="B550" s="73" t="s">
        <v>1923</v>
      </c>
      <c r="P550" s="73"/>
      <c r="Q550" s="73"/>
      <c r="R550" s="73"/>
      <c r="S550" s="73"/>
      <c r="T550" s="73"/>
      <c r="U550" s="73"/>
      <c r="V550" s="73"/>
      <c r="W550" s="73"/>
      <c r="X550" s="73"/>
      <c r="Y550" s="73"/>
      <c r="Z550" s="73"/>
      <c r="AA550" s="73"/>
      <c r="AF550" s="73"/>
      <c r="AG550" s="73"/>
    </row>
    <row r="551" spans="2:33" x14ac:dyDescent="0.2">
      <c r="B551" s="73" t="s">
        <v>1922</v>
      </c>
      <c r="P551" s="73"/>
      <c r="Q551" s="73"/>
      <c r="R551" s="73"/>
      <c r="S551" s="73"/>
      <c r="T551" s="73"/>
      <c r="U551" s="73"/>
      <c r="V551" s="73"/>
      <c r="W551" s="73"/>
      <c r="X551" s="73"/>
      <c r="Y551" s="73"/>
      <c r="Z551" s="73"/>
      <c r="AA551" s="73"/>
      <c r="AF551" s="73"/>
      <c r="AG551" s="73"/>
    </row>
    <row r="552" spans="2:33" x14ac:dyDescent="0.2">
      <c r="B552" s="73" t="s">
        <v>1921</v>
      </c>
      <c r="P552" s="73"/>
      <c r="Q552" s="73"/>
      <c r="R552" s="73"/>
      <c r="S552" s="73"/>
      <c r="T552" s="73"/>
      <c r="U552" s="73"/>
      <c r="V552" s="73"/>
      <c r="W552" s="73"/>
      <c r="X552" s="73"/>
      <c r="Y552" s="73"/>
      <c r="Z552" s="73"/>
      <c r="AA552" s="73"/>
      <c r="AF552" s="73"/>
      <c r="AG552" s="73"/>
    </row>
    <row r="553" spans="2:33" x14ac:dyDescent="0.2">
      <c r="B553" s="73" t="s">
        <v>1920</v>
      </c>
      <c r="P553" s="73"/>
      <c r="Q553" s="73"/>
      <c r="R553" s="73"/>
      <c r="S553" s="73"/>
      <c r="T553" s="73"/>
      <c r="U553" s="73"/>
      <c r="V553" s="73"/>
      <c r="W553" s="73"/>
      <c r="X553" s="73"/>
      <c r="Y553" s="73"/>
      <c r="Z553" s="73"/>
      <c r="AA553" s="73"/>
      <c r="AF553" s="73"/>
      <c r="AG553" s="73"/>
    </row>
    <row r="554" spans="2:33" x14ac:dyDescent="0.2">
      <c r="B554" s="73" t="s">
        <v>1919</v>
      </c>
      <c r="P554" s="73"/>
      <c r="Q554" s="73"/>
      <c r="R554" s="73"/>
      <c r="S554" s="73"/>
      <c r="T554" s="73"/>
      <c r="U554" s="73"/>
      <c r="V554" s="73"/>
      <c r="W554" s="73"/>
      <c r="X554" s="73"/>
      <c r="Y554" s="73"/>
      <c r="Z554" s="73"/>
      <c r="AA554" s="73"/>
      <c r="AF554" s="73"/>
      <c r="AG554" s="73"/>
    </row>
    <row r="555" spans="2:33" x14ac:dyDescent="0.2">
      <c r="B555" s="73" t="s">
        <v>1918</v>
      </c>
      <c r="N555" s="73" t="s">
        <v>1900</v>
      </c>
      <c r="P555" s="73"/>
      <c r="Q555" s="73"/>
      <c r="R555" s="73"/>
      <c r="S555" s="73"/>
      <c r="T555" s="73"/>
      <c r="U555" s="73"/>
      <c r="V555" s="73"/>
      <c r="W555" s="73"/>
      <c r="X555" s="73"/>
      <c r="Y555" s="73"/>
      <c r="Z555" s="73"/>
      <c r="AA555" s="73"/>
      <c r="AF555" s="73"/>
      <c r="AG555" s="73"/>
    </row>
    <row r="556" spans="2:33" x14ac:dyDescent="0.2">
      <c r="B556" s="73" t="s">
        <v>1917</v>
      </c>
      <c r="J556" s="73" t="s">
        <v>1916</v>
      </c>
      <c r="P556" s="73"/>
      <c r="Q556" s="73"/>
      <c r="R556" s="73"/>
      <c r="S556" s="73"/>
      <c r="T556" s="73"/>
      <c r="U556" s="73"/>
      <c r="V556" s="73"/>
      <c r="W556" s="73"/>
      <c r="X556" s="73"/>
      <c r="Y556" s="73"/>
      <c r="Z556" s="73"/>
      <c r="AA556" s="73"/>
      <c r="AF556" s="73"/>
      <c r="AG556" s="73"/>
    </row>
    <row r="557" spans="2:33" x14ac:dyDescent="0.2">
      <c r="B557" s="73" t="s">
        <v>1915</v>
      </c>
      <c r="N557" s="73" t="s">
        <v>1900</v>
      </c>
      <c r="P557" s="73"/>
      <c r="Q557" s="73"/>
      <c r="R557" s="73"/>
      <c r="S557" s="73"/>
      <c r="T557" s="73"/>
      <c r="U557" s="73"/>
      <c r="V557" s="73"/>
      <c r="W557" s="73"/>
      <c r="X557" s="73"/>
      <c r="Y557" s="73"/>
      <c r="Z557" s="73"/>
      <c r="AA557" s="73"/>
      <c r="AF557" s="73"/>
      <c r="AG557" s="73"/>
    </row>
    <row r="558" spans="2:33" x14ac:dyDescent="0.2">
      <c r="B558" s="73" t="s">
        <v>1914</v>
      </c>
      <c r="N558" s="73" t="s">
        <v>1900</v>
      </c>
      <c r="P558" s="73"/>
      <c r="Q558" s="73"/>
      <c r="R558" s="73"/>
      <c r="S558" s="73"/>
      <c r="T558" s="73"/>
      <c r="U558" s="73"/>
      <c r="V558" s="73"/>
      <c r="W558" s="73"/>
      <c r="X558" s="73"/>
      <c r="Y558" s="73"/>
      <c r="Z558" s="73"/>
      <c r="AA558" s="73"/>
      <c r="AF558" s="73"/>
      <c r="AG558" s="73"/>
    </row>
    <row r="559" spans="2:33" x14ac:dyDescent="0.2">
      <c r="B559" s="73" t="s">
        <v>1913</v>
      </c>
      <c r="N559" s="73" t="s">
        <v>1900</v>
      </c>
      <c r="P559" s="73"/>
      <c r="Q559" s="73"/>
      <c r="R559" s="73"/>
      <c r="S559" s="73"/>
      <c r="T559" s="73"/>
      <c r="U559" s="73"/>
      <c r="V559" s="73"/>
      <c r="W559" s="73"/>
      <c r="X559" s="73"/>
      <c r="Y559" s="73"/>
      <c r="Z559" s="73"/>
      <c r="AA559" s="73"/>
      <c r="AF559" s="73"/>
      <c r="AG559" s="73"/>
    </row>
    <row r="560" spans="2:33" x14ac:dyDescent="0.2">
      <c r="B560" s="73" t="s">
        <v>1912</v>
      </c>
      <c r="N560" s="73" t="s">
        <v>1900</v>
      </c>
      <c r="P560" s="73"/>
      <c r="Q560" s="73"/>
      <c r="R560" s="73"/>
      <c r="S560" s="73"/>
      <c r="T560" s="73"/>
      <c r="U560" s="73"/>
      <c r="V560" s="73"/>
      <c r="W560" s="73"/>
      <c r="X560" s="73"/>
      <c r="Y560" s="73"/>
      <c r="Z560" s="73"/>
      <c r="AA560" s="73"/>
      <c r="AF560" s="73"/>
      <c r="AG560" s="73"/>
    </row>
    <row r="561" spans="2:33" x14ac:dyDescent="0.2">
      <c r="B561" s="73" t="s">
        <v>1911</v>
      </c>
      <c r="N561" s="73" t="s">
        <v>1900</v>
      </c>
      <c r="P561" s="73"/>
      <c r="Q561" s="73"/>
      <c r="R561" s="73"/>
      <c r="S561" s="73"/>
      <c r="T561" s="73"/>
      <c r="U561" s="73"/>
      <c r="V561" s="73"/>
      <c r="W561" s="73"/>
      <c r="X561" s="73"/>
      <c r="Y561" s="73"/>
      <c r="Z561" s="73"/>
      <c r="AA561" s="73"/>
      <c r="AF561" s="73"/>
      <c r="AG561" s="73"/>
    </row>
    <row r="562" spans="2:33" x14ac:dyDescent="0.2">
      <c r="B562" s="73" t="s">
        <v>1910</v>
      </c>
      <c r="N562" s="73" t="s">
        <v>1909</v>
      </c>
      <c r="P562" s="73"/>
      <c r="Q562" s="73"/>
      <c r="R562" s="73"/>
      <c r="S562" s="73"/>
      <c r="T562" s="73"/>
      <c r="U562" s="73"/>
      <c r="V562" s="73"/>
      <c r="W562" s="73"/>
      <c r="X562" s="73"/>
      <c r="Y562" s="73"/>
      <c r="Z562" s="73"/>
      <c r="AA562" s="73"/>
      <c r="AF562" s="73"/>
      <c r="AG562" s="73"/>
    </row>
    <row r="563" spans="2:33" x14ac:dyDescent="0.2">
      <c r="B563" s="73" t="s">
        <v>1908</v>
      </c>
      <c r="N563" s="73" t="s">
        <v>1900</v>
      </c>
      <c r="P563" s="73"/>
      <c r="Q563" s="73"/>
      <c r="R563" s="73"/>
      <c r="S563" s="73"/>
      <c r="T563" s="73"/>
      <c r="U563" s="73"/>
      <c r="V563" s="73"/>
      <c r="W563" s="73"/>
      <c r="X563" s="73"/>
      <c r="Y563" s="73"/>
      <c r="Z563" s="73"/>
      <c r="AA563" s="73"/>
      <c r="AF563" s="73"/>
      <c r="AG563" s="73"/>
    </row>
    <row r="564" spans="2:33" x14ac:dyDescent="0.2">
      <c r="B564" s="73" t="s">
        <v>1907</v>
      </c>
      <c r="N564" s="73" t="s">
        <v>1900</v>
      </c>
      <c r="P564" s="73"/>
      <c r="Q564" s="73"/>
      <c r="R564" s="73"/>
      <c r="S564" s="73"/>
      <c r="T564" s="73"/>
      <c r="U564" s="73"/>
      <c r="V564" s="73"/>
      <c r="W564" s="73"/>
      <c r="X564" s="73"/>
      <c r="Y564" s="73"/>
      <c r="Z564" s="73"/>
      <c r="AA564" s="73"/>
      <c r="AF564" s="73"/>
      <c r="AG564" s="73"/>
    </row>
    <row r="565" spans="2:33" x14ac:dyDescent="0.2">
      <c r="B565" s="73" t="s">
        <v>1906</v>
      </c>
      <c r="N565" s="73" t="s">
        <v>1900</v>
      </c>
      <c r="P565" s="73"/>
      <c r="Q565" s="73"/>
      <c r="R565" s="73"/>
      <c r="S565" s="73"/>
      <c r="T565" s="73"/>
      <c r="U565" s="73"/>
      <c r="V565" s="73"/>
      <c r="W565" s="73"/>
      <c r="X565" s="73"/>
      <c r="Y565" s="73"/>
      <c r="Z565" s="73"/>
      <c r="AA565" s="73"/>
      <c r="AF565" s="73"/>
      <c r="AG565" s="73"/>
    </row>
    <row r="566" spans="2:33" x14ac:dyDescent="0.2">
      <c r="B566" s="73" t="s">
        <v>1905</v>
      </c>
      <c r="N566" s="73" t="s">
        <v>1900</v>
      </c>
      <c r="P566" s="73"/>
      <c r="Q566" s="73"/>
      <c r="R566" s="73"/>
      <c r="S566" s="73"/>
      <c r="T566" s="73"/>
      <c r="U566" s="73"/>
      <c r="V566" s="73"/>
      <c r="W566" s="73"/>
      <c r="X566" s="73"/>
      <c r="Y566" s="73"/>
      <c r="Z566" s="73"/>
      <c r="AA566" s="73"/>
      <c r="AF566" s="73"/>
      <c r="AG566" s="73"/>
    </row>
    <row r="567" spans="2:33" x14ac:dyDescent="0.2">
      <c r="B567" s="73" t="s">
        <v>1904</v>
      </c>
      <c r="N567" s="73" t="s">
        <v>1900</v>
      </c>
      <c r="P567" s="73"/>
      <c r="Q567" s="73"/>
      <c r="R567" s="73"/>
      <c r="S567" s="73"/>
      <c r="T567" s="73"/>
      <c r="U567" s="73"/>
      <c r="V567" s="73"/>
      <c r="W567" s="73"/>
      <c r="X567" s="73"/>
      <c r="Y567" s="73"/>
      <c r="Z567" s="73"/>
      <c r="AA567" s="73"/>
      <c r="AF567" s="73"/>
      <c r="AG567" s="73"/>
    </row>
    <row r="568" spans="2:33" x14ac:dyDescent="0.2">
      <c r="B568" s="73" t="s">
        <v>1903</v>
      </c>
      <c r="N568" s="73" t="s">
        <v>1900</v>
      </c>
      <c r="P568" s="73"/>
      <c r="Q568" s="73"/>
      <c r="R568" s="73"/>
      <c r="S568" s="73"/>
      <c r="T568" s="73"/>
      <c r="U568" s="73"/>
      <c r="V568" s="73"/>
      <c r="W568" s="73"/>
      <c r="X568" s="73"/>
      <c r="Y568" s="73"/>
      <c r="Z568" s="73"/>
      <c r="AA568" s="73"/>
      <c r="AF568" s="73"/>
      <c r="AG568" s="73"/>
    </row>
    <row r="569" spans="2:33" x14ac:dyDescent="0.2">
      <c r="B569" s="73" t="s">
        <v>1902</v>
      </c>
      <c r="N569" s="73" t="s">
        <v>1900</v>
      </c>
      <c r="P569" s="73"/>
      <c r="Q569" s="73"/>
      <c r="R569" s="73"/>
      <c r="S569" s="73"/>
      <c r="T569" s="73"/>
      <c r="U569" s="73"/>
      <c r="V569" s="73"/>
      <c r="W569" s="73"/>
      <c r="X569" s="73"/>
      <c r="Y569" s="73"/>
      <c r="Z569" s="73"/>
      <c r="AA569" s="73"/>
      <c r="AF569" s="73"/>
      <c r="AG569" s="73"/>
    </row>
    <row r="570" spans="2:33" x14ac:dyDescent="0.2">
      <c r="B570" s="73" t="s">
        <v>1901</v>
      </c>
      <c r="N570" s="73" t="s">
        <v>1900</v>
      </c>
      <c r="P570" s="73"/>
      <c r="Q570" s="73"/>
      <c r="R570" s="73"/>
      <c r="S570" s="73"/>
      <c r="T570" s="73"/>
      <c r="U570" s="73"/>
      <c r="V570" s="73"/>
      <c r="W570" s="73"/>
      <c r="X570" s="73"/>
      <c r="Y570" s="73"/>
      <c r="Z570" s="73"/>
      <c r="AA570" s="73"/>
      <c r="AF570" s="73"/>
      <c r="AG570" s="73"/>
    </row>
    <row r="571" spans="2:33" x14ac:dyDescent="0.2">
      <c r="B571" s="73" t="s">
        <v>1899</v>
      </c>
      <c r="P571" s="73"/>
      <c r="Q571" s="73"/>
      <c r="R571" s="73"/>
      <c r="S571" s="73"/>
      <c r="T571" s="73"/>
      <c r="U571" s="73"/>
      <c r="V571" s="73"/>
      <c r="W571" s="73"/>
      <c r="X571" s="73"/>
      <c r="Y571" s="73"/>
      <c r="Z571" s="73"/>
      <c r="AA571" s="73"/>
      <c r="AF571" s="73"/>
      <c r="AG571" s="73"/>
    </row>
    <row r="572" spans="2:33" x14ac:dyDescent="0.2">
      <c r="B572" s="73" t="s">
        <v>1898</v>
      </c>
      <c r="P572" s="73"/>
      <c r="Q572" s="73"/>
      <c r="R572" s="73"/>
      <c r="S572" s="73"/>
      <c r="T572" s="73"/>
      <c r="U572" s="73"/>
      <c r="V572" s="73"/>
      <c r="W572" s="73"/>
      <c r="X572" s="73"/>
      <c r="Y572" s="73"/>
      <c r="Z572" s="73"/>
      <c r="AA572" s="73"/>
      <c r="AF572" s="73"/>
      <c r="AG572" s="73"/>
    </row>
    <row r="573" spans="2:33" x14ac:dyDescent="0.2">
      <c r="B573" s="73" t="s">
        <v>1897</v>
      </c>
      <c r="P573" s="73"/>
      <c r="Q573" s="73"/>
      <c r="R573" s="73"/>
      <c r="S573" s="73"/>
      <c r="T573" s="73"/>
      <c r="U573" s="73"/>
      <c r="V573" s="73"/>
      <c r="W573" s="73"/>
      <c r="X573" s="73"/>
      <c r="Y573" s="73"/>
      <c r="Z573" s="73"/>
      <c r="AA573" s="73"/>
      <c r="AF573" s="73"/>
      <c r="AG573" s="73"/>
    </row>
    <row r="574" spans="2:33" x14ac:dyDescent="0.2">
      <c r="B574" s="73" t="s">
        <v>1896</v>
      </c>
      <c r="P574" s="73"/>
      <c r="Q574" s="73"/>
      <c r="R574" s="73"/>
      <c r="S574" s="73"/>
      <c r="T574" s="73"/>
      <c r="U574" s="73"/>
      <c r="V574" s="73"/>
      <c r="W574" s="73"/>
      <c r="X574" s="73"/>
      <c r="Y574" s="73"/>
      <c r="Z574" s="73"/>
      <c r="AA574" s="73"/>
      <c r="AF574" s="73"/>
      <c r="AG574" s="73"/>
    </row>
    <row r="575" spans="2:33" x14ac:dyDescent="0.2">
      <c r="B575" s="73" t="s">
        <v>1895</v>
      </c>
      <c r="P575" s="73"/>
      <c r="Q575" s="73"/>
      <c r="R575" s="73"/>
      <c r="S575" s="73"/>
      <c r="T575" s="73"/>
      <c r="U575" s="73"/>
      <c r="V575" s="73"/>
      <c r="W575" s="73"/>
      <c r="X575" s="73"/>
      <c r="Y575" s="73"/>
      <c r="Z575" s="73"/>
      <c r="AA575" s="73"/>
      <c r="AF575" s="73"/>
      <c r="AG575" s="73"/>
    </row>
    <row r="576" spans="2:33" x14ac:dyDescent="0.2">
      <c r="B576" s="73" t="s">
        <v>1894</v>
      </c>
      <c r="P576" s="73"/>
      <c r="Q576" s="73"/>
      <c r="R576" s="73"/>
      <c r="S576" s="73"/>
      <c r="T576" s="73"/>
      <c r="U576" s="73"/>
      <c r="V576" s="73"/>
      <c r="W576" s="73"/>
      <c r="X576" s="73"/>
      <c r="Y576" s="73"/>
      <c r="Z576" s="73"/>
      <c r="AA576" s="73"/>
      <c r="AF576" s="73"/>
      <c r="AG576" s="73"/>
    </row>
    <row r="577" spans="1:33" x14ac:dyDescent="0.2">
      <c r="B577" s="73" t="s">
        <v>1893</v>
      </c>
      <c r="P577" s="73"/>
      <c r="Q577" s="73"/>
      <c r="R577" s="73"/>
      <c r="S577" s="73"/>
      <c r="T577" s="73"/>
      <c r="U577" s="73"/>
      <c r="V577" s="73"/>
      <c r="W577" s="73"/>
      <c r="X577" s="73"/>
      <c r="Y577" s="73"/>
      <c r="Z577" s="73"/>
      <c r="AA577" s="73"/>
      <c r="AF577" s="73"/>
      <c r="AG577" s="73"/>
    </row>
    <row r="578" spans="1:33" x14ac:dyDescent="0.2">
      <c r="B578" s="73" t="s">
        <v>1892</v>
      </c>
    </row>
    <row r="579" spans="1:33" x14ac:dyDescent="0.2">
      <c r="B579" s="73" t="s">
        <v>1891</v>
      </c>
    </row>
    <row r="580" spans="1:33" x14ac:dyDescent="0.2">
      <c r="B580" s="73" t="s">
        <v>1890</v>
      </c>
    </row>
    <row r="581" spans="1:33" x14ac:dyDescent="0.2">
      <c r="B581" s="73" t="s">
        <v>1889</v>
      </c>
    </row>
    <row r="582" spans="1:33" x14ac:dyDescent="0.2">
      <c r="B582" s="73" t="s">
        <v>1888</v>
      </c>
    </row>
    <row r="583" spans="1:33" x14ac:dyDescent="0.2">
      <c r="B583" s="73" t="s">
        <v>1887</v>
      </c>
      <c r="I583" s="250" t="s">
        <v>7620</v>
      </c>
    </row>
    <row r="584" spans="1:33" x14ac:dyDescent="0.2">
      <c r="B584" s="73" t="s">
        <v>1886</v>
      </c>
    </row>
    <row r="585" spans="1:33" x14ac:dyDescent="0.2">
      <c r="B585" s="73" t="s">
        <v>1885</v>
      </c>
    </row>
    <row r="586" spans="1:33" x14ac:dyDescent="0.2">
      <c r="B586" s="73" t="s">
        <v>1884</v>
      </c>
    </row>
    <row r="587" spans="1:33" x14ac:dyDescent="0.2">
      <c r="B587" s="73" t="s">
        <v>1883</v>
      </c>
    </row>
    <row r="588" spans="1:33" x14ac:dyDescent="0.2">
      <c r="B588" s="73" t="s">
        <v>1882</v>
      </c>
    </row>
    <row r="589" spans="1:33" s="12" customFormat="1" x14ac:dyDescent="0.2">
      <c r="A589" s="73"/>
      <c r="B589" s="12" t="s">
        <v>1881</v>
      </c>
      <c r="C589" s="29"/>
      <c r="D589" s="15"/>
      <c r="F589" s="15"/>
      <c r="G589" s="15"/>
      <c r="H589" s="13"/>
      <c r="K589" s="12" t="s">
        <v>2048</v>
      </c>
      <c r="L589" s="12" t="s">
        <v>2459</v>
      </c>
      <c r="P589" s="24"/>
      <c r="Q589" s="24"/>
      <c r="R589" s="24"/>
      <c r="S589" s="24"/>
      <c r="T589" s="24"/>
      <c r="U589" s="24"/>
      <c r="V589" s="24"/>
      <c r="W589" s="24"/>
      <c r="X589" s="24"/>
      <c r="Y589" s="24"/>
      <c r="Z589" s="24"/>
      <c r="AA589" s="24"/>
      <c r="AF589" s="65">
        <v>2.8210000000000002</v>
      </c>
      <c r="AG589" s="71">
        <v>0.10277777777777779</v>
      </c>
    </row>
    <row r="590" spans="1:33" x14ac:dyDescent="0.2">
      <c r="B590" s="73" t="s">
        <v>1880</v>
      </c>
    </row>
    <row r="591" spans="1:33" x14ac:dyDescent="0.2">
      <c r="B591" s="73" t="s">
        <v>1879</v>
      </c>
    </row>
    <row r="592" spans="1:33" x14ac:dyDescent="0.2">
      <c r="B592" s="73" t="s">
        <v>1878</v>
      </c>
      <c r="K592" s="92" t="s">
        <v>2048</v>
      </c>
      <c r="L592" s="92" t="s">
        <v>2082</v>
      </c>
    </row>
    <row r="593" spans="1:33" x14ac:dyDescent="0.2">
      <c r="A593" s="12"/>
      <c r="B593" s="73" t="s">
        <v>1877</v>
      </c>
    </row>
    <row r="594" spans="1:33" x14ac:dyDescent="0.2">
      <c r="B594" s="73" t="s">
        <v>1876</v>
      </c>
      <c r="C594" s="73"/>
      <c r="D594" s="73"/>
      <c r="F594" s="73"/>
      <c r="G594" s="73"/>
      <c r="H594" s="73"/>
      <c r="P594" s="73"/>
      <c r="Q594" s="73"/>
      <c r="R594" s="73"/>
      <c r="S594" s="73"/>
      <c r="T594" s="73"/>
      <c r="U594" s="73"/>
      <c r="V594" s="73"/>
      <c r="W594" s="73"/>
      <c r="X594" s="73"/>
      <c r="Y594" s="73"/>
      <c r="Z594" s="73"/>
      <c r="AA594" s="73"/>
      <c r="AF594" s="73"/>
      <c r="AG594" s="73"/>
    </row>
    <row r="595" spans="1:33" x14ac:dyDescent="0.2">
      <c r="B595" s="73" t="s">
        <v>1875</v>
      </c>
      <c r="C595" s="73"/>
      <c r="D595" s="73"/>
      <c r="F595" s="73"/>
      <c r="G595" s="73"/>
      <c r="H595" s="73"/>
      <c r="P595" s="73"/>
      <c r="Q595" s="73"/>
      <c r="R595" s="73"/>
      <c r="S595" s="73"/>
      <c r="T595" s="73"/>
      <c r="U595" s="73"/>
      <c r="V595" s="73"/>
      <c r="W595" s="73"/>
      <c r="X595" s="73"/>
      <c r="Y595" s="73"/>
      <c r="Z595" s="73"/>
      <c r="AA595" s="73"/>
      <c r="AF595" s="73"/>
      <c r="AG595" s="73"/>
    </row>
    <row r="596" spans="1:33" x14ac:dyDescent="0.2">
      <c r="B596" s="73" t="s">
        <v>1874</v>
      </c>
      <c r="C596" s="73"/>
      <c r="D596" s="73"/>
      <c r="F596" s="73"/>
      <c r="G596" s="73"/>
      <c r="H596" s="73"/>
      <c r="P596" s="73"/>
      <c r="Q596" s="73"/>
      <c r="R596" s="73"/>
      <c r="S596" s="73"/>
      <c r="T596" s="73"/>
      <c r="U596" s="73"/>
      <c r="V596" s="73"/>
      <c r="W596" s="73"/>
      <c r="X596" s="73"/>
      <c r="Y596" s="73"/>
      <c r="Z596" s="73"/>
      <c r="AA596" s="73"/>
      <c r="AF596" s="73"/>
      <c r="AG596" s="73"/>
    </row>
    <row r="597" spans="1:33" x14ac:dyDescent="0.2">
      <c r="B597" s="73" t="s">
        <v>1873</v>
      </c>
      <c r="C597" s="73"/>
      <c r="D597" s="73"/>
      <c r="F597" s="73"/>
      <c r="G597" s="73"/>
      <c r="H597" s="73"/>
      <c r="P597" s="73"/>
      <c r="Q597" s="73"/>
      <c r="R597" s="73"/>
      <c r="S597" s="73"/>
      <c r="T597" s="73"/>
      <c r="U597" s="73"/>
      <c r="V597" s="73"/>
      <c r="W597" s="73"/>
      <c r="X597" s="73"/>
      <c r="Y597" s="73"/>
      <c r="Z597" s="73"/>
      <c r="AA597" s="73"/>
      <c r="AF597" s="73"/>
      <c r="AG597" s="73"/>
    </row>
    <row r="598" spans="1:33" x14ac:dyDescent="0.2">
      <c r="B598" s="73" t="s">
        <v>1872</v>
      </c>
      <c r="C598" s="73"/>
      <c r="D598" s="73"/>
      <c r="F598" s="73"/>
      <c r="G598" s="73"/>
      <c r="H598" s="73"/>
      <c r="P598" s="73"/>
      <c r="Q598" s="73"/>
      <c r="R598" s="73"/>
      <c r="S598" s="73"/>
      <c r="T598" s="73"/>
      <c r="U598" s="73"/>
      <c r="V598" s="73"/>
      <c r="W598" s="73"/>
      <c r="X598" s="73"/>
      <c r="Y598" s="73"/>
      <c r="Z598" s="73"/>
      <c r="AA598" s="73"/>
      <c r="AF598" s="73"/>
      <c r="AG598" s="73"/>
    </row>
    <row r="599" spans="1:33" x14ac:dyDescent="0.2">
      <c r="B599" s="73" t="s">
        <v>1871</v>
      </c>
      <c r="C599" s="73"/>
      <c r="D599" s="73"/>
      <c r="F599" s="73"/>
      <c r="G599" s="73"/>
      <c r="H599" s="73"/>
      <c r="P599" s="73"/>
      <c r="Q599" s="73"/>
      <c r="R599" s="73"/>
      <c r="S599" s="73"/>
      <c r="T599" s="73"/>
      <c r="U599" s="73"/>
      <c r="V599" s="73"/>
      <c r="W599" s="73"/>
      <c r="X599" s="73"/>
      <c r="Y599" s="73"/>
      <c r="Z599" s="73"/>
      <c r="AA599" s="73"/>
      <c r="AF599" s="73"/>
      <c r="AG599" s="73"/>
    </row>
    <row r="600" spans="1:33" x14ac:dyDescent="0.2">
      <c r="B600" s="73" t="s">
        <v>1870</v>
      </c>
      <c r="C600" s="73"/>
      <c r="D600" s="73"/>
      <c r="F600" s="73"/>
      <c r="G600" s="73"/>
      <c r="H600" s="73"/>
      <c r="P600" s="73"/>
      <c r="Q600" s="73"/>
      <c r="R600" s="73"/>
      <c r="S600" s="73"/>
      <c r="T600" s="73"/>
      <c r="U600" s="73"/>
      <c r="V600" s="73"/>
      <c r="W600" s="73"/>
      <c r="X600" s="73"/>
      <c r="Y600" s="73"/>
      <c r="Z600" s="73"/>
      <c r="AA600" s="73"/>
      <c r="AF600" s="73"/>
      <c r="AG600" s="73"/>
    </row>
    <row r="601" spans="1:33" x14ac:dyDescent="0.2">
      <c r="B601" s="73" t="s">
        <v>1869</v>
      </c>
      <c r="C601" s="73"/>
      <c r="D601" s="73"/>
      <c r="F601" s="73"/>
      <c r="G601" s="73"/>
      <c r="H601" s="73"/>
      <c r="P601" s="73"/>
      <c r="Q601" s="73"/>
      <c r="R601" s="73"/>
      <c r="S601" s="73"/>
      <c r="T601" s="73"/>
      <c r="U601" s="73"/>
      <c r="V601" s="73"/>
      <c r="W601" s="73"/>
      <c r="X601" s="73"/>
      <c r="Y601" s="73"/>
      <c r="Z601" s="73"/>
      <c r="AA601" s="73"/>
      <c r="AF601" s="73"/>
      <c r="AG601" s="73"/>
    </row>
    <row r="602" spans="1:33" x14ac:dyDescent="0.2">
      <c r="B602" s="73" t="s">
        <v>1868</v>
      </c>
      <c r="C602" s="73"/>
      <c r="D602" s="73"/>
      <c r="F602" s="73"/>
      <c r="G602" s="73"/>
      <c r="H602" s="73"/>
      <c r="P602" s="73"/>
      <c r="Q602" s="73"/>
      <c r="R602" s="73"/>
      <c r="S602" s="73"/>
      <c r="T602" s="73"/>
      <c r="U602" s="73"/>
      <c r="V602" s="73"/>
      <c r="W602" s="73"/>
      <c r="X602" s="73"/>
      <c r="Y602" s="73"/>
      <c r="Z602" s="73"/>
      <c r="AA602" s="73"/>
      <c r="AF602" s="73"/>
      <c r="AG602" s="73"/>
    </row>
    <row r="603" spans="1:33" x14ac:dyDescent="0.2">
      <c r="B603" s="73" t="s">
        <v>1867</v>
      </c>
      <c r="C603" s="73"/>
      <c r="D603" s="73"/>
      <c r="F603" s="73"/>
      <c r="G603" s="73"/>
      <c r="H603" s="73"/>
      <c r="P603" s="73"/>
      <c r="Q603" s="73"/>
      <c r="R603" s="73"/>
      <c r="S603" s="73"/>
      <c r="T603" s="73"/>
      <c r="U603" s="73"/>
      <c r="V603" s="73"/>
      <c r="W603" s="73"/>
      <c r="X603" s="73"/>
      <c r="Y603" s="73"/>
      <c r="Z603" s="73"/>
      <c r="AA603" s="73"/>
      <c r="AF603" s="73"/>
      <c r="AG603" s="73"/>
    </row>
    <row r="604" spans="1:33" x14ac:dyDescent="0.2">
      <c r="B604" s="73" t="s">
        <v>1866</v>
      </c>
      <c r="C604" s="73"/>
      <c r="D604" s="73"/>
      <c r="F604" s="73"/>
      <c r="G604" s="73"/>
      <c r="H604" s="73"/>
      <c r="P604" s="73"/>
      <c r="Q604" s="73"/>
      <c r="R604" s="73"/>
      <c r="S604" s="73"/>
      <c r="T604" s="73"/>
      <c r="U604" s="73"/>
      <c r="V604" s="73"/>
      <c r="W604" s="73"/>
      <c r="X604" s="73"/>
      <c r="Y604" s="73"/>
      <c r="Z604" s="73"/>
      <c r="AA604" s="73"/>
      <c r="AF604" s="73"/>
      <c r="AG604" s="73"/>
    </row>
    <row r="605" spans="1:33" x14ac:dyDescent="0.2">
      <c r="B605" s="73" t="s">
        <v>1865</v>
      </c>
      <c r="C605" s="73"/>
      <c r="D605" s="73"/>
      <c r="F605" s="73"/>
      <c r="G605" s="73"/>
      <c r="H605" s="73"/>
      <c r="P605" s="73"/>
      <c r="Q605" s="73"/>
      <c r="R605" s="73"/>
      <c r="S605" s="73"/>
      <c r="T605" s="73"/>
      <c r="U605" s="73"/>
      <c r="V605" s="73"/>
      <c r="W605" s="73"/>
      <c r="X605" s="73"/>
      <c r="Y605" s="73"/>
      <c r="Z605" s="73"/>
      <c r="AA605" s="73"/>
      <c r="AF605" s="73"/>
      <c r="AG605" s="73"/>
    </row>
    <row r="606" spans="1:33" x14ac:dyDescent="0.2">
      <c r="B606" s="73" t="s">
        <v>1864</v>
      </c>
      <c r="C606" s="73"/>
      <c r="D606" s="73"/>
      <c r="F606" s="73"/>
      <c r="G606" s="73"/>
      <c r="H606" s="73"/>
      <c r="P606" s="73"/>
      <c r="Q606" s="73"/>
      <c r="R606" s="73"/>
      <c r="S606" s="73"/>
      <c r="T606" s="73"/>
      <c r="U606" s="73"/>
      <c r="V606" s="73"/>
      <c r="W606" s="73"/>
      <c r="X606" s="73"/>
      <c r="Y606" s="73"/>
      <c r="Z606" s="73"/>
      <c r="AA606" s="73"/>
      <c r="AF606" s="73"/>
      <c r="AG606" s="73"/>
    </row>
    <row r="607" spans="1:33" x14ac:dyDescent="0.2">
      <c r="B607" s="73" t="s">
        <v>1863</v>
      </c>
      <c r="C607" s="73"/>
      <c r="D607" s="73"/>
      <c r="F607" s="73"/>
      <c r="G607" s="73"/>
      <c r="H607" s="73"/>
      <c r="P607" s="73"/>
      <c r="Q607" s="73"/>
      <c r="R607" s="73"/>
      <c r="S607" s="73"/>
      <c r="T607" s="73"/>
      <c r="U607" s="73"/>
      <c r="V607" s="73"/>
      <c r="W607" s="73"/>
      <c r="X607" s="73"/>
      <c r="Y607" s="73"/>
      <c r="Z607" s="73"/>
      <c r="AA607" s="73"/>
      <c r="AF607" s="73"/>
      <c r="AG607" s="73"/>
    </row>
    <row r="608" spans="1:33" x14ac:dyDescent="0.2">
      <c r="B608" s="73" t="s">
        <v>1862</v>
      </c>
      <c r="C608" s="73"/>
      <c r="D608" s="73"/>
      <c r="F608" s="73"/>
      <c r="G608" s="73"/>
      <c r="H608" s="73"/>
      <c r="P608" s="73"/>
      <c r="Q608" s="73"/>
      <c r="R608" s="73"/>
      <c r="S608" s="73"/>
      <c r="T608" s="73"/>
      <c r="U608" s="73"/>
      <c r="V608" s="73"/>
      <c r="W608" s="73"/>
      <c r="X608" s="73"/>
      <c r="Y608" s="73"/>
      <c r="Z608" s="73"/>
      <c r="AA608" s="73"/>
      <c r="AF608" s="73"/>
      <c r="AG608" s="73"/>
    </row>
    <row r="609" spans="2:33" x14ac:dyDescent="0.2">
      <c r="B609" s="73" t="s">
        <v>1861</v>
      </c>
      <c r="C609" s="73"/>
      <c r="D609" s="73"/>
      <c r="F609" s="73"/>
      <c r="G609" s="73"/>
      <c r="H609" s="73"/>
      <c r="P609" s="73"/>
      <c r="Q609" s="73"/>
      <c r="R609" s="73"/>
      <c r="S609" s="73"/>
      <c r="T609" s="73"/>
      <c r="U609" s="73"/>
      <c r="V609" s="73"/>
      <c r="W609" s="73"/>
      <c r="X609" s="73"/>
      <c r="Y609" s="73"/>
      <c r="Z609" s="73"/>
      <c r="AA609" s="73"/>
      <c r="AF609" s="73"/>
      <c r="AG609" s="73"/>
    </row>
    <row r="610" spans="2:33" x14ac:dyDescent="0.2">
      <c r="B610" s="73" t="s">
        <v>1860</v>
      </c>
      <c r="AF610" s="73"/>
      <c r="AG610" s="73"/>
    </row>
    <row r="611" spans="2:33" x14ac:dyDescent="0.2">
      <c r="B611" s="73" t="s">
        <v>1859</v>
      </c>
      <c r="AF611" s="73"/>
      <c r="AG611" s="73"/>
    </row>
    <row r="612" spans="2:33" x14ac:dyDescent="0.2">
      <c r="B612" s="73" t="s">
        <v>1858</v>
      </c>
      <c r="AF612" s="73"/>
      <c r="AG612" s="73"/>
    </row>
    <row r="613" spans="2:33" x14ac:dyDescent="0.2">
      <c r="B613" s="73" t="s">
        <v>1857</v>
      </c>
      <c r="AF613" s="73"/>
      <c r="AG613" s="73"/>
    </row>
    <row r="614" spans="2:33" x14ac:dyDescent="0.2">
      <c r="B614" s="73" t="s">
        <v>1856</v>
      </c>
      <c r="AF614" s="73"/>
      <c r="AG614" s="73"/>
    </row>
    <row r="615" spans="2:33" x14ac:dyDescent="0.2">
      <c r="B615" s="73" t="s">
        <v>1855</v>
      </c>
      <c r="AF615" s="73"/>
      <c r="AG615" s="73"/>
    </row>
    <row r="616" spans="2:33" x14ac:dyDescent="0.2">
      <c r="B616" s="73" t="s">
        <v>1854</v>
      </c>
      <c r="AF616" s="73"/>
      <c r="AG616" s="73"/>
    </row>
    <row r="617" spans="2:33" x14ac:dyDescent="0.2">
      <c r="B617" s="73" t="s">
        <v>1853</v>
      </c>
      <c r="AF617" s="73"/>
      <c r="AG617" s="73"/>
    </row>
    <row r="618" spans="2:33" x14ac:dyDescent="0.2">
      <c r="B618" s="73" t="s">
        <v>1852</v>
      </c>
      <c r="AF618" s="73"/>
      <c r="AG618" s="73"/>
    </row>
    <row r="619" spans="2:33" x14ac:dyDescent="0.2">
      <c r="B619" s="73" t="s">
        <v>1851</v>
      </c>
      <c r="AF619" s="73"/>
      <c r="AG619" s="73"/>
    </row>
    <row r="620" spans="2:33" x14ac:dyDescent="0.2">
      <c r="B620" s="73" t="s">
        <v>1850</v>
      </c>
      <c r="AF620" s="73"/>
      <c r="AG620" s="73"/>
    </row>
    <row r="621" spans="2:33" x14ac:dyDescent="0.2">
      <c r="B621" s="73" t="s">
        <v>1849</v>
      </c>
      <c r="C621" s="74" t="s">
        <v>1691</v>
      </c>
      <c r="N621" s="73" t="s">
        <v>1706</v>
      </c>
      <c r="AF621" s="73"/>
      <c r="AG621" s="73"/>
    </row>
    <row r="622" spans="2:33" x14ac:dyDescent="0.2">
      <c r="B622" s="73" t="s">
        <v>1848</v>
      </c>
      <c r="C622" s="74" t="s">
        <v>1691</v>
      </c>
      <c r="AF622" s="73"/>
      <c r="AG622" s="73"/>
    </row>
    <row r="623" spans="2:33" x14ac:dyDescent="0.2">
      <c r="B623" s="73" t="s">
        <v>1847</v>
      </c>
      <c r="C623" s="74" t="s">
        <v>1691</v>
      </c>
      <c r="N623" s="73" t="s">
        <v>1805</v>
      </c>
      <c r="AE623" s="92" t="s">
        <v>6029</v>
      </c>
      <c r="AF623" s="73"/>
      <c r="AG623" s="73"/>
    </row>
    <row r="624" spans="2:33" x14ac:dyDescent="0.2">
      <c r="B624" s="73" t="s">
        <v>1846</v>
      </c>
      <c r="C624" s="74" t="s">
        <v>1691</v>
      </c>
      <c r="N624" s="73" t="s">
        <v>1805</v>
      </c>
      <c r="AF624" s="73"/>
      <c r="AG624" s="73"/>
    </row>
    <row r="625" spans="2:33" x14ac:dyDescent="0.2">
      <c r="B625" s="73" t="s">
        <v>1845</v>
      </c>
      <c r="C625" s="74" t="s">
        <v>1691</v>
      </c>
      <c r="N625" s="73" t="s">
        <v>1805</v>
      </c>
      <c r="AF625" s="73"/>
      <c r="AG625" s="73"/>
    </row>
    <row r="626" spans="2:33" x14ac:dyDescent="0.2">
      <c r="B626" s="73" t="s">
        <v>1844</v>
      </c>
      <c r="C626" s="74" t="s">
        <v>1691</v>
      </c>
      <c r="N626" s="73" t="s">
        <v>1805</v>
      </c>
      <c r="P626" s="73"/>
      <c r="Q626" s="73"/>
      <c r="R626" s="73"/>
      <c r="S626" s="73"/>
      <c r="T626" s="73"/>
      <c r="U626" s="73"/>
      <c r="V626" s="73"/>
      <c r="W626" s="73"/>
      <c r="X626" s="73"/>
      <c r="Y626" s="73"/>
      <c r="Z626" s="73"/>
      <c r="AA626" s="73"/>
      <c r="AF626" s="73"/>
      <c r="AG626" s="73"/>
    </row>
    <row r="627" spans="2:33" x14ac:dyDescent="0.2">
      <c r="B627" s="73" t="s">
        <v>1843</v>
      </c>
      <c r="C627" s="74" t="s">
        <v>1691</v>
      </c>
      <c r="N627" s="73" t="s">
        <v>1805</v>
      </c>
      <c r="P627" s="73"/>
      <c r="Q627" s="73"/>
      <c r="R627" s="73"/>
      <c r="S627" s="73"/>
      <c r="T627" s="73"/>
      <c r="U627" s="73"/>
      <c r="V627" s="73"/>
      <c r="W627" s="73"/>
      <c r="X627" s="73"/>
      <c r="Y627" s="73"/>
      <c r="Z627" s="73"/>
      <c r="AA627" s="73"/>
      <c r="AF627" s="73"/>
      <c r="AG627" s="73"/>
    </row>
    <row r="628" spans="2:33" x14ac:dyDescent="0.2">
      <c r="B628" s="73" t="s">
        <v>1842</v>
      </c>
      <c r="C628" s="74" t="s">
        <v>1691</v>
      </c>
      <c r="N628" s="73" t="s">
        <v>1805</v>
      </c>
      <c r="P628" s="73"/>
      <c r="Q628" s="73"/>
      <c r="R628" s="73"/>
      <c r="S628" s="73"/>
      <c r="T628" s="73"/>
      <c r="U628" s="73"/>
      <c r="V628" s="73"/>
      <c r="W628" s="73"/>
      <c r="X628" s="73"/>
      <c r="Y628" s="73"/>
      <c r="Z628" s="73"/>
      <c r="AA628" s="73"/>
      <c r="AF628" s="73"/>
      <c r="AG628" s="73"/>
    </row>
    <row r="629" spans="2:33" x14ac:dyDescent="0.2">
      <c r="B629" s="73" t="s">
        <v>1841</v>
      </c>
      <c r="C629" s="74" t="s">
        <v>1691</v>
      </c>
      <c r="N629" s="73" t="s">
        <v>1805</v>
      </c>
      <c r="P629" s="73"/>
      <c r="Q629" s="73"/>
      <c r="R629" s="73"/>
      <c r="S629" s="73"/>
      <c r="T629" s="73"/>
      <c r="U629" s="73"/>
      <c r="V629" s="73"/>
      <c r="W629" s="73"/>
      <c r="X629" s="73"/>
      <c r="Y629" s="73"/>
      <c r="Z629" s="73"/>
      <c r="AA629" s="73"/>
      <c r="AF629" s="73"/>
      <c r="AG629" s="73"/>
    </row>
    <row r="630" spans="2:33" x14ac:dyDescent="0.2">
      <c r="B630" s="73" t="s">
        <v>1840</v>
      </c>
      <c r="C630" s="74" t="s">
        <v>1691</v>
      </c>
      <c r="N630" s="73" t="s">
        <v>1805</v>
      </c>
      <c r="P630" s="73"/>
      <c r="Q630" s="73"/>
      <c r="R630" s="73"/>
      <c r="S630" s="73"/>
      <c r="T630" s="73"/>
      <c r="U630" s="73"/>
      <c r="V630" s="73"/>
      <c r="W630" s="73"/>
      <c r="X630" s="73"/>
      <c r="Y630" s="73"/>
      <c r="Z630" s="73"/>
      <c r="AA630" s="73"/>
      <c r="AF630" s="73"/>
      <c r="AG630" s="73"/>
    </row>
    <row r="631" spans="2:33" x14ac:dyDescent="0.2">
      <c r="B631" s="73" t="s">
        <v>1839</v>
      </c>
      <c r="C631" s="74" t="s">
        <v>1691</v>
      </c>
      <c r="N631" s="73" t="s">
        <v>1805</v>
      </c>
      <c r="P631" s="73"/>
      <c r="Q631" s="73"/>
      <c r="R631" s="73"/>
      <c r="S631" s="73"/>
      <c r="T631" s="73"/>
      <c r="U631" s="73"/>
      <c r="V631" s="73"/>
      <c r="W631" s="73"/>
      <c r="X631" s="73"/>
      <c r="Y631" s="73"/>
      <c r="Z631" s="73"/>
      <c r="AA631" s="73"/>
      <c r="AF631" s="73"/>
      <c r="AG631" s="73"/>
    </row>
    <row r="632" spans="2:33" x14ac:dyDescent="0.2">
      <c r="B632" s="73" t="s">
        <v>1838</v>
      </c>
      <c r="C632" s="74" t="s">
        <v>1691</v>
      </c>
      <c r="N632" s="73" t="s">
        <v>1805</v>
      </c>
      <c r="P632" s="73"/>
      <c r="Q632" s="73"/>
      <c r="R632" s="73"/>
      <c r="S632" s="73"/>
      <c r="T632" s="73"/>
      <c r="U632" s="73"/>
      <c r="V632" s="73"/>
      <c r="W632" s="73"/>
      <c r="X632" s="73"/>
      <c r="Y632" s="73"/>
      <c r="Z632" s="73"/>
      <c r="AA632" s="73"/>
      <c r="AF632" s="73"/>
      <c r="AG632" s="73"/>
    </row>
    <row r="633" spans="2:33" x14ac:dyDescent="0.2">
      <c r="B633" s="73" t="s">
        <v>1837</v>
      </c>
      <c r="C633" s="74" t="s">
        <v>1691</v>
      </c>
      <c r="N633" s="73" t="s">
        <v>1805</v>
      </c>
      <c r="P633" s="73"/>
      <c r="Q633" s="73"/>
      <c r="R633" s="73"/>
      <c r="S633" s="73"/>
      <c r="T633" s="73"/>
      <c r="U633" s="73"/>
      <c r="V633" s="73"/>
      <c r="W633" s="73"/>
      <c r="X633" s="73"/>
      <c r="Y633" s="73"/>
      <c r="Z633" s="73"/>
      <c r="AA633" s="73"/>
      <c r="AF633" s="73"/>
      <c r="AG633" s="73"/>
    </row>
    <row r="634" spans="2:33" x14ac:dyDescent="0.2">
      <c r="B634" s="73" t="s">
        <v>1836</v>
      </c>
      <c r="C634" s="74" t="s">
        <v>1691</v>
      </c>
      <c r="N634" s="73" t="s">
        <v>1805</v>
      </c>
      <c r="P634" s="73"/>
      <c r="Q634" s="73"/>
      <c r="R634" s="73"/>
      <c r="S634" s="73"/>
      <c r="T634" s="73"/>
      <c r="U634" s="73"/>
      <c r="V634" s="73"/>
      <c r="W634" s="73"/>
      <c r="X634" s="73"/>
      <c r="Y634" s="73"/>
      <c r="Z634" s="73"/>
      <c r="AA634" s="73"/>
      <c r="AF634" s="73"/>
      <c r="AG634" s="73"/>
    </row>
    <row r="635" spans="2:33" x14ac:dyDescent="0.2">
      <c r="B635" s="73" t="s">
        <v>1835</v>
      </c>
      <c r="C635" s="74" t="s">
        <v>1691</v>
      </c>
      <c r="N635" s="73" t="s">
        <v>1805</v>
      </c>
      <c r="P635" s="73"/>
      <c r="Q635" s="73"/>
      <c r="R635" s="73"/>
      <c r="S635" s="73"/>
      <c r="T635" s="73"/>
      <c r="U635" s="73"/>
      <c r="V635" s="73"/>
      <c r="W635" s="73"/>
      <c r="X635" s="73"/>
      <c r="Y635" s="73"/>
      <c r="Z635" s="73"/>
      <c r="AA635" s="73"/>
      <c r="AF635" s="73"/>
      <c r="AG635" s="73"/>
    </row>
    <row r="636" spans="2:33" x14ac:dyDescent="0.2">
      <c r="B636" s="73" t="s">
        <v>1834</v>
      </c>
      <c r="C636" s="74" t="s">
        <v>1691</v>
      </c>
      <c r="N636" s="73" t="s">
        <v>1805</v>
      </c>
      <c r="P636" s="73"/>
      <c r="Q636" s="73"/>
      <c r="R636" s="73"/>
      <c r="S636" s="73"/>
      <c r="T636" s="73"/>
      <c r="U636" s="73"/>
      <c r="V636" s="73"/>
      <c r="W636" s="73"/>
      <c r="X636" s="73"/>
      <c r="Y636" s="73"/>
      <c r="Z636" s="73"/>
      <c r="AA636" s="73"/>
      <c r="AF636" s="73"/>
      <c r="AG636" s="73"/>
    </row>
    <row r="637" spans="2:33" x14ac:dyDescent="0.2">
      <c r="B637" s="73" t="s">
        <v>1833</v>
      </c>
      <c r="C637" s="74" t="s">
        <v>1691</v>
      </c>
      <c r="N637" s="73" t="s">
        <v>1805</v>
      </c>
      <c r="P637" s="73"/>
      <c r="Q637" s="73"/>
      <c r="R637" s="73"/>
      <c r="S637" s="73"/>
      <c r="T637" s="73"/>
      <c r="U637" s="73"/>
      <c r="V637" s="73"/>
      <c r="W637" s="73"/>
      <c r="X637" s="73"/>
      <c r="Y637" s="73"/>
      <c r="Z637" s="73"/>
      <c r="AA637" s="73"/>
      <c r="AF637" s="73"/>
      <c r="AG637" s="73"/>
    </row>
    <row r="638" spans="2:33" x14ac:dyDescent="0.2">
      <c r="B638" s="73" t="s">
        <v>1832</v>
      </c>
      <c r="C638" s="74" t="s">
        <v>1691</v>
      </c>
      <c r="N638" s="73" t="s">
        <v>1805</v>
      </c>
      <c r="P638" s="73"/>
      <c r="Q638" s="73"/>
      <c r="R638" s="73"/>
      <c r="S638" s="73"/>
      <c r="T638" s="73"/>
      <c r="U638" s="73"/>
      <c r="V638" s="73"/>
      <c r="W638" s="73"/>
      <c r="X638" s="73"/>
      <c r="Y638" s="73"/>
      <c r="Z638" s="73"/>
      <c r="AA638" s="73"/>
      <c r="AF638" s="73"/>
      <c r="AG638" s="73"/>
    </row>
    <row r="639" spans="2:33" x14ac:dyDescent="0.2">
      <c r="B639" s="73" t="s">
        <v>1831</v>
      </c>
      <c r="C639" s="74" t="s">
        <v>1691</v>
      </c>
      <c r="N639" s="73" t="s">
        <v>1805</v>
      </c>
      <c r="P639" s="73"/>
      <c r="Q639" s="73"/>
      <c r="R639" s="73"/>
      <c r="S639" s="73"/>
      <c r="T639" s="73"/>
      <c r="U639" s="73"/>
      <c r="V639" s="73"/>
      <c r="W639" s="73"/>
      <c r="X639" s="73"/>
      <c r="Y639" s="73"/>
      <c r="Z639" s="73"/>
      <c r="AA639" s="73"/>
      <c r="AF639" s="73"/>
      <c r="AG639" s="73"/>
    </row>
    <row r="640" spans="2:33" x14ac:dyDescent="0.2">
      <c r="B640" s="73" t="s">
        <v>1830</v>
      </c>
      <c r="C640" s="74" t="s">
        <v>1691</v>
      </c>
      <c r="N640" s="73" t="s">
        <v>1805</v>
      </c>
      <c r="P640" s="73"/>
      <c r="Q640" s="73"/>
      <c r="R640" s="73"/>
      <c r="S640" s="73"/>
      <c r="T640" s="73"/>
      <c r="U640" s="73"/>
      <c r="V640" s="73"/>
      <c r="W640" s="73"/>
      <c r="X640" s="73"/>
      <c r="Y640" s="73"/>
      <c r="Z640" s="73"/>
      <c r="AA640" s="73"/>
      <c r="AF640" s="73"/>
      <c r="AG640" s="73"/>
    </row>
    <row r="641" spans="2:33" x14ac:dyDescent="0.2">
      <c r="B641" s="73" t="s">
        <v>1829</v>
      </c>
      <c r="C641" s="74" t="s">
        <v>1691</v>
      </c>
      <c r="N641" s="73" t="s">
        <v>1805</v>
      </c>
      <c r="P641" s="73"/>
      <c r="Q641" s="73"/>
      <c r="R641" s="73"/>
      <c r="S641" s="73"/>
      <c r="T641" s="73"/>
      <c r="U641" s="73"/>
      <c r="V641" s="73"/>
      <c r="W641" s="73"/>
      <c r="X641" s="73"/>
      <c r="Y641" s="73"/>
      <c r="Z641" s="73"/>
      <c r="AA641" s="73"/>
      <c r="AF641" s="73"/>
      <c r="AG641" s="73"/>
    </row>
    <row r="642" spans="2:33" x14ac:dyDescent="0.2">
      <c r="B642" s="73" t="s">
        <v>1828</v>
      </c>
      <c r="C642" s="74" t="s">
        <v>1691</v>
      </c>
      <c r="N642" s="73" t="s">
        <v>1805</v>
      </c>
      <c r="P642" s="73"/>
      <c r="Q642" s="73"/>
      <c r="R642" s="73"/>
      <c r="S642" s="73"/>
      <c r="T642" s="73"/>
      <c r="U642" s="73"/>
      <c r="V642" s="73"/>
      <c r="W642" s="73"/>
      <c r="X642" s="73"/>
      <c r="Y642" s="73"/>
      <c r="Z642" s="73"/>
      <c r="AA642" s="73"/>
      <c r="AF642" s="73"/>
      <c r="AG642" s="73"/>
    </row>
    <row r="643" spans="2:33" x14ac:dyDescent="0.2">
      <c r="B643" s="73" t="s">
        <v>1827</v>
      </c>
      <c r="C643" s="74" t="s">
        <v>1691</v>
      </c>
      <c r="N643" s="73" t="s">
        <v>1805</v>
      </c>
      <c r="P643" s="73"/>
      <c r="Q643" s="73"/>
      <c r="R643" s="73"/>
      <c r="S643" s="73"/>
      <c r="T643" s="73"/>
      <c r="U643" s="73"/>
      <c r="V643" s="73"/>
      <c r="W643" s="73"/>
      <c r="X643" s="73"/>
      <c r="Y643" s="73"/>
      <c r="Z643" s="73"/>
      <c r="AA643" s="73"/>
      <c r="AF643" s="73"/>
      <c r="AG643" s="73"/>
    </row>
    <row r="644" spans="2:33" x14ac:dyDescent="0.2">
      <c r="B644" s="73" t="s">
        <v>1826</v>
      </c>
      <c r="C644" s="74" t="s">
        <v>1691</v>
      </c>
      <c r="N644" s="73" t="s">
        <v>1805</v>
      </c>
      <c r="P644" s="73"/>
      <c r="Q644" s="73"/>
      <c r="R644" s="73"/>
      <c r="S644" s="73"/>
      <c r="T644" s="73"/>
      <c r="U644" s="73"/>
      <c r="V644" s="73"/>
      <c r="W644" s="73"/>
      <c r="X644" s="73"/>
      <c r="Y644" s="73"/>
      <c r="Z644" s="73"/>
      <c r="AA644" s="73"/>
      <c r="AF644" s="73"/>
      <c r="AG644" s="73"/>
    </row>
    <row r="645" spans="2:33" x14ac:dyDescent="0.2">
      <c r="B645" s="73" t="s">
        <v>1825</v>
      </c>
      <c r="C645" s="74" t="s">
        <v>1691</v>
      </c>
      <c r="N645" s="73" t="s">
        <v>1805</v>
      </c>
      <c r="P645" s="73"/>
      <c r="Q645" s="73"/>
      <c r="R645" s="73"/>
      <c r="S645" s="73"/>
      <c r="T645" s="73"/>
      <c r="U645" s="73"/>
      <c r="V645" s="73"/>
      <c r="W645" s="73"/>
      <c r="X645" s="73"/>
      <c r="Y645" s="73"/>
      <c r="Z645" s="73"/>
      <c r="AA645" s="73"/>
      <c r="AF645" s="73"/>
      <c r="AG645" s="73"/>
    </row>
    <row r="646" spans="2:33" x14ac:dyDescent="0.2">
      <c r="B646" s="73" t="s">
        <v>1824</v>
      </c>
      <c r="C646" s="74" t="s">
        <v>1691</v>
      </c>
      <c r="N646" s="73" t="s">
        <v>1805</v>
      </c>
      <c r="P646" s="73"/>
      <c r="Q646" s="73"/>
      <c r="R646" s="73"/>
      <c r="S646" s="73"/>
      <c r="T646" s="73"/>
      <c r="U646" s="73"/>
      <c r="V646" s="73"/>
      <c r="W646" s="73"/>
      <c r="X646" s="73"/>
      <c r="Y646" s="73"/>
      <c r="Z646" s="73"/>
      <c r="AA646" s="73"/>
      <c r="AF646" s="73"/>
      <c r="AG646" s="73"/>
    </row>
    <row r="647" spans="2:33" x14ac:dyDescent="0.2">
      <c r="B647" s="73" t="s">
        <v>1823</v>
      </c>
      <c r="C647" s="74" t="s">
        <v>1691</v>
      </c>
      <c r="N647" s="73" t="s">
        <v>1805</v>
      </c>
      <c r="P647" s="73"/>
      <c r="Q647" s="73"/>
      <c r="R647" s="73"/>
      <c r="S647" s="73"/>
      <c r="T647" s="73"/>
      <c r="U647" s="73"/>
      <c r="V647" s="73"/>
      <c r="W647" s="73"/>
      <c r="X647" s="73"/>
      <c r="Y647" s="73"/>
      <c r="Z647" s="73"/>
      <c r="AA647" s="73"/>
      <c r="AF647" s="73"/>
      <c r="AG647" s="73"/>
    </row>
    <row r="648" spans="2:33" x14ac:dyDescent="0.2">
      <c r="B648" s="73" t="s">
        <v>1822</v>
      </c>
      <c r="C648" s="74" t="s">
        <v>1691</v>
      </c>
      <c r="N648" s="73" t="s">
        <v>1805</v>
      </c>
      <c r="P648" s="73"/>
      <c r="Q648" s="73"/>
      <c r="R648" s="73"/>
      <c r="S648" s="73"/>
      <c r="T648" s="73"/>
      <c r="U648" s="73"/>
      <c r="V648" s="73"/>
      <c r="W648" s="73"/>
      <c r="X648" s="73"/>
      <c r="Y648" s="73"/>
      <c r="Z648" s="73"/>
      <c r="AA648" s="73"/>
      <c r="AF648" s="73"/>
      <c r="AG648" s="73"/>
    </row>
    <row r="649" spans="2:33" x14ac:dyDescent="0.2">
      <c r="B649" s="73" t="s">
        <v>1821</v>
      </c>
      <c r="C649" s="74" t="s">
        <v>1691</v>
      </c>
      <c r="N649" s="73" t="s">
        <v>1805</v>
      </c>
      <c r="P649" s="73"/>
      <c r="Q649" s="73"/>
      <c r="R649" s="73"/>
      <c r="S649" s="73"/>
      <c r="T649" s="73"/>
      <c r="U649" s="73"/>
      <c r="V649" s="73"/>
      <c r="W649" s="73"/>
      <c r="X649" s="73"/>
      <c r="Y649" s="73"/>
      <c r="Z649" s="73"/>
      <c r="AA649" s="73"/>
      <c r="AF649" s="73"/>
      <c r="AG649" s="73"/>
    </row>
    <row r="650" spans="2:33" x14ac:dyDescent="0.2">
      <c r="B650" s="73" t="s">
        <v>1820</v>
      </c>
      <c r="C650" s="74" t="s">
        <v>1691</v>
      </c>
      <c r="N650" s="73" t="s">
        <v>1805</v>
      </c>
      <c r="P650" s="73"/>
      <c r="Q650" s="73"/>
      <c r="R650" s="73"/>
      <c r="S650" s="73"/>
      <c r="T650" s="73"/>
      <c r="U650" s="73"/>
      <c r="V650" s="73"/>
      <c r="W650" s="73"/>
      <c r="X650" s="73"/>
      <c r="Y650" s="73"/>
      <c r="Z650" s="73"/>
      <c r="AA650" s="73"/>
      <c r="AF650" s="73"/>
      <c r="AG650" s="73"/>
    </row>
    <row r="651" spans="2:33" x14ac:dyDescent="0.2">
      <c r="B651" s="73" t="s">
        <v>1819</v>
      </c>
      <c r="C651" s="74" t="s">
        <v>1691</v>
      </c>
      <c r="N651" s="73" t="s">
        <v>1805</v>
      </c>
      <c r="P651" s="73"/>
      <c r="Q651" s="73"/>
      <c r="R651" s="73"/>
      <c r="S651" s="73"/>
      <c r="T651" s="73"/>
      <c r="U651" s="73"/>
      <c r="V651" s="73"/>
      <c r="W651" s="73"/>
      <c r="X651" s="73"/>
      <c r="Y651" s="73"/>
      <c r="Z651" s="73"/>
      <c r="AA651" s="73"/>
      <c r="AF651" s="73"/>
      <c r="AG651" s="73"/>
    </row>
    <row r="652" spans="2:33" x14ac:dyDescent="0.2">
      <c r="B652" s="73" t="s">
        <v>1818</v>
      </c>
      <c r="C652" s="74" t="s">
        <v>1691</v>
      </c>
      <c r="N652" s="73" t="s">
        <v>1805</v>
      </c>
      <c r="P652" s="73"/>
      <c r="Q652" s="73"/>
      <c r="R652" s="73"/>
      <c r="S652" s="73"/>
      <c r="T652" s="73"/>
      <c r="U652" s="73"/>
      <c r="V652" s="73"/>
      <c r="W652" s="73"/>
      <c r="X652" s="73"/>
      <c r="Y652" s="73"/>
      <c r="Z652" s="73"/>
      <c r="AA652" s="73"/>
      <c r="AF652" s="73"/>
      <c r="AG652" s="73"/>
    </row>
    <row r="653" spans="2:33" x14ac:dyDescent="0.2">
      <c r="B653" s="73" t="s">
        <v>1817</v>
      </c>
      <c r="C653" s="74" t="s">
        <v>1691</v>
      </c>
      <c r="N653" s="73" t="s">
        <v>1805</v>
      </c>
      <c r="P653" s="73"/>
      <c r="Q653" s="73"/>
      <c r="R653" s="73"/>
      <c r="S653" s="73"/>
      <c r="T653" s="73"/>
      <c r="U653" s="73"/>
      <c r="V653" s="73"/>
      <c r="W653" s="73"/>
      <c r="X653" s="73"/>
      <c r="Y653" s="73"/>
      <c r="Z653" s="73"/>
      <c r="AA653" s="73"/>
      <c r="AF653" s="73"/>
      <c r="AG653" s="73"/>
    </row>
    <row r="654" spans="2:33" x14ac:dyDescent="0.2">
      <c r="B654" s="73" t="s">
        <v>1816</v>
      </c>
      <c r="C654" s="74" t="s">
        <v>1691</v>
      </c>
      <c r="N654" s="73" t="s">
        <v>1805</v>
      </c>
      <c r="P654" s="73"/>
      <c r="Q654" s="73"/>
      <c r="R654" s="73"/>
      <c r="S654" s="73"/>
      <c r="T654" s="73"/>
      <c r="U654" s="73"/>
      <c r="V654" s="73"/>
      <c r="W654" s="73"/>
      <c r="X654" s="73"/>
      <c r="Y654" s="73"/>
      <c r="Z654" s="73"/>
      <c r="AA654" s="73"/>
      <c r="AF654" s="73"/>
      <c r="AG654" s="73"/>
    </row>
    <row r="655" spans="2:33" x14ac:dyDescent="0.2">
      <c r="B655" s="73" t="s">
        <v>1815</v>
      </c>
      <c r="C655" s="74" t="s">
        <v>1691</v>
      </c>
      <c r="N655" s="73" t="s">
        <v>1805</v>
      </c>
      <c r="P655" s="73"/>
      <c r="Q655" s="73"/>
      <c r="R655" s="73"/>
      <c r="S655" s="73"/>
      <c r="T655" s="73"/>
      <c r="U655" s="73"/>
      <c r="V655" s="73"/>
      <c r="W655" s="73"/>
      <c r="X655" s="73"/>
      <c r="Y655" s="73"/>
      <c r="Z655" s="73"/>
      <c r="AA655" s="73"/>
      <c r="AF655" s="73"/>
      <c r="AG655" s="73"/>
    </row>
    <row r="656" spans="2:33" x14ac:dyDescent="0.2">
      <c r="B656" s="73" t="s">
        <v>1814</v>
      </c>
      <c r="C656" s="74" t="s">
        <v>1691</v>
      </c>
      <c r="N656" s="73" t="s">
        <v>1805</v>
      </c>
      <c r="P656" s="73"/>
      <c r="Q656" s="73"/>
      <c r="R656" s="73"/>
      <c r="S656" s="73"/>
      <c r="T656" s="73"/>
      <c r="U656" s="73"/>
      <c r="V656" s="73"/>
      <c r="W656" s="73"/>
      <c r="X656" s="73"/>
      <c r="Y656" s="73"/>
      <c r="Z656" s="73"/>
      <c r="AA656" s="73"/>
      <c r="AF656" s="73"/>
      <c r="AG656" s="73"/>
    </row>
    <row r="657" spans="2:33" x14ac:dyDescent="0.2">
      <c r="B657" s="73" t="s">
        <v>1813</v>
      </c>
      <c r="C657" s="74" t="s">
        <v>1691</v>
      </c>
      <c r="N657" s="73" t="s">
        <v>1805</v>
      </c>
      <c r="P657" s="73"/>
      <c r="Q657" s="73"/>
      <c r="R657" s="73"/>
      <c r="S657" s="73"/>
      <c r="T657" s="73"/>
      <c r="U657" s="73"/>
      <c r="V657" s="73"/>
      <c r="W657" s="73"/>
      <c r="X657" s="73"/>
      <c r="Y657" s="73"/>
      <c r="Z657" s="73"/>
      <c r="AA657" s="73"/>
      <c r="AF657" s="73"/>
      <c r="AG657" s="73"/>
    </row>
    <row r="658" spans="2:33" x14ac:dyDescent="0.2">
      <c r="B658" s="73" t="s">
        <v>1812</v>
      </c>
      <c r="C658" s="74" t="s">
        <v>1691</v>
      </c>
      <c r="N658" s="73" t="s">
        <v>1805</v>
      </c>
      <c r="P658" s="73"/>
      <c r="Q658" s="73"/>
      <c r="R658" s="73"/>
      <c r="S658" s="73"/>
      <c r="T658" s="73"/>
      <c r="U658" s="73"/>
      <c r="V658" s="73"/>
      <c r="W658" s="73"/>
      <c r="X658" s="73"/>
      <c r="Y658" s="73"/>
      <c r="Z658" s="73"/>
      <c r="AA658" s="73"/>
      <c r="AF658" s="73"/>
      <c r="AG658" s="73"/>
    </row>
    <row r="659" spans="2:33" x14ac:dyDescent="0.2">
      <c r="B659" s="73" t="s">
        <v>1811</v>
      </c>
      <c r="C659" s="74" t="s">
        <v>1691</v>
      </c>
      <c r="N659" s="73" t="s">
        <v>1805</v>
      </c>
      <c r="P659" s="73"/>
      <c r="Q659" s="73"/>
      <c r="R659" s="73"/>
      <c r="S659" s="73"/>
      <c r="T659" s="73"/>
      <c r="U659" s="73"/>
      <c r="V659" s="73"/>
      <c r="W659" s="73"/>
      <c r="X659" s="73"/>
      <c r="Y659" s="73"/>
      <c r="Z659" s="73"/>
      <c r="AA659" s="73"/>
      <c r="AF659" s="73"/>
      <c r="AG659" s="73"/>
    </row>
    <row r="660" spans="2:33" x14ac:dyDescent="0.2">
      <c r="B660" s="73" t="s">
        <v>1810</v>
      </c>
      <c r="C660" s="74" t="s">
        <v>1691</v>
      </c>
      <c r="N660" s="73" t="s">
        <v>1805</v>
      </c>
      <c r="P660" s="73"/>
      <c r="Q660" s="73"/>
      <c r="R660" s="73"/>
      <c r="S660" s="73"/>
      <c r="T660" s="73"/>
      <c r="U660" s="73"/>
      <c r="V660" s="73"/>
      <c r="W660" s="73"/>
      <c r="X660" s="73"/>
      <c r="Y660" s="73"/>
      <c r="Z660" s="73"/>
      <c r="AA660" s="73"/>
      <c r="AF660" s="73"/>
      <c r="AG660" s="73"/>
    </row>
    <row r="661" spans="2:33" x14ac:dyDescent="0.2">
      <c r="B661" s="73" t="s">
        <v>1809</v>
      </c>
      <c r="C661" s="74" t="s">
        <v>1691</v>
      </c>
      <c r="N661" s="73" t="s">
        <v>1805</v>
      </c>
      <c r="P661" s="73"/>
      <c r="Q661" s="73"/>
      <c r="R661" s="73"/>
      <c r="S661" s="73"/>
      <c r="T661" s="73"/>
      <c r="U661" s="73"/>
      <c r="V661" s="73"/>
      <c r="W661" s="73"/>
      <c r="X661" s="73"/>
      <c r="Y661" s="73"/>
      <c r="Z661" s="73"/>
      <c r="AA661" s="73"/>
      <c r="AF661" s="73"/>
      <c r="AG661" s="73"/>
    </row>
    <row r="662" spans="2:33" x14ac:dyDescent="0.2">
      <c r="B662" s="73" t="s">
        <v>1808</v>
      </c>
      <c r="C662" s="74" t="s">
        <v>1691</v>
      </c>
      <c r="N662" s="73" t="s">
        <v>1805</v>
      </c>
      <c r="P662" s="73"/>
      <c r="Q662" s="73"/>
      <c r="R662" s="73"/>
      <c r="S662" s="73"/>
      <c r="T662" s="73"/>
      <c r="U662" s="73"/>
      <c r="V662" s="73"/>
      <c r="W662" s="73"/>
      <c r="X662" s="73"/>
      <c r="Y662" s="73"/>
      <c r="Z662" s="73"/>
      <c r="AA662" s="73"/>
      <c r="AF662" s="73"/>
      <c r="AG662" s="73"/>
    </row>
    <row r="663" spans="2:33" x14ac:dyDescent="0.2">
      <c r="B663" s="73" t="s">
        <v>1807</v>
      </c>
      <c r="C663" s="74" t="s">
        <v>1691</v>
      </c>
      <c r="N663" s="73" t="s">
        <v>1805</v>
      </c>
      <c r="P663" s="73"/>
      <c r="Q663" s="73"/>
      <c r="R663" s="73"/>
      <c r="S663" s="73"/>
      <c r="T663" s="73"/>
      <c r="U663" s="73"/>
      <c r="V663" s="73"/>
      <c r="W663" s="73"/>
      <c r="X663" s="73"/>
      <c r="Y663" s="73"/>
      <c r="Z663" s="73"/>
      <c r="AA663" s="73"/>
      <c r="AF663" s="73"/>
      <c r="AG663" s="73"/>
    </row>
    <row r="664" spans="2:33" x14ac:dyDescent="0.2">
      <c r="B664" s="73" t="s">
        <v>1806</v>
      </c>
      <c r="C664" s="74" t="s">
        <v>1691</v>
      </c>
      <c r="N664" s="73" t="s">
        <v>1805</v>
      </c>
      <c r="P664" s="73"/>
      <c r="Q664" s="73"/>
      <c r="R664" s="73"/>
      <c r="S664" s="73"/>
      <c r="T664" s="73"/>
      <c r="U664" s="73"/>
      <c r="V664" s="73"/>
      <c r="W664" s="73"/>
      <c r="X664" s="73"/>
      <c r="Y664" s="73"/>
      <c r="Z664" s="73"/>
      <c r="AA664" s="73"/>
      <c r="AF664" s="73"/>
      <c r="AG664" s="73"/>
    </row>
    <row r="665" spans="2:33" x14ac:dyDescent="0.2">
      <c r="B665" s="73" t="s">
        <v>1804</v>
      </c>
      <c r="C665" s="74" t="s">
        <v>1691</v>
      </c>
      <c r="N665" s="73" t="s">
        <v>1706</v>
      </c>
      <c r="P665" s="73"/>
      <c r="Q665" s="73"/>
      <c r="R665" s="73"/>
      <c r="S665" s="73"/>
      <c r="T665" s="73"/>
      <c r="U665" s="73"/>
      <c r="V665" s="73"/>
      <c r="W665" s="73"/>
      <c r="X665" s="73"/>
      <c r="Y665" s="73"/>
      <c r="Z665" s="73"/>
      <c r="AA665" s="73"/>
      <c r="AF665" s="73"/>
      <c r="AG665" s="73"/>
    </row>
    <row r="666" spans="2:33" x14ac:dyDescent="0.2">
      <c r="B666" s="73" t="s">
        <v>1803</v>
      </c>
      <c r="C666" s="74" t="s">
        <v>1691</v>
      </c>
      <c r="N666" s="73" t="s">
        <v>1706</v>
      </c>
      <c r="P666" s="73"/>
      <c r="Q666" s="73"/>
      <c r="R666" s="73"/>
      <c r="S666" s="73"/>
      <c r="T666" s="73"/>
      <c r="U666" s="73"/>
      <c r="V666" s="73"/>
      <c r="W666" s="73"/>
      <c r="X666" s="73"/>
      <c r="Y666" s="73"/>
      <c r="Z666" s="73"/>
      <c r="AA666" s="73"/>
      <c r="AF666" s="73"/>
      <c r="AG666" s="73"/>
    </row>
    <row r="667" spans="2:33" x14ac:dyDescent="0.2">
      <c r="B667" s="73" t="s">
        <v>1802</v>
      </c>
      <c r="C667" s="74" t="s">
        <v>1691</v>
      </c>
      <c r="N667" s="73" t="s">
        <v>1706</v>
      </c>
      <c r="P667" s="73"/>
      <c r="Q667" s="73"/>
      <c r="R667" s="73"/>
      <c r="S667" s="73"/>
      <c r="T667" s="73"/>
      <c r="U667" s="73"/>
      <c r="V667" s="73"/>
      <c r="W667" s="73"/>
      <c r="X667" s="73"/>
      <c r="Y667" s="73"/>
      <c r="Z667" s="73"/>
      <c r="AA667" s="73"/>
      <c r="AF667" s="73"/>
      <c r="AG667" s="73"/>
    </row>
    <row r="668" spans="2:33" x14ac:dyDescent="0.2">
      <c r="B668" s="73" t="s">
        <v>1801</v>
      </c>
      <c r="C668" s="74" t="s">
        <v>1691</v>
      </c>
      <c r="N668" s="73" t="s">
        <v>1706</v>
      </c>
      <c r="P668" s="73"/>
      <c r="Q668" s="73"/>
      <c r="R668" s="73"/>
      <c r="S668" s="73"/>
      <c r="T668" s="73"/>
      <c r="U668" s="73"/>
      <c r="V668" s="73"/>
      <c r="W668" s="73"/>
      <c r="X668" s="73"/>
      <c r="Y668" s="73"/>
      <c r="Z668" s="73"/>
      <c r="AA668" s="73"/>
      <c r="AF668" s="73"/>
      <c r="AG668" s="73"/>
    </row>
    <row r="669" spans="2:33" x14ac:dyDescent="0.2">
      <c r="B669" s="73" t="s">
        <v>1800</v>
      </c>
      <c r="C669" s="74" t="s">
        <v>1691</v>
      </c>
      <c r="N669" s="73" t="s">
        <v>1706</v>
      </c>
      <c r="P669" s="73"/>
      <c r="Q669" s="73"/>
      <c r="R669" s="73"/>
      <c r="S669" s="73"/>
      <c r="T669" s="73"/>
      <c r="U669" s="73"/>
      <c r="V669" s="73"/>
      <c r="W669" s="73"/>
      <c r="X669" s="73"/>
      <c r="Y669" s="73"/>
      <c r="Z669" s="73"/>
      <c r="AA669" s="73"/>
      <c r="AF669" s="73"/>
      <c r="AG669" s="73"/>
    </row>
    <row r="670" spans="2:33" x14ac:dyDescent="0.2">
      <c r="B670" s="73" t="s">
        <v>1799</v>
      </c>
      <c r="C670" s="74" t="s">
        <v>1691</v>
      </c>
      <c r="N670" s="73" t="s">
        <v>1706</v>
      </c>
      <c r="P670" s="73"/>
      <c r="Q670" s="73"/>
      <c r="R670" s="73"/>
      <c r="S670" s="73"/>
      <c r="T670" s="73"/>
      <c r="U670" s="73"/>
      <c r="V670" s="73"/>
      <c r="W670" s="73"/>
      <c r="X670" s="73"/>
      <c r="Y670" s="73"/>
      <c r="Z670" s="73"/>
      <c r="AA670" s="73"/>
      <c r="AF670" s="73"/>
      <c r="AG670" s="73"/>
    </row>
    <row r="671" spans="2:33" x14ac:dyDescent="0.2">
      <c r="B671" s="73" t="s">
        <v>1798</v>
      </c>
      <c r="C671" s="74" t="s">
        <v>1691</v>
      </c>
      <c r="N671" s="73" t="s">
        <v>1706</v>
      </c>
      <c r="P671" s="73"/>
      <c r="Q671" s="73"/>
      <c r="R671" s="73"/>
      <c r="S671" s="73"/>
      <c r="T671" s="73"/>
      <c r="U671" s="73"/>
      <c r="V671" s="73"/>
      <c r="W671" s="73"/>
      <c r="X671" s="73"/>
      <c r="Y671" s="73"/>
      <c r="Z671" s="73"/>
      <c r="AA671" s="73"/>
      <c r="AF671" s="73"/>
      <c r="AG671" s="73"/>
    </row>
    <row r="672" spans="2:33" x14ac:dyDescent="0.2">
      <c r="B672" s="73" t="s">
        <v>1797</v>
      </c>
      <c r="C672" s="74" t="s">
        <v>1691</v>
      </c>
      <c r="N672" s="73" t="s">
        <v>1706</v>
      </c>
      <c r="P672" s="73"/>
      <c r="Q672" s="73"/>
      <c r="R672" s="73"/>
      <c r="S672" s="73"/>
      <c r="T672" s="73"/>
      <c r="U672" s="73"/>
      <c r="V672" s="73"/>
      <c r="W672" s="73"/>
      <c r="X672" s="73"/>
      <c r="Y672" s="73"/>
      <c r="Z672" s="73"/>
      <c r="AA672" s="73"/>
      <c r="AF672" s="73"/>
      <c r="AG672" s="73"/>
    </row>
    <row r="673" spans="2:33" x14ac:dyDescent="0.2">
      <c r="B673" s="73" t="s">
        <v>1796</v>
      </c>
      <c r="C673" s="74" t="s">
        <v>1691</v>
      </c>
      <c r="N673" s="73" t="s">
        <v>1706</v>
      </c>
      <c r="P673" s="73"/>
      <c r="Q673" s="73"/>
      <c r="R673" s="73"/>
      <c r="S673" s="73"/>
      <c r="T673" s="73"/>
      <c r="U673" s="73"/>
      <c r="V673" s="73"/>
      <c r="W673" s="73"/>
      <c r="X673" s="73"/>
      <c r="Y673" s="73"/>
      <c r="Z673" s="73"/>
      <c r="AA673" s="73"/>
      <c r="AF673" s="73"/>
      <c r="AG673" s="73"/>
    </row>
    <row r="674" spans="2:33" x14ac:dyDescent="0.2">
      <c r="B674" s="73" t="s">
        <v>1795</v>
      </c>
      <c r="C674" s="74" t="s">
        <v>1691</v>
      </c>
      <c r="N674" s="73" t="s">
        <v>1706</v>
      </c>
      <c r="P674" s="73"/>
      <c r="Q674" s="73"/>
      <c r="R674" s="73"/>
      <c r="S674" s="73"/>
      <c r="T674" s="73"/>
      <c r="U674" s="73"/>
      <c r="V674" s="73"/>
      <c r="W674" s="73"/>
      <c r="X674" s="73"/>
      <c r="Y674" s="73"/>
      <c r="Z674" s="73"/>
      <c r="AA674" s="73"/>
      <c r="AF674" s="73"/>
      <c r="AG674" s="73"/>
    </row>
    <row r="675" spans="2:33" x14ac:dyDescent="0.2">
      <c r="B675" s="73" t="s">
        <v>1794</v>
      </c>
      <c r="C675" s="74" t="s">
        <v>1691</v>
      </c>
      <c r="N675" s="73" t="s">
        <v>1706</v>
      </c>
      <c r="P675" s="73"/>
      <c r="Q675" s="73"/>
      <c r="R675" s="73"/>
      <c r="S675" s="73"/>
      <c r="T675" s="73"/>
      <c r="U675" s="73"/>
      <c r="V675" s="73"/>
      <c r="W675" s="73"/>
      <c r="X675" s="73"/>
      <c r="Y675" s="73"/>
      <c r="Z675" s="73"/>
      <c r="AA675" s="73"/>
      <c r="AF675" s="73"/>
      <c r="AG675" s="73"/>
    </row>
    <row r="676" spans="2:33" x14ac:dyDescent="0.2">
      <c r="B676" s="73" t="s">
        <v>1793</v>
      </c>
      <c r="C676" s="74" t="s">
        <v>1691</v>
      </c>
      <c r="N676" s="73" t="s">
        <v>1706</v>
      </c>
      <c r="P676" s="73"/>
      <c r="Q676" s="73"/>
      <c r="R676" s="73"/>
      <c r="S676" s="73"/>
      <c r="T676" s="73"/>
      <c r="U676" s="73"/>
      <c r="V676" s="73"/>
      <c r="W676" s="73"/>
      <c r="X676" s="73"/>
      <c r="Y676" s="73"/>
      <c r="Z676" s="73"/>
      <c r="AA676" s="73"/>
      <c r="AF676" s="73"/>
      <c r="AG676" s="73"/>
    </row>
    <row r="677" spans="2:33" x14ac:dyDescent="0.2">
      <c r="B677" s="73" t="s">
        <v>1792</v>
      </c>
      <c r="C677" s="74" t="s">
        <v>1691</v>
      </c>
      <c r="N677" s="73" t="s">
        <v>1706</v>
      </c>
      <c r="P677" s="73"/>
      <c r="Q677" s="73"/>
      <c r="R677" s="73"/>
      <c r="S677" s="73"/>
      <c r="T677" s="73"/>
      <c r="U677" s="73"/>
      <c r="V677" s="73"/>
      <c r="W677" s="73"/>
      <c r="X677" s="73"/>
      <c r="Y677" s="73"/>
      <c r="Z677" s="73"/>
      <c r="AA677" s="73"/>
      <c r="AF677" s="73"/>
      <c r="AG677" s="73"/>
    </row>
    <row r="678" spans="2:33" x14ac:dyDescent="0.2">
      <c r="B678" s="73" t="s">
        <v>1791</v>
      </c>
      <c r="C678" s="74" t="s">
        <v>1691</v>
      </c>
      <c r="N678" s="73" t="s">
        <v>1706</v>
      </c>
      <c r="P678" s="73"/>
      <c r="Q678" s="73"/>
      <c r="R678" s="73"/>
      <c r="S678" s="73"/>
      <c r="T678" s="73"/>
      <c r="U678" s="73"/>
      <c r="V678" s="73"/>
      <c r="W678" s="73"/>
      <c r="X678" s="73"/>
      <c r="Y678" s="73"/>
      <c r="Z678" s="73"/>
      <c r="AA678" s="73"/>
      <c r="AF678" s="73"/>
      <c r="AG678" s="73"/>
    </row>
    <row r="679" spans="2:33" x14ac:dyDescent="0.2">
      <c r="B679" s="73" t="s">
        <v>1790</v>
      </c>
      <c r="C679" s="74" t="s">
        <v>1691</v>
      </c>
      <c r="N679" s="73" t="s">
        <v>1706</v>
      </c>
      <c r="P679" s="73"/>
      <c r="Q679" s="73"/>
      <c r="R679" s="73"/>
      <c r="S679" s="73"/>
      <c r="T679" s="73"/>
      <c r="U679" s="73"/>
      <c r="V679" s="73"/>
      <c r="W679" s="73"/>
      <c r="X679" s="73"/>
      <c r="Y679" s="73"/>
      <c r="Z679" s="73"/>
      <c r="AA679" s="73"/>
      <c r="AF679" s="73"/>
      <c r="AG679" s="73"/>
    </row>
    <row r="680" spans="2:33" x14ac:dyDescent="0.2">
      <c r="B680" s="73" t="s">
        <v>1789</v>
      </c>
      <c r="C680" s="74" t="s">
        <v>1691</v>
      </c>
      <c r="N680" s="73" t="s">
        <v>1706</v>
      </c>
      <c r="P680" s="73"/>
      <c r="Q680" s="73"/>
      <c r="R680" s="73"/>
      <c r="S680" s="73"/>
      <c r="T680" s="73"/>
      <c r="U680" s="73"/>
      <c r="V680" s="73"/>
      <c r="W680" s="73"/>
      <c r="X680" s="73"/>
      <c r="Y680" s="73"/>
      <c r="Z680" s="73"/>
      <c r="AA680" s="73"/>
      <c r="AF680" s="73"/>
      <c r="AG680" s="73"/>
    </row>
    <row r="681" spans="2:33" x14ac:dyDescent="0.2">
      <c r="B681" s="73" t="s">
        <v>1788</v>
      </c>
      <c r="C681" s="74" t="s">
        <v>1691</v>
      </c>
      <c r="N681" s="73" t="s">
        <v>1706</v>
      </c>
      <c r="P681" s="73"/>
      <c r="Q681" s="73"/>
      <c r="R681" s="73"/>
      <c r="S681" s="73"/>
      <c r="T681" s="73"/>
      <c r="U681" s="73"/>
      <c r="V681" s="73"/>
      <c r="W681" s="73"/>
      <c r="X681" s="73"/>
      <c r="Y681" s="73"/>
      <c r="Z681" s="73"/>
      <c r="AA681" s="73"/>
      <c r="AF681" s="73"/>
      <c r="AG681" s="73"/>
    </row>
    <row r="682" spans="2:33" x14ac:dyDescent="0.2">
      <c r="B682" s="73" t="s">
        <v>1787</v>
      </c>
      <c r="C682" s="74" t="s">
        <v>1691</v>
      </c>
      <c r="N682" s="73" t="s">
        <v>1706</v>
      </c>
      <c r="P682" s="73"/>
      <c r="Q682" s="73"/>
      <c r="R682" s="73"/>
      <c r="S682" s="73"/>
      <c r="T682" s="73"/>
      <c r="U682" s="73"/>
      <c r="V682" s="73"/>
      <c r="W682" s="73"/>
      <c r="X682" s="73"/>
      <c r="Y682" s="73"/>
      <c r="Z682" s="73"/>
      <c r="AA682" s="73"/>
      <c r="AF682" s="73"/>
      <c r="AG682" s="73"/>
    </row>
    <row r="683" spans="2:33" x14ac:dyDescent="0.2">
      <c r="B683" s="73" t="s">
        <v>1786</v>
      </c>
      <c r="C683" s="74" t="s">
        <v>1691</v>
      </c>
      <c r="N683" s="73" t="s">
        <v>1706</v>
      </c>
      <c r="P683" s="73"/>
      <c r="Q683" s="73"/>
      <c r="R683" s="73"/>
      <c r="S683" s="73"/>
      <c r="T683" s="73"/>
      <c r="U683" s="73"/>
      <c r="V683" s="73"/>
      <c r="W683" s="73"/>
      <c r="X683" s="73"/>
      <c r="Y683" s="73"/>
      <c r="Z683" s="73"/>
      <c r="AA683" s="73"/>
      <c r="AF683" s="73"/>
      <c r="AG683" s="73"/>
    </row>
    <row r="684" spans="2:33" x14ac:dyDescent="0.2">
      <c r="B684" s="73" t="s">
        <v>1785</v>
      </c>
      <c r="C684" s="74" t="s">
        <v>1691</v>
      </c>
      <c r="N684" s="73" t="s">
        <v>1706</v>
      </c>
      <c r="P684" s="73"/>
      <c r="Q684" s="73"/>
      <c r="R684" s="73"/>
      <c r="S684" s="73"/>
      <c r="T684" s="73"/>
      <c r="U684" s="73"/>
      <c r="V684" s="73"/>
      <c r="W684" s="73"/>
      <c r="X684" s="73"/>
      <c r="Y684" s="73"/>
      <c r="Z684" s="73"/>
      <c r="AA684" s="73"/>
      <c r="AF684" s="73"/>
      <c r="AG684" s="73"/>
    </row>
    <row r="685" spans="2:33" x14ac:dyDescent="0.2">
      <c r="B685" s="73" t="s">
        <v>1784</v>
      </c>
      <c r="C685" s="74" t="s">
        <v>1691</v>
      </c>
      <c r="N685" s="73" t="s">
        <v>1706</v>
      </c>
      <c r="P685" s="73"/>
      <c r="Q685" s="73"/>
      <c r="R685" s="73"/>
      <c r="S685" s="73"/>
      <c r="T685" s="73"/>
      <c r="U685" s="73"/>
      <c r="V685" s="73"/>
      <c r="W685" s="73"/>
      <c r="X685" s="73"/>
      <c r="Y685" s="73"/>
      <c r="Z685" s="73"/>
      <c r="AA685" s="73"/>
      <c r="AF685" s="73"/>
      <c r="AG685" s="73"/>
    </row>
    <row r="686" spans="2:33" x14ac:dyDescent="0.2">
      <c r="B686" s="73" t="s">
        <v>1783</v>
      </c>
      <c r="C686" s="74" t="s">
        <v>1691</v>
      </c>
      <c r="N686" s="73" t="s">
        <v>1706</v>
      </c>
      <c r="P686" s="73"/>
      <c r="Q686" s="73"/>
      <c r="R686" s="73"/>
      <c r="S686" s="73"/>
      <c r="T686" s="73"/>
      <c r="U686" s="73"/>
      <c r="V686" s="73"/>
      <c r="W686" s="73"/>
      <c r="X686" s="73"/>
      <c r="Y686" s="73"/>
      <c r="Z686" s="73"/>
      <c r="AA686" s="73"/>
      <c r="AF686" s="73"/>
      <c r="AG686" s="73"/>
    </row>
    <row r="687" spans="2:33" x14ac:dyDescent="0.2">
      <c r="B687" s="73" t="s">
        <v>1782</v>
      </c>
      <c r="C687" s="74" t="s">
        <v>1691</v>
      </c>
      <c r="N687" s="73" t="s">
        <v>1706</v>
      </c>
      <c r="P687" s="73"/>
      <c r="Q687" s="73"/>
      <c r="R687" s="73"/>
      <c r="S687" s="73"/>
      <c r="T687" s="73"/>
      <c r="U687" s="73"/>
      <c r="V687" s="73"/>
      <c r="W687" s="73"/>
      <c r="X687" s="73"/>
      <c r="Y687" s="73"/>
      <c r="Z687" s="73"/>
      <c r="AA687" s="73"/>
      <c r="AF687" s="73"/>
      <c r="AG687" s="73"/>
    </row>
    <row r="688" spans="2:33" x14ac:dyDescent="0.2">
      <c r="B688" s="73" t="s">
        <v>1781</v>
      </c>
      <c r="C688" s="74" t="s">
        <v>1691</v>
      </c>
      <c r="N688" s="73" t="s">
        <v>1706</v>
      </c>
      <c r="P688" s="73"/>
      <c r="Q688" s="73"/>
      <c r="R688" s="73"/>
      <c r="S688" s="73"/>
      <c r="T688" s="73"/>
      <c r="U688" s="73"/>
      <c r="V688" s="73"/>
      <c r="W688" s="73"/>
      <c r="X688" s="73"/>
      <c r="Y688" s="73"/>
      <c r="Z688" s="73"/>
      <c r="AA688" s="73"/>
      <c r="AF688" s="73"/>
      <c r="AG688" s="73"/>
    </row>
    <row r="689" spans="2:33" x14ac:dyDescent="0.2">
      <c r="B689" s="73" t="s">
        <v>1780</v>
      </c>
      <c r="C689" s="74" t="s">
        <v>1691</v>
      </c>
      <c r="N689" s="73" t="s">
        <v>1706</v>
      </c>
      <c r="P689" s="73"/>
      <c r="Q689" s="73"/>
      <c r="R689" s="73"/>
      <c r="S689" s="73"/>
      <c r="T689" s="73"/>
      <c r="U689" s="73"/>
      <c r="V689" s="73"/>
      <c r="W689" s="73"/>
      <c r="X689" s="73"/>
      <c r="Y689" s="73"/>
      <c r="Z689" s="73"/>
      <c r="AA689" s="73"/>
      <c r="AF689" s="73"/>
      <c r="AG689" s="73"/>
    </row>
    <row r="690" spans="2:33" x14ac:dyDescent="0.2">
      <c r="B690" s="73" t="s">
        <v>1779</v>
      </c>
      <c r="C690" s="74" t="s">
        <v>1691</v>
      </c>
      <c r="N690" s="73" t="s">
        <v>1706</v>
      </c>
      <c r="P690" s="73"/>
      <c r="Q690" s="73"/>
      <c r="R690" s="73"/>
      <c r="S690" s="73"/>
      <c r="T690" s="73"/>
      <c r="U690" s="73"/>
      <c r="V690" s="73"/>
      <c r="W690" s="73"/>
      <c r="X690" s="73"/>
      <c r="Y690" s="73"/>
      <c r="Z690" s="73"/>
      <c r="AA690" s="73"/>
      <c r="AF690" s="73"/>
      <c r="AG690" s="73"/>
    </row>
    <row r="691" spans="2:33" x14ac:dyDescent="0.2">
      <c r="B691" s="73" t="s">
        <v>1778</v>
      </c>
      <c r="C691" s="74" t="s">
        <v>1691</v>
      </c>
      <c r="N691" s="73" t="s">
        <v>1706</v>
      </c>
      <c r="P691" s="73"/>
      <c r="Q691" s="73"/>
      <c r="R691" s="73"/>
      <c r="S691" s="73"/>
      <c r="T691" s="73"/>
      <c r="U691" s="73"/>
      <c r="V691" s="73"/>
      <c r="W691" s="73"/>
      <c r="X691" s="73"/>
      <c r="Y691" s="73"/>
      <c r="Z691" s="73"/>
      <c r="AA691" s="73"/>
      <c r="AF691" s="73"/>
      <c r="AG691" s="73"/>
    </row>
    <row r="692" spans="2:33" x14ac:dyDescent="0.2">
      <c r="B692" s="73" t="s">
        <v>1777</v>
      </c>
      <c r="C692" s="74" t="s">
        <v>1691</v>
      </c>
      <c r="N692" s="73" t="s">
        <v>1706</v>
      </c>
      <c r="P692" s="73"/>
      <c r="Q692" s="73"/>
      <c r="R692" s="73"/>
      <c r="S692" s="73"/>
      <c r="T692" s="73"/>
      <c r="U692" s="73"/>
      <c r="V692" s="73"/>
      <c r="W692" s="73"/>
      <c r="X692" s="73"/>
      <c r="Y692" s="73"/>
      <c r="Z692" s="73"/>
      <c r="AA692" s="73"/>
      <c r="AF692" s="73"/>
      <c r="AG692" s="73"/>
    </row>
    <row r="693" spans="2:33" x14ac:dyDescent="0.2">
      <c r="B693" s="73" t="s">
        <v>1776</v>
      </c>
      <c r="C693" s="74" t="s">
        <v>1691</v>
      </c>
      <c r="N693" s="73" t="s">
        <v>1706</v>
      </c>
      <c r="P693" s="73"/>
      <c r="Q693" s="73"/>
      <c r="R693" s="73"/>
      <c r="S693" s="73"/>
      <c r="T693" s="73"/>
      <c r="U693" s="73"/>
      <c r="V693" s="73"/>
      <c r="W693" s="73"/>
      <c r="X693" s="73"/>
      <c r="Y693" s="73"/>
      <c r="Z693" s="73"/>
      <c r="AA693" s="73"/>
      <c r="AF693" s="73"/>
      <c r="AG693" s="73"/>
    </row>
    <row r="694" spans="2:33" x14ac:dyDescent="0.2">
      <c r="B694" s="73" t="s">
        <v>1775</v>
      </c>
      <c r="C694" s="74" t="s">
        <v>1691</v>
      </c>
      <c r="N694" s="73" t="s">
        <v>1706</v>
      </c>
      <c r="P694" s="73"/>
      <c r="Q694" s="73"/>
      <c r="R694" s="73"/>
      <c r="S694" s="73"/>
      <c r="T694" s="73"/>
      <c r="U694" s="73"/>
      <c r="V694" s="73"/>
      <c r="W694" s="73"/>
      <c r="X694" s="73"/>
      <c r="Y694" s="73"/>
      <c r="Z694" s="73"/>
      <c r="AA694" s="73"/>
      <c r="AF694" s="73"/>
      <c r="AG694" s="73"/>
    </row>
    <row r="695" spans="2:33" x14ac:dyDescent="0.2">
      <c r="B695" s="73" t="s">
        <v>1774</v>
      </c>
      <c r="C695" s="74" t="s">
        <v>1691</v>
      </c>
      <c r="N695" s="73" t="s">
        <v>1706</v>
      </c>
      <c r="P695" s="73"/>
      <c r="Q695" s="73"/>
      <c r="R695" s="73"/>
      <c r="S695" s="73"/>
      <c r="T695" s="73"/>
      <c r="U695" s="73"/>
      <c r="V695" s="73"/>
      <c r="W695" s="73"/>
      <c r="X695" s="73"/>
      <c r="Y695" s="73"/>
      <c r="Z695" s="73"/>
      <c r="AA695" s="73"/>
      <c r="AF695" s="73"/>
      <c r="AG695" s="73"/>
    </row>
    <row r="696" spans="2:33" x14ac:dyDescent="0.2">
      <c r="B696" s="73" t="s">
        <v>1773</v>
      </c>
      <c r="C696" s="74" t="s">
        <v>1691</v>
      </c>
      <c r="N696" s="73" t="s">
        <v>1706</v>
      </c>
      <c r="P696" s="73"/>
      <c r="Q696" s="73"/>
      <c r="R696" s="73"/>
      <c r="S696" s="73"/>
      <c r="T696" s="73"/>
      <c r="U696" s="73"/>
      <c r="V696" s="73"/>
      <c r="W696" s="73"/>
      <c r="X696" s="73"/>
      <c r="Y696" s="73"/>
      <c r="Z696" s="73"/>
      <c r="AA696" s="73"/>
      <c r="AF696" s="73"/>
      <c r="AG696" s="73"/>
    </row>
    <row r="697" spans="2:33" x14ac:dyDescent="0.2">
      <c r="B697" s="73" t="s">
        <v>1772</v>
      </c>
      <c r="C697" s="74" t="s">
        <v>1691</v>
      </c>
      <c r="N697" s="73" t="s">
        <v>1706</v>
      </c>
      <c r="P697" s="73"/>
      <c r="Q697" s="73"/>
      <c r="R697" s="73"/>
      <c r="S697" s="73"/>
      <c r="T697" s="73"/>
      <c r="U697" s="73"/>
      <c r="V697" s="73"/>
      <c r="W697" s="73"/>
      <c r="X697" s="73"/>
      <c r="Y697" s="73"/>
      <c r="Z697" s="73"/>
      <c r="AA697" s="73"/>
      <c r="AF697" s="73"/>
      <c r="AG697" s="73"/>
    </row>
    <row r="698" spans="2:33" x14ac:dyDescent="0.2">
      <c r="B698" s="73" t="s">
        <v>1771</v>
      </c>
      <c r="C698" s="74" t="s">
        <v>1691</v>
      </c>
      <c r="N698" s="73" t="s">
        <v>1706</v>
      </c>
      <c r="P698" s="73"/>
      <c r="Q698" s="73"/>
      <c r="R698" s="73"/>
      <c r="S698" s="73"/>
      <c r="T698" s="73"/>
      <c r="U698" s="73"/>
      <c r="V698" s="73"/>
      <c r="W698" s="73"/>
      <c r="X698" s="73"/>
      <c r="Y698" s="73"/>
      <c r="Z698" s="73"/>
      <c r="AA698" s="73"/>
      <c r="AF698" s="73"/>
      <c r="AG698" s="73"/>
    </row>
    <row r="699" spans="2:33" x14ac:dyDescent="0.2">
      <c r="B699" s="73" t="s">
        <v>1770</v>
      </c>
      <c r="C699" s="74" t="s">
        <v>1691</v>
      </c>
      <c r="N699" s="73" t="s">
        <v>1706</v>
      </c>
      <c r="P699" s="73"/>
      <c r="Q699" s="73"/>
      <c r="R699" s="73"/>
      <c r="S699" s="73"/>
      <c r="T699" s="73"/>
      <c r="U699" s="73"/>
      <c r="V699" s="73"/>
      <c r="W699" s="73"/>
      <c r="X699" s="73"/>
      <c r="Y699" s="73"/>
      <c r="Z699" s="73"/>
      <c r="AA699" s="73"/>
      <c r="AF699" s="73"/>
      <c r="AG699" s="73"/>
    </row>
    <row r="700" spans="2:33" x14ac:dyDescent="0.2">
      <c r="B700" s="73" t="s">
        <v>1769</v>
      </c>
      <c r="C700" s="74" t="s">
        <v>1691</v>
      </c>
      <c r="N700" s="73" t="s">
        <v>1706</v>
      </c>
      <c r="P700" s="73"/>
      <c r="Q700" s="73"/>
      <c r="R700" s="73"/>
      <c r="S700" s="73"/>
      <c r="T700" s="73"/>
      <c r="U700" s="73"/>
      <c r="V700" s="73"/>
      <c r="W700" s="73"/>
      <c r="X700" s="73"/>
      <c r="Y700" s="73"/>
      <c r="Z700" s="73"/>
      <c r="AA700" s="73"/>
      <c r="AF700" s="73"/>
      <c r="AG700" s="73"/>
    </row>
    <row r="701" spans="2:33" x14ac:dyDescent="0.2">
      <c r="B701" s="73" t="s">
        <v>1768</v>
      </c>
      <c r="C701" s="74" t="s">
        <v>1691</v>
      </c>
      <c r="N701" s="73" t="s">
        <v>1706</v>
      </c>
      <c r="P701" s="73"/>
      <c r="Q701" s="73"/>
      <c r="R701" s="73"/>
      <c r="S701" s="73"/>
      <c r="T701" s="73"/>
      <c r="U701" s="73"/>
      <c r="V701" s="73"/>
      <c r="W701" s="73"/>
      <c r="X701" s="73"/>
      <c r="Y701" s="73"/>
      <c r="Z701" s="73"/>
      <c r="AA701" s="73"/>
      <c r="AF701" s="73"/>
      <c r="AG701" s="73"/>
    </row>
    <row r="702" spans="2:33" x14ac:dyDescent="0.2">
      <c r="B702" s="73" t="s">
        <v>1767</v>
      </c>
      <c r="C702" s="74" t="s">
        <v>1691</v>
      </c>
      <c r="N702" s="73" t="s">
        <v>1706</v>
      </c>
      <c r="P702" s="73"/>
      <c r="Q702" s="73"/>
      <c r="R702" s="73"/>
      <c r="S702" s="73"/>
      <c r="T702" s="73"/>
      <c r="U702" s="73"/>
      <c r="V702" s="73"/>
      <c r="W702" s="73"/>
      <c r="X702" s="73"/>
      <c r="Y702" s="73"/>
      <c r="Z702" s="73"/>
      <c r="AA702" s="73"/>
      <c r="AF702" s="73"/>
      <c r="AG702" s="73"/>
    </row>
    <row r="703" spans="2:33" x14ac:dyDescent="0.2">
      <c r="B703" s="73" t="s">
        <v>1766</v>
      </c>
      <c r="C703" s="74" t="s">
        <v>1691</v>
      </c>
      <c r="N703" s="73" t="s">
        <v>1706</v>
      </c>
      <c r="P703" s="73"/>
      <c r="Q703" s="73"/>
      <c r="R703" s="73"/>
      <c r="S703" s="73"/>
      <c r="T703" s="73"/>
      <c r="U703" s="73"/>
      <c r="V703" s="73"/>
      <c r="W703" s="73"/>
      <c r="X703" s="73"/>
      <c r="Y703" s="73"/>
      <c r="Z703" s="73"/>
      <c r="AA703" s="73"/>
      <c r="AF703" s="73"/>
      <c r="AG703" s="73"/>
    </row>
    <row r="704" spans="2:33" x14ac:dyDescent="0.2">
      <c r="B704" s="73" t="s">
        <v>1765</v>
      </c>
      <c r="C704" s="74" t="s">
        <v>1691</v>
      </c>
      <c r="N704" s="73" t="s">
        <v>1706</v>
      </c>
      <c r="P704" s="73"/>
      <c r="Q704" s="73"/>
      <c r="R704" s="73"/>
      <c r="S704" s="73"/>
      <c r="T704" s="73"/>
      <c r="U704" s="73"/>
      <c r="V704" s="73"/>
      <c r="W704" s="73"/>
      <c r="X704" s="73"/>
      <c r="Y704" s="73"/>
      <c r="Z704" s="73"/>
      <c r="AA704" s="73"/>
      <c r="AF704" s="73"/>
      <c r="AG704" s="73"/>
    </row>
    <row r="705" spans="2:33" x14ac:dyDescent="0.2">
      <c r="B705" s="73" t="s">
        <v>1764</v>
      </c>
      <c r="C705" s="74" t="s">
        <v>1691</v>
      </c>
      <c r="N705" s="73" t="s">
        <v>1706</v>
      </c>
      <c r="P705" s="73"/>
      <c r="Q705" s="73"/>
      <c r="R705" s="73"/>
      <c r="S705" s="73"/>
      <c r="T705" s="73"/>
      <c r="U705" s="73"/>
      <c r="V705" s="73"/>
      <c r="W705" s="73"/>
      <c r="X705" s="73"/>
      <c r="Y705" s="73"/>
      <c r="Z705" s="73"/>
      <c r="AA705" s="73"/>
      <c r="AF705" s="73"/>
      <c r="AG705" s="73"/>
    </row>
    <row r="706" spans="2:33" x14ac:dyDescent="0.2">
      <c r="B706" s="89" t="s">
        <v>1763</v>
      </c>
      <c r="C706" s="74" t="s">
        <v>1691</v>
      </c>
      <c r="N706" s="73" t="s">
        <v>1706</v>
      </c>
      <c r="P706" s="73"/>
      <c r="Q706" s="73"/>
      <c r="R706" s="73"/>
      <c r="S706" s="73"/>
      <c r="T706" s="73"/>
      <c r="U706" s="73"/>
      <c r="V706" s="73"/>
      <c r="W706" s="73"/>
      <c r="X706" s="73"/>
      <c r="Y706" s="73"/>
      <c r="Z706" s="73"/>
      <c r="AA706" s="73"/>
      <c r="AF706" s="73"/>
      <c r="AG706" s="73"/>
    </row>
    <row r="707" spans="2:33" x14ac:dyDescent="0.2">
      <c r="B707" s="73" t="s">
        <v>1762</v>
      </c>
      <c r="C707" s="74" t="s">
        <v>1691</v>
      </c>
      <c r="N707" s="73" t="s">
        <v>1706</v>
      </c>
      <c r="P707" s="73"/>
      <c r="Q707" s="73"/>
      <c r="R707" s="73"/>
      <c r="S707" s="73"/>
      <c r="T707" s="73"/>
      <c r="U707" s="73"/>
      <c r="V707" s="73"/>
      <c r="W707" s="73"/>
      <c r="X707" s="73"/>
      <c r="Y707" s="73"/>
      <c r="Z707" s="73"/>
      <c r="AA707" s="73"/>
      <c r="AF707" s="73"/>
      <c r="AG707" s="73"/>
    </row>
    <row r="708" spans="2:33" x14ac:dyDescent="0.2">
      <c r="B708" s="73" t="s">
        <v>1761</v>
      </c>
      <c r="C708" s="74" t="s">
        <v>1691</v>
      </c>
      <c r="N708" s="73" t="s">
        <v>1706</v>
      </c>
      <c r="P708" s="73"/>
      <c r="Q708" s="73"/>
      <c r="R708" s="73"/>
      <c r="S708" s="73"/>
      <c r="T708" s="73"/>
      <c r="U708" s="73"/>
      <c r="V708" s="73"/>
      <c r="W708" s="73"/>
      <c r="X708" s="73"/>
      <c r="Y708" s="73"/>
      <c r="Z708" s="73"/>
      <c r="AA708" s="73"/>
      <c r="AF708" s="73"/>
      <c r="AG708" s="73"/>
    </row>
    <row r="709" spans="2:33" x14ac:dyDescent="0.2">
      <c r="B709" s="73" t="s">
        <v>1760</v>
      </c>
      <c r="C709" s="74" t="s">
        <v>1691</v>
      </c>
      <c r="N709" s="73" t="s">
        <v>1706</v>
      </c>
      <c r="P709" s="73"/>
      <c r="Q709" s="73"/>
      <c r="R709" s="73"/>
      <c r="S709" s="73"/>
      <c r="T709" s="73"/>
      <c r="U709" s="73"/>
      <c r="V709" s="73"/>
      <c r="W709" s="73"/>
      <c r="X709" s="73"/>
      <c r="Y709" s="73"/>
      <c r="Z709" s="73"/>
      <c r="AA709" s="73"/>
      <c r="AF709" s="73"/>
      <c r="AG709" s="73"/>
    </row>
    <row r="710" spans="2:33" x14ac:dyDescent="0.2">
      <c r="B710" s="73" t="s">
        <v>1759</v>
      </c>
      <c r="C710" s="74" t="s">
        <v>1691</v>
      </c>
      <c r="N710" s="73" t="s">
        <v>1706</v>
      </c>
      <c r="P710" s="73"/>
      <c r="Q710" s="73"/>
      <c r="R710" s="73"/>
      <c r="S710" s="73"/>
      <c r="T710" s="73"/>
      <c r="U710" s="73"/>
      <c r="V710" s="73"/>
      <c r="W710" s="73"/>
      <c r="X710" s="73"/>
      <c r="Y710" s="73"/>
      <c r="Z710" s="73"/>
      <c r="AA710" s="73"/>
      <c r="AF710" s="73"/>
      <c r="AG710" s="73"/>
    </row>
    <row r="711" spans="2:33" x14ac:dyDescent="0.2">
      <c r="B711" s="73" t="s">
        <v>1758</v>
      </c>
      <c r="C711" s="74" t="s">
        <v>1691</v>
      </c>
      <c r="N711" s="73" t="s">
        <v>1706</v>
      </c>
      <c r="P711" s="73"/>
      <c r="Q711" s="73"/>
      <c r="R711" s="73"/>
      <c r="S711" s="73"/>
      <c r="T711" s="73"/>
      <c r="U711" s="73"/>
      <c r="V711" s="73"/>
      <c r="W711" s="73"/>
      <c r="X711" s="73"/>
      <c r="Y711" s="73"/>
      <c r="Z711" s="73"/>
      <c r="AA711" s="73"/>
      <c r="AF711" s="73"/>
      <c r="AG711" s="73"/>
    </row>
    <row r="712" spans="2:33" x14ac:dyDescent="0.2">
      <c r="B712" s="73" t="s">
        <v>1757</v>
      </c>
      <c r="C712" s="74" t="s">
        <v>1691</v>
      </c>
      <c r="N712" s="73" t="s">
        <v>1706</v>
      </c>
      <c r="P712" s="73"/>
      <c r="Q712" s="73"/>
      <c r="R712" s="73"/>
      <c r="S712" s="73"/>
      <c r="T712" s="73"/>
      <c r="U712" s="73"/>
      <c r="V712" s="73"/>
      <c r="W712" s="73"/>
      <c r="X712" s="73"/>
      <c r="Y712" s="73"/>
      <c r="Z712" s="73"/>
      <c r="AA712" s="73"/>
      <c r="AF712" s="73"/>
      <c r="AG712" s="73"/>
    </row>
    <row r="713" spans="2:33" x14ac:dyDescent="0.2">
      <c r="B713" s="73" t="s">
        <v>1756</v>
      </c>
      <c r="C713" s="74" t="s">
        <v>1691</v>
      </c>
      <c r="N713" s="73" t="s">
        <v>1706</v>
      </c>
      <c r="P713" s="73"/>
      <c r="Q713" s="73"/>
      <c r="R713" s="73"/>
      <c r="S713" s="73"/>
      <c r="T713" s="73"/>
      <c r="U713" s="73"/>
      <c r="V713" s="73"/>
      <c r="W713" s="73"/>
      <c r="X713" s="73"/>
      <c r="Y713" s="73"/>
      <c r="Z713" s="73"/>
      <c r="AA713" s="73"/>
      <c r="AF713" s="73"/>
      <c r="AG713" s="73"/>
    </row>
    <row r="714" spans="2:33" x14ac:dyDescent="0.2">
      <c r="B714" s="73" t="s">
        <v>1755</v>
      </c>
      <c r="C714" s="74" t="s">
        <v>1691</v>
      </c>
      <c r="N714" s="73" t="s">
        <v>1706</v>
      </c>
      <c r="P714" s="73"/>
      <c r="Q714" s="73"/>
      <c r="R714" s="73"/>
      <c r="S714" s="73"/>
      <c r="T714" s="73"/>
      <c r="U714" s="73"/>
      <c r="V714" s="73"/>
      <c r="W714" s="73"/>
      <c r="X714" s="73"/>
      <c r="Y714" s="73"/>
      <c r="Z714" s="73"/>
      <c r="AA714" s="73"/>
      <c r="AF714" s="73"/>
      <c r="AG714" s="73"/>
    </row>
    <row r="715" spans="2:33" x14ac:dyDescent="0.2">
      <c r="B715" s="73" t="s">
        <v>1754</v>
      </c>
      <c r="C715" s="74" t="s">
        <v>1691</v>
      </c>
      <c r="N715" s="73" t="s">
        <v>1706</v>
      </c>
      <c r="P715" s="73"/>
      <c r="Q715" s="73"/>
      <c r="R715" s="73"/>
      <c r="S715" s="73"/>
      <c r="T715" s="73"/>
      <c r="U715" s="73"/>
      <c r="V715" s="73"/>
      <c r="W715" s="73"/>
      <c r="X715" s="73"/>
      <c r="Y715" s="73"/>
      <c r="Z715" s="73"/>
      <c r="AA715" s="73"/>
      <c r="AF715" s="73"/>
      <c r="AG715" s="73"/>
    </row>
    <row r="716" spans="2:33" x14ac:dyDescent="0.2">
      <c r="B716" s="73" t="s">
        <v>1753</v>
      </c>
      <c r="C716" s="74" t="s">
        <v>1691</v>
      </c>
      <c r="N716" s="73" t="s">
        <v>1706</v>
      </c>
      <c r="P716" s="73"/>
      <c r="Q716" s="73"/>
      <c r="R716" s="73"/>
      <c r="S716" s="73"/>
      <c r="T716" s="73"/>
      <c r="U716" s="73"/>
      <c r="V716" s="73"/>
      <c r="W716" s="73"/>
      <c r="X716" s="73"/>
      <c r="Y716" s="73"/>
      <c r="Z716" s="73"/>
      <c r="AA716" s="73"/>
      <c r="AF716" s="73"/>
      <c r="AG716" s="73"/>
    </row>
    <row r="717" spans="2:33" x14ac:dyDescent="0.2">
      <c r="B717" s="73" t="s">
        <v>1752</v>
      </c>
      <c r="C717" s="74" t="s">
        <v>1691</v>
      </c>
      <c r="N717" s="73" t="s">
        <v>1706</v>
      </c>
      <c r="P717" s="73"/>
      <c r="Q717" s="73"/>
      <c r="R717" s="73"/>
      <c r="S717" s="73"/>
      <c r="T717" s="73"/>
      <c r="U717" s="73"/>
      <c r="V717" s="73"/>
      <c r="W717" s="73"/>
      <c r="X717" s="73"/>
      <c r="Y717" s="73"/>
      <c r="Z717" s="73"/>
      <c r="AA717" s="73"/>
      <c r="AF717" s="73"/>
      <c r="AG717" s="73"/>
    </row>
    <row r="718" spans="2:33" x14ac:dyDescent="0.2">
      <c r="B718" s="73" t="s">
        <v>1751</v>
      </c>
      <c r="C718" s="74" t="s">
        <v>1691</v>
      </c>
      <c r="N718" s="73" t="s">
        <v>1706</v>
      </c>
      <c r="P718" s="73"/>
      <c r="Q718" s="73"/>
      <c r="R718" s="73"/>
      <c r="S718" s="73"/>
      <c r="T718" s="73"/>
      <c r="U718" s="73"/>
      <c r="V718" s="73"/>
      <c r="W718" s="73"/>
      <c r="X718" s="73"/>
      <c r="Y718" s="73"/>
      <c r="Z718" s="73"/>
      <c r="AA718" s="73"/>
      <c r="AF718" s="73"/>
      <c r="AG718" s="73"/>
    </row>
    <row r="719" spans="2:33" x14ac:dyDescent="0.2">
      <c r="B719" s="73" t="s">
        <v>1750</v>
      </c>
      <c r="C719" s="74" t="s">
        <v>1691</v>
      </c>
      <c r="N719" s="73" t="s">
        <v>1706</v>
      </c>
      <c r="P719" s="73"/>
      <c r="Q719" s="73"/>
      <c r="R719" s="73"/>
      <c r="S719" s="73"/>
      <c r="T719" s="73"/>
      <c r="U719" s="73"/>
      <c r="V719" s="73"/>
      <c r="W719" s="73"/>
      <c r="X719" s="73"/>
      <c r="Y719" s="73"/>
      <c r="Z719" s="73"/>
      <c r="AA719" s="73"/>
      <c r="AF719" s="73"/>
      <c r="AG719" s="73"/>
    </row>
    <row r="720" spans="2:33" x14ac:dyDescent="0.2">
      <c r="B720" s="73" t="s">
        <v>1749</v>
      </c>
      <c r="C720" s="74" t="s">
        <v>1691</v>
      </c>
      <c r="N720" s="73" t="s">
        <v>1706</v>
      </c>
      <c r="P720" s="73"/>
      <c r="Q720" s="73"/>
      <c r="R720" s="73"/>
      <c r="S720" s="73"/>
      <c r="T720" s="73"/>
      <c r="U720" s="73"/>
      <c r="V720" s="73"/>
      <c r="W720" s="73"/>
      <c r="X720" s="73"/>
      <c r="Y720" s="73"/>
      <c r="Z720" s="73"/>
      <c r="AA720" s="73"/>
      <c r="AF720" s="73"/>
      <c r="AG720" s="73"/>
    </row>
    <row r="721" spans="2:33" x14ac:dyDescent="0.2">
      <c r="B721" s="73" t="s">
        <v>1748</v>
      </c>
      <c r="C721" s="74" t="s">
        <v>1691</v>
      </c>
      <c r="N721" s="73" t="s">
        <v>1706</v>
      </c>
      <c r="P721" s="73"/>
      <c r="Q721" s="73"/>
      <c r="R721" s="73"/>
      <c r="S721" s="73"/>
      <c r="T721" s="73"/>
      <c r="U721" s="73"/>
      <c r="V721" s="73"/>
      <c r="W721" s="73"/>
      <c r="X721" s="73"/>
      <c r="Y721" s="73"/>
      <c r="Z721" s="73"/>
      <c r="AA721" s="73"/>
      <c r="AF721" s="73"/>
      <c r="AG721" s="73"/>
    </row>
    <row r="722" spans="2:33" x14ac:dyDescent="0.2">
      <c r="B722" s="73" t="s">
        <v>1747</v>
      </c>
      <c r="C722" s="74" t="s">
        <v>1691</v>
      </c>
      <c r="N722" s="73" t="s">
        <v>1706</v>
      </c>
      <c r="P722" s="73"/>
      <c r="Q722" s="73"/>
      <c r="R722" s="73"/>
      <c r="S722" s="73"/>
      <c r="T722" s="73"/>
      <c r="U722" s="73"/>
      <c r="V722" s="73"/>
      <c r="W722" s="73"/>
      <c r="X722" s="73"/>
      <c r="Y722" s="73"/>
      <c r="Z722" s="73"/>
      <c r="AA722" s="73"/>
      <c r="AF722" s="73"/>
      <c r="AG722" s="73"/>
    </row>
    <row r="723" spans="2:33" x14ac:dyDescent="0.2">
      <c r="B723" s="73" t="s">
        <v>1746</v>
      </c>
      <c r="C723" s="74" t="s">
        <v>1691</v>
      </c>
      <c r="N723" s="73" t="s">
        <v>1706</v>
      </c>
      <c r="P723" s="73"/>
      <c r="Q723" s="73"/>
      <c r="R723" s="73"/>
      <c r="S723" s="73"/>
      <c r="T723" s="73"/>
      <c r="U723" s="73"/>
      <c r="V723" s="73"/>
      <c r="W723" s="73"/>
      <c r="X723" s="73"/>
      <c r="Y723" s="73"/>
      <c r="Z723" s="73"/>
      <c r="AA723" s="73"/>
      <c r="AF723" s="73"/>
      <c r="AG723" s="73"/>
    </row>
    <row r="724" spans="2:33" x14ac:dyDescent="0.2">
      <c r="B724" s="73" t="s">
        <v>1745</v>
      </c>
      <c r="C724" s="74" t="s">
        <v>1691</v>
      </c>
      <c r="N724" s="73" t="s">
        <v>1706</v>
      </c>
      <c r="P724" s="73"/>
      <c r="Q724" s="73"/>
      <c r="R724" s="73"/>
      <c r="S724" s="73"/>
      <c r="T724" s="73"/>
      <c r="U724" s="73"/>
      <c r="V724" s="73"/>
      <c r="W724" s="73"/>
      <c r="X724" s="73"/>
      <c r="Y724" s="73"/>
      <c r="Z724" s="73"/>
      <c r="AA724" s="73"/>
      <c r="AF724" s="73"/>
      <c r="AG724" s="73"/>
    </row>
    <row r="725" spans="2:33" x14ac:dyDescent="0.2">
      <c r="B725" s="73" t="s">
        <v>1744</v>
      </c>
      <c r="C725" s="74" t="s">
        <v>1691</v>
      </c>
      <c r="N725" s="73" t="s">
        <v>1706</v>
      </c>
      <c r="P725" s="73"/>
      <c r="Q725" s="73"/>
      <c r="R725" s="73"/>
      <c r="S725" s="73"/>
      <c r="T725" s="73"/>
      <c r="U725" s="73"/>
      <c r="V725" s="73"/>
      <c r="W725" s="73"/>
      <c r="X725" s="73"/>
      <c r="Y725" s="73"/>
      <c r="Z725" s="73"/>
      <c r="AA725" s="73"/>
      <c r="AF725" s="73"/>
      <c r="AG725" s="73"/>
    </row>
    <row r="726" spans="2:33" x14ac:dyDescent="0.2">
      <c r="B726" s="73" t="s">
        <v>1743</v>
      </c>
      <c r="C726" s="74" t="s">
        <v>1691</v>
      </c>
      <c r="N726" s="73" t="s">
        <v>1706</v>
      </c>
      <c r="P726" s="73"/>
      <c r="Q726" s="73"/>
      <c r="R726" s="73"/>
      <c r="S726" s="73"/>
      <c r="T726" s="73"/>
      <c r="U726" s="73"/>
      <c r="V726" s="73"/>
      <c r="W726" s="73"/>
      <c r="X726" s="73"/>
      <c r="Y726" s="73"/>
      <c r="Z726" s="73"/>
      <c r="AA726" s="73"/>
      <c r="AF726" s="73"/>
      <c r="AG726" s="73"/>
    </row>
    <row r="727" spans="2:33" x14ac:dyDescent="0.2">
      <c r="B727" s="73" t="s">
        <v>1742</v>
      </c>
      <c r="C727" s="74" t="s">
        <v>1691</v>
      </c>
      <c r="N727" s="73" t="s">
        <v>1706</v>
      </c>
      <c r="P727" s="73"/>
      <c r="Q727" s="73"/>
      <c r="R727" s="73"/>
      <c r="S727" s="73"/>
      <c r="T727" s="73"/>
      <c r="U727" s="73"/>
      <c r="V727" s="73"/>
      <c r="W727" s="73"/>
      <c r="X727" s="73"/>
      <c r="Y727" s="73"/>
      <c r="Z727" s="73"/>
      <c r="AA727" s="73"/>
      <c r="AF727" s="73"/>
      <c r="AG727" s="73"/>
    </row>
    <row r="728" spans="2:33" x14ac:dyDescent="0.2">
      <c r="B728" s="73" t="s">
        <v>1741</v>
      </c>
      <c r="C728" s="74" t="s">
        <v>1691</v>
      </c>
      <c r="N728" s="73" t="s">
        <v>1706</v>
      </c>
      <c r="P728" s="73"/>
      <c r="Q728" s="73"/>
      <c r="R728" s="73"/>
      <c r="S728" s="73"/>
      <c r="T728" s="73"/>
      <c r="U728" s="73"/>
      <c r="V728" s="73"/>
      <c r="W728" s="73"/>
      <c r="X728" s="73"/>
      <c r="Y728" s="73"/>
      <c r="Z728" s="73"/>
      <c r="AA728" s="73"/>
      <c r="AF728" s="73"/>
      <c r="AG728" s="73"/>
    </row>
    <row r="729" spans="2:33" x14ac:dyDescent="0.2">
      <c r="B729" s="73" t="s">
        <v>1740</v>
      </c>
      <c r="C729" s="74" t="s">
        <v>1691</v>
      </c>
      <c r="N729" s="73" t="s">
        <v>1706</v>
      </c>
      <c r="P729" s="73"/>
      <c r="Q729" s="73"/>
      <c r="R729" s="73"/>
      <c r="S729" s="73"/>
      <c r="T729" s="73"/>
      <c r="U729" s="73"/>
      <c r="V729" s="73"/>
      <c r="W729" s="73"/>
      <c r="X729" s="73"/>
      <c r="Y729" s="73"/>
      <c r="Z729" s="73"/>
      <c r="AA729" s="73"/>
      <c r="AF729" s="73"/>
      <c r="AG729" s="73"/>
    </row>
    <row r="730" spans="2:33" x14ac:dyDescent="0.2">
      <c r="B730" s="73" t="s">
        <v>1739</v>
      </c>
      <c r="C730" s="74" t="s">
        <v>1691</v>
      </c>
      <c r="N730" s="73" t="s">
        <v>1706</v>
      </c>
      <c r="P730" s="73"/>
      <c r="Q730" s="73"/>
      <c r="R730" s="73"/>
      <c r="S730" s="73"/>
      <c r="T730" s="73"/>
      <c r="U730" s="73"/>
      <c r="V730" s="73"/>
      <c r="W730" s="73"/>
      <c r="X730" s="73"/>
      <c r="Y730" s="73"/>
      <c r="Z730" s="73"/>
      <c r="AA730" s="73"/>
      <c r="AF730" s="73"/>
      <c r="AG730" s="73"/>
    </row>
    <row r="731" spans="2:33" x14ac:dyDescent="0.2">
      <c r="B731" s="73" t="s">
        <v>1738</v>
      </c>
      <c r="C731" s="74" t="s">
        <v>1691</v>
      </c>
      <c r="N731" s="73" t="s">
        <v>1706</v>
      </c>
      <c r="P731" s="73"/>
      <c r="Q731" s="73"/>
      <c r="R731" s="73"/>
      <c r="S731" s="73"/>
      <c r="T731" s="73"/>
      <c r="U731" s="73"/>
      <c r="V731" s="73"/>
      <c r="W731" s="73"/>
      <c r="X731" s="73"/>
      <c r="Y731" s="73"/>
      <c r="Z731" s="73"/>
      <c r="AA731" s="73"/>
      <c r="AF731" s="73"/>
      <c r="AG731" s="73"/>
    </row>
    <row r="732" spans="2:33" x14ac:dyDescent="0.2">
      <c r="B732" s="73" t="s">
        <v>1737</v>
      </c>
      <c r="C732" s="74" t="s">
        <v>1691</v>
      </c>
      <c r="N732" s="73" t="s">
        <v>1706</v>
      </c>
      <c r="P732" s="73"/>
      <c r="Q732" s="73"/>
      <c r="R732" s="73"/>
      <c r="S732" s="73"/>
      <c r="T732" s="73"/>
      <c r="U732" s="73"/>
      <c r="V732" s="73"/>
      <c r="W732" s="73"/>
      <c r="X732" s="73"/>
      <c r="Y732" s="73"/>
      <c r="Z732" s="73"/>
      <c r="AA732" s="73"/>
      <c r="AF732" s="73"/>
      <c r="AG732" s="73"/>
    </row>
    <row r="733" spans="2:33" x14ac:dyDescent="0.2">
      <c r="B733" s="73" t="s">
        <v>1736</v>
      </c>
      <c r="C733" s="74" t="s">
        <v>1691</v>
      </c>
      <c r="N733" s="73" t="s">
        <v>1706</v>
      </c>
      <c r="P733" s="73"/>
      <c r="Q733" s="73"/>
      <c r="R733" s="73"/>
      <c r="S733" s="73"/>
      <c r="T733" s="73"/>
      <c r="U733" s="73"/>
      <c r="V733" s="73"/>
      <c r="W733" s="73"/>
      <c r="X733" s="73"/>
      <c r="Y733" s="73"/>
      <c r="Z733" s="73"/>
      <c r="AA733" s="73"/>
      <c r="AF733" s="73"/>
      <c r="AG733" s="73"/>
    </row>
    <row r="734" spans="2:33" x14ac:dyDescent="0.2">
      <c r="B734" s="73" t="s">
        <v>1735</v>
      </c>
      <c r="C734" s="74" t="s">
        <v>1691</v>
      </c>
      <c r="N734" s="73" t="s">
        <v>1706</v>
      </c>
      <c r="P734" s="73"/>
      <c r="Q734" s="73"/>
      <c r="R734" s="73"/>
      <c r="S734" s="73"/>
      <c r="T734" s="73"/>
      <c r="U734" s="73"/>
      <c r="V734" s="73"/>
      <c r="W734" s="73"/>
      <c r="X734" s="73"/>
      <c r="Y734" s="73"/>
      <c r="Z734" s="73"/>
      <c r="AA734" s="73"/>
      <c r="AF734" s="73"/>
      <c r="AG734" s="73"/>
    </row>
    <row r="735" spans="2:33" x14ac:dyDescent="0.2">
      <c r="B735" s="73" t="s">
        <v>1734</v>
      </c>
      <c r="C735" s="74" t="s">
        <v>1691</v>
      </c>
      <c r="N735" s="73" t="s">
        <v>1706</v>
      </c>
      <c r="P735" s="73"/>
      <c r="Q735" s="73"/>
      <c r="R735" s="73"/>
      <c r="S735" s="73"/>
      <c r="T735" s="73"/>
      <c r="U735" s="73"/>
      <c r="V735" s="73"/>
      <c r="W735" s="73"/>
      <c r="X735" s="73"/>
      <c r="Y735" s="73"/>
      <c r="Z735" s="73"/>
      <c r="AA735" s="73"/>
      <c r="AF735" s="73"/>
      <c r="AG735" s="73"/>
    </row>
    <row r="736" spans="2:33" x14ac:dyDescent="0.2">
      <c r="B736" s="73" t="s">
        <v>1733</v>
      </c>
      <c r="C736" s="74" t="s">
        <v>1691</v>
      </c>
      <c r="N736" s="73" t="s">
        <v>1706</v>
      </c>
      <c r="P736" s="73"/>
      <c r="Q736" s="73"/>
      <c r="R736" s="73"/>
      <c r="S736" s="73"/>
      <c r="T736" s="73"/>
      <c r="U736" s="73"/>
      <c r="V736" s="73"/>
      <c r="W736" s="73"/>
      <c r="X736" s="73"/>
      <c r="Y736" s="73"/>
      <c r="Z736" s="73"/>
      <c r="AA736" s="73"/>
      <c r="AF736" s="73"/>
      <c r="AG736" s="73"/>
    </row>
    <row r="737" spans="2:33" x14ac:dyDescent="0.2">
      <c r="B737" s="73" t="s">
        <v>1732</v>
      </c>
      <c r="C737" s="74" t="s">
        <v>1691</v>
      </c>
      <c r="N737" s="73" t="s">
        <v>1706</v>
      </c>
      <c r="P737" s="73"/>
      <c r="Q737" s="73"/>
      <c r="R737" s="73"/>
      <c r="S737" s="73"/>
      <c r="T737" s="73"/>
      <c r="U737" s="73"/>
      <c r="V737" s="73"/>
      <c r="W737" s="73"/>
      <c r="X737" s="73"/>
      <c r="Y737" s="73"/>
      <c r="Z737" s="73"/>
      <c r="AA737" s="73"/>
      <c r="AF737" s="73"/>
      <c r="AG737" s="73"/>
    </row>
    <row r="738" spans="2:33" x14ac:dyDescent="0.2">
      <c r="B738" s="73" t="s">
        <v>1731</v>
      </c>
      <c r="C738" s="74" t="s">
        <v>1691</v>
      </c>
      <c r="N738" s="73" t="s">
        <v>1706</v>
      </c>
      <c r="P738" s="73"/>
      <c r="Q738" s="73"/>
      <c r="R738" s="73"/>
      <c r="S738" s="73"/>
      <c r="T738" s="73"/>
      <c r="U738" s="73"/>
      <c r="V738" s="73"/>
      <c r="W738" s="73"/>
      <c r="X738" s="73"/>
      <c r="Y738" s="73"/>
      <c r="Z738" s="73"/>
      <c r="AA738" s="73"/>
      <c r="AF738" s="73"/>
      <c r="AG738" s="73"/>
    </row>
    <row r="739" spans="2:33" x14ac:dyDescent="0.2">
      <c r="B739" s="73" t="s">
        <v>1730</v>
      </c>
      <c r="C739" s="74" t="s">
        <v>1691</v>
      </c>
      <c r="N739" s="73" t="s">
        <v>1706</v>
      </c>
      <c r="P739" s="73"/>
      <c r="Q739" s="73"/>
      <c r="R739" s="73"/>
      <c r="S739" s="73"/>
      <c r="T739" s="73"/>
      <c r="U739" s="73"/>
      <c r="V739" s="73"/>
      <c r="W739" s="73"/>
      <c r="X739" s="73"/>
      <c r="Y739" s="73"/>
      <c r="Z739" s="73"/>
      <c r="AA739" s="73"/>
      <c r="AF739" s="73"/>
      <c r="AG739" s="73"/>
    </row>
    <row r="740" spans="2:33" x14ac:dyDescent="0.2">
      <c r="B740" s="73" t="s">
        <v>1729</v>
      </c>
      <c r="C740" s="74" t="s">
        <v>1691</v>
      </c>
      <c r="N740" s="73" t="s">
        <v>1706</v>
      </c>
      <c r="P740" s="73"/>
      <c r="Q740" s="73"/>
      <c r="R740" s="73"/>
      <c r="S740" s="73"/>
      <c r="T740" s="73"/>
      <c r="U740" s="73"/>
      <c r="V740" s="73"/>
      <c r="W740" s="73"/>
      <c r="X740" s="73"/>
      <c r="Y740" s="73"/>
      <c r="Z740" s="73"/>
      <c r="AA740" s="73"/>
      <c r="AF740" s="73"/>
      <c r="AG740" s="73"/>
    </row>
    <row r="741" spans="2:33" x14ac:dyDescent="0.2">
      <c r="B741" s="73" t="s">
        <v>1728</v>
      </c>
      <c r="C741" s="74" t="s">
        <v>1691</v>
      </c>
      <c r="N741" s="73" t="s">
        <v>1706</v>
      </c>
      <c r="P741" s="73"/>
      <c r="Q741" s="73"/>
      <c r="R741" s="73"/>
      <c r="S741" s="73"/>
      <c r="T741" s="73"/>
      <c r="U741" s="73"/>
      <c r="V741" s="73"/>
      <c r="W741" s="73"/>
      <c r="X741" s="73"/>
      <c r="Y741" s="73"/>
      <c r="Z741" s="73"/>
      <c r="AA741" s="73"/>
      <c r="AF741" s="73"/>
      <c r="AG741" s="73"/>
    </row>
    <row r="742" spans="2:33" x14ac:dyDescent="0.2">
      <c r="B742" s="73" t="s">
        <v>1727</v>
      </c>
      <c r="C742" s="74" t="s">
        <v>1691</v>
      </c>
      <c r="N742" s="73" t="s">
        <v>1706</v>
      </c>
      <c r="P742" s="73"/>
      <c r="Q742" s="73"/>
      <c r="R742" s="73"/>
      <c r="S742" s="73"/>
      <c r="T742" s="73"/>
      <c r="U742" s="73"/>
      <c r="V742" s="73"/>
      <c r="W742" s="73"/>
      <c r="X742" s="73"/>
      <c r="Y742" s="73"/>
      <c r="Z742" s="73"/>
      <c r="AA742" s="73"/>
      <c r="AF742" s="73"/>
      <c r="AG742" s="73"/>
    </row>
    <row r="743" spans="2:33" x14ac:dyDescent="0.2">
      <c r="B743" s="73" t="s">
        <v>1726</v>
      </c>
      <c r="C743" s="74" t="s">
        <v>1691</v>
      </c>
      <c r="N743" s="73" t="s">
        <v>1706</v>
      </c>
      <c r="P743" s="73"/>
      <c r="Q743" s="73"/>
      <c r="R743" s="73"/>
      <c r="S743" s="73"/>
      <c r="T743" s="73"/>
      <c r="U743" s="73"/>
      <c r="V743" s="73"/>
      <c r="W743" s="73"/>
      <c r="X743" s="73"/>
      <c r="Y743" s="73"/>
      <c r="Z743" s="73"/>
      <c r="AA743" s="73"/>
      <c r="AF743" s="73"/>
      <c r="AG743" s="73"/>
    </row>
    <row r="744" spans="2:33" x14ac:dyDescent="0.2">
      <c r="B744" s="73" t="s">
        <v>1725</v>
      </c>
      <c r="C744" s="74" t="s">
        <v>1691</v>
      </c>
      <c r="N744" s="73" t="s">
        <v>1706</v>
      </c>
      <c r="P744" s="73"/>
      <c r="Q744" s="73"/>
      <c r="R744" s="73"/>
      <c r="S744" s="73"/>
      <c r="T744" s="73"/>
      <c r="U744" s="73"/>
      <c r="V744" s="73"/>
      <c r="W744" s="73"/>
      <c r="X744" s="73"/>
      <c r="Y744" s="73"/>
      <c r="Z744" s="73"/>
      <c r="AA744" s="73"/>
      <c r="AF744" s="73"/>
      <c r="AG744" s="73"/>
    </row>
    <row r="745" spans="2:33" x14ac:dyDescent="0.2">
      <c r="B745" s="73" t="s">
        <v>1724</v>
      </c>
      <c r="C745" s="74" t="s">
        <v>1691</v>
      </c>
      <c r="N745" s="73" t="s">
        <v>1706</v>
      </c>
      <c r="P745" s="73"/>
      <c r="Q745" s="73"/>
      <c r="R745" s="73"/>
      <c r="S745" s="73"/>
      <c r="T745" s="73"/>
      <c r="U745" s="73"/>
      <c r="V745" s="73"/>
      <c r="W745" s="73"/>
      <c r="X745" s="73"/>
      <c r="Y745" s="73"/>
      <c r="Z745" s="73"/>
      <c r="AA745" s="73"/>
      <c r="AF745" s="73"/>
      <c r="AG745" s="73"/>
    </row>
    <row r="746" spans="2:33" x14ac:dyDescent="0.2">
      <c r="B746" s="73" t="s">
        <v>1723</v>
      </c>
      <c r="C746" s="74" t="s">
        <v>1691</v>
      </c>
      <c r="N746" s="73" t="s">
        <v>1706</v>
      </c>
      <c r="P746" s="73"/>
      <c r="Q746" s="73"/>
      <c r="R746" s="73"/>
      <c r="S746" s="73"/>
      <c r="T746" s="73"/>
      <c r="U746" s="73"/>
      <c r="V746" s="73"/>
      <c r="W746" s="73"/>
      <c r="X746" s="73"/>
      <c r="Y746" s="73"/>
      <c r="Z746" s="73"/>
      <c r="AA746" s="73"/>
      <c r="AF746" s="73"/>
      <c r="AG746" s="73"/>
    </row>
    <row r="747" spans="2:33" x14ac:dyDescent="0.2">
      <c r="B747" s="73" t="s">
        <v>1722</v>
      </c>
      <c r="C747" s="74" t="s">
        <v>1691</v>
      </c>
      <c r="N747" s="73" t="s">
        <v>1706</v>
      </c>
      <c r="P747" s="73"/>
      <c r="Q747" s="73"/>
      <c r="R747" s="73"/>
      <c r="S747" s="73"/>
      <c r="T747" s="73"/>
      <c r="U747" s="73"/>
      <c r="V747" s="73"/>
      <c r="W747" s="73"/>
      <c r="X747" s="73"/>
      <c r="Y747" s="73"/>
      <c r="Z747" s="73"/>
      <c r="AA747" s="73"/>
      <c r="AF747" s="73"/>
      <c r="AG747" s="73"/>
    </row>
    <row r="748" spans="2:33" x14ac:dyDescent="0.2">
      <c r="B748" s="73" t="s">
        <v>1721</v>
      </c>
      <c r="C748" s="74" t="s">
        <v>1691</v>
      </c>
      <c r="N748" s="73" t="s">
        <v>1706</v>
      </c>
      <c r="P748" s="73"/>
      <c r="Q748" s="73"/>
      <c r="R748" s="73"/>
      <c r="S748" s="73"/>
      <c r="T748" s="73"/>
      <c r="U748" s="73"/>
      <c r="V748" s="73"/>
      <c r="W748" s="73"/>
      <c r="X748" s="73"/>
      <c r="Y748" s="73"/>
      <c r="Z748" s="73"/>
      <c r="AA748" s="73"/>
      <c r="AF748" s="73"/>
      <c r="AG748" s="73"/>
    </row>
    <row r="749" spans="2:33" x14ac:dyDescent="0.2">
      <c r="B749" s="73" t="s">
        <v>1720</v>
      </c>
      <c r="C749" s="74" t="s">
        <v>1691</v>
      </c>
      <c r="N749" s="73" t="s">
        <v>1706</v>
      </c>
      <c r="P749" s="73"/>
      <c r="Q749" s="73"/>
      <c r="R749" s="73"/>
      <c r="S749" s="73"/>
      <c r="T749" s="73"/>
      <c r="U749" s="73"/>
      <c r="V749" s="73"/>
      <c r="W749" s="73"/>
      <c r="X749" s="73"/>
      <c r="Y749" s="73"/>
      <c r="Z749" s="73"/>
      <c r="AA749" s="73"/>
      <c r="AF749" s="73"/>
      <c r="AG749" s="73"/>
    </row>
    <row r="750" spans="2:33" x14ac:dyDescent="0.2">
      <c r="B750" s="73" t="s">
        <v>1719</v>
      </c>
      <c r="C750" s="74" t="s">
        <v>1691</v>
      </c>
      <c r="N750" s="73" t="s">
        <v>1706</v>
      </c>
      <c r="P750" s="73"/>
      <c r="Q750" s="73"/>
      <c r="R750" s="73"/>
      <c r="S750" s="73"/>
      <c r="T750" s="73"/>
      <c r="U750" s="73"/>
      <c r="V750" s="73"/>
      <c r="W750" s="73"/>
      <c r="X750" s="73"/>
      <c r="Y750" s="73"/>
      <c r="Z750" s="73"/>
      <c r="AA750" s="73"/>
      <c r="AF750" s="73"/>
      <c r="AG750" s="73"/>
    </row>
    <row r="751" spans="2:33" x14ac:dyDescent="0.2">
      <c r="B751" s="73" t="s">
        <v>1718</v>
      </c>
      <c r="C751" s="74" t="s">
        <v>1691</v>
      </c>
      <c r="N751" s="73" t="s">
        <v>1706</v>
      </c>
      <c r="P751" s="73"/>
      <c r="Q751" s="73"/>
      <c r="R751" s="73"/>
      <c r="S751" s="73"/>
      <c r="T751" s="73"/>
      <c r="U751" s="73"/>
      <c r="V751" s="73"/>
      <c r="W751" s="73"/>
      <c r="X751" s="73"/>
      <c r="Y751" s="73"/>
      <c r="Z751" s="73"/>
      <c r="AA751" s="73"/>
      <c r="AF751" s="73"/>
      <c r="AG751" s="73"/>
    </row>
    <row r="752" spans="2:33" x14ac:dyDescent="0.2">
      <c r="B752" s="73" t="s">
        <v>1717</v>
      </c>
      <c r="C752" s="74" t="s">
        <v>1691</v>
      </c>
      <c r="N752" s="73" t="s">
        <v>1706</v>
      </c>
      <c r="P752" s="73"/>
      <c r="Q752" s="73"/>
      <c r="R752" s="73"/>
      <c r="S752" s="73"/>
      <c r="T752" s="73"/>
      <c r="U752" s="73"/>
      <c r="V752" s="73"/>
      <c r="W752" s="73"/>
      <c r="X752" s="73"/>
      <c r="Y752" s="73"/>
      <c r="Z752" s="73"/>
      <c r="AA752" s="73"/>
      <c r="AF752" s="73"/>
      <c r="AG752" s="73"/>
    </row>
    <row r="753" spans="2:33" x14ac:dyDescent="0.2">
      <c r="B753" s="73" t="s">
        <v>1716</v>
      </c>
      <c r="C753" s="74" t="s">
        <v>1691</v>
      </c>
      <c r="N753" s="73" t="s">
        <v>1706</v>
      </c>
      <c r="P753" s="73"/>
      <c r="Q753" s="73"/>
      <c r="R753" s="73"/>
      <c r="S753" s="73"/>
      <c r="T753" s="73"/>
      <c r="U753" s="73"/>
      <c r="V753" s="73"/>
      <c r="W753" s="73"/>
      <c r="X753" s="73"/>
      <c r="Y753" s="73"/>
      <c r="Z753" s="73"/>
      <c r="AA753" s="73"/>
      <c r="AF753" s="73"/>
      <c r="AG753" s="73"/>
    </row>
    <row r="754" spans="2:33" x14ac:dyDescent="0.2">
      <c r="B754" s="73" t="s">
        <v>1715</v>
      </c>
      <c r="C754" s="74" t="s">
        <v>1691</v>
      </c>
      <c r="N754" s="73" t="s">
        <v>1706</v>
      </c>
      <c r="P754" s="73"/>
      <c r="Q754" s="73"/>
      <c r="R754" s="73"/>
      <c r="S754" s="73"/>
      <c r="T754" s="73"/>
      <c r="U754" s="73"/>
      <c r="V754" s="73"/>
      <c r="W754" s="73"/>
      <c r="X754" s="73"/>
      <c r="Y754" s="73"/>
      <c r="Z754" s="73"/>
      <c r="AA754" s="73"/>
      <c r="AF754" s="73"/>
      <c r="AG754" s="73"/>
    </row>
    <row r="755" spans="2:33" x14ac:dyDescent="0.2">
      <c r="B755" s="73" t="s">
        <v>1714</v>
      </c>
      <c r="C755" s="74" t="s">
        <v>1691</v>
      </c>
      <c r="N755" s="73" t="s">
        <v>1706</v>
      </c>
      <c r="P755" s="73"/>
      <c r="Q755" s="73"/>
      <c r="R755" s="73"/>
      <c r="S755" s="73"/>
      <c r="T755" s="73"/>
      <c r="U755" s="73"/>
      <c r="V755" s="73"/>
      <c r="W755" s="73"/>
      <c r="X755" s="73"/>
      <c r="Y755" s="73"/>
      <c r="Z755" s="73"/>
      <c r="AA755" s="73"/>
      <c r="AF755" s="73"/>
      <c r="AG755" s="73"/>
    </row>
    <row r="756" spans="2:33" x14ac:dyDescent="0.2">
      <c r="B756" s="73" t="s">
        <v>1713</v>
      </c>
      <c r="C756" s="74" t="s">
        <v>1691</v>
      </c>
      <c r="N756" s="73" t="s">
        <v>1706</v>
      </c>
      <c r="P756" s="73"/>
      <c r="Q756" s="73"/>
      <c r="R756" s="73"/>
      <c r="S756" s="73"/>
      <c r="T756" s="73"/>
      <c r="U756" s="73"/>
      <c r="V756" s="73"/>
      <c r="W756" s="73"/>
      <c r="X756" s="73"/>
      <c r="Y756" s="73"/>
      <c r="Z756" s="73"/>
      <c r="AA756" s="73"/>
      <c r="AF756" s="73"/>
      <c r="AG756" s="73"/>
    </row>
    <row r="757" spans="2:33" x14ac:dyDescent="0.2">
      <c r="B757" s="73" t="s">
        <v>1432</v>
      </c>
      <c r="C757" s="74" t="s">
        <v>1691</v>
      </c>
      <c r="N757" s="73" t="s">
        <v>1706</v>
      </c>
      <c r="P757" s="73"/>
      <c r="Q757" s="73"/>
      <c r="R757" s="73"/>
      <c r="S757" s="73"/>
      <c r="T757" s="73"/>
      <c r="U757" s="73"/>
      <c r="V757" s="73"/>
      <c r="W757" s="73"/>
      <c r="X757" s="73"/>
      <c r="Y757" s="73"/>
      <c r="Z757" s="73"/>
      <c r="AA757" s="73"/>
      <c r="AF757" s="73"/>
      <c r="AG757" s="73"/>
    </row>
    <row r="758" spans="2:33" x14ac:dyDescent="0.2">
      <c r="B758" s="73" t="s">
        <v>1712</v>
      </c>
      <c r="C758" s="74" t="s">
        <v>1691</v>
      </c>
      <c r="N758" s="73" t="s">
        <v>1706</v>
      </c>
      <c r="P758" s="73"/>
      <c r="Q758" s="73"/>
      <c r="R758" s="73"/>
      <c r="S758" s="73"/>
      <c r="T758" s="73"/>
      <c r="U758" s="73"/>
      <c r="V758" s="73"/>
      <c r="W758" s="73"/>
      <c r="X758" s="73"/>
      <c r="Y758" s="73"/>
      <c r="Z758" s="73"/>
      <c r="AA758" s="73"/>
      <c r="AF758" s="73"/>
      <c r="AG758" s="73"/>
    </row>
    <row r="759" spans="2:33" x14ac:dyDescent="0.2">
      <c r="B759" s="73" t="s">
        <v>1711</v>
      </c>
      <c r="C759" s="74" t="s">
        <v>1691</v>
      </c>
      <c r="N759" s="73" t="s">
        <v>1706</v>
      </c>
      <c r="P759" s="73"/>
      <c r="Q759" s="73"/>
      <c r="R759" s="73"/>
      <c r="S759" s="73"/>
      <c r="T759" s="73"/>
      <c r="U759" s="73"/>
      <c r="V759" s="73"/>
      <c r="W759" s="73"/>
      <c r="X759" s="73"/>
      <c r="Y759" s="73"/>
      <c r="Z759" s="73"/>
      <c r="AA759" s="73"/>
      <c r="AF759" s="73"/>
      <c r="AG759" s="73"/>
    </row>
    <row r="760" spans="2:33" x14ac:dyDescent="0.2">
      <c r="B760" s="73" t="s">
        <v>1710</v>
      </c>
      <c r="C760" s="74" t="s">
        <v>1691</v>
      </c>
      <c r="N760" s="73" t="s">
        <v>1706</v>
      </c>
      <c r="P760" s="73"/>
      <c r="Q760" s="73"/>
      <c r="R760" s="73"/>
      <c r="S760" s="73"/>
      <c r="T760" s="73"/>
      <c r="U760" s="73"/>
      <c r="V760" s="73"/>
      <c r="W760" s="73"/>
      <c r="X760" s="73"/>
      <c r="Y760" s="73"/>
      <c r="Z760" s="73"/>
      <c r="AA760" s="73"/>
      <c r="AF760" s="73"/>
      <c r="AG760" s="73"/>
    </row>
    <row r="761" spans="2:33" x14ac:dyDescent="0.2">
      <c r="B761" s="73" t="s">
        <v>1709</v>
      </c>
      <c r="C761" s="74" t="s">
        <v>1691</v>
      </c>
      <c r="N761" s="73" t="s">
        <v>1706</v>
      </c>
      <c r="P761" s="73"/>
      <c r="Q761" s="73"/>
      <c r="R761" s="73"/>
      <c r="S761" s="73"/>
      <c r="T761" s="73"/>
      <c r="U761" s="73"/>
      <c r="V761" s="73"/>
      <c r="W761" s="73"/>
      <c r="X761" s="73"/>
      <c r="Y761" s="73"/>
      <c r="Z761" s="73"/>
      <c r="AA761" s="73"/>
      <c r="AF761" s="73"/>
      <c r="AG761" s="73"/>
    </row>
    <row r="762" spans="2:33" x14ac:dyDescent="0.2">
      <c r="B762" s="73" t="s">
        <v>1708</v>
      </c>
      <c r="C762" s="74" t="s">
        <v>1691</v>
      </c>
      <c r="N762" s="73" t="s">
        <v>1706</v>
      </c>
      <c r="P762" s="73"/>
      <c r="Q762" s="73"/>
      <c r="R762" s="73"/>
      <c r="S762" s="73"/>
      <c r="T762" s="73"/>
      <c r="U762" s="73"/>
      <c r="V762" s="73"/>
      <c r="W762" s="73"/>
      <c r="X762" s="73"/>
      <c r="Y762" s="73"/>
      <c r="Z762" s="73"/>
      <c r="AA762" s="73"/>
      <c r="AF762" s="73"/>
      <c r="AG762" s="73"/>
    </row>
    <row r="763" spans="2:33" x14ac:dyDescent="0.2">
      <c r="B763" s="73" t="s">
        <v>1707</v>
      </c>
      <c r="C763" s="74" t="s">
        <v>1691</v>
      </c>
      <c r="N763" s="73" t="s">
        <v>1706</v>
      </c>
      <c r="P763" s="73"/>
      <c r="Q763" s="73"/>
      <c r="R763" s="73"/>
      <c r="S763" s="73"/>
      <c r="T763" s="73"/>
      <c r="U763" s="73"/>
      <c r="V763" s="73"/>
      <c r="W763" s="73"/>
      <c r="X763" s="73"/>
      <c r="Y763" s="73"/>
      <c r="Z763" s="73"/>
      <c r="AA763" s="73"/>
      <c r="AF763" s="73"/>
      <c r="AG763" s="73"/>
    </row>
    <row r="764" spans="2:33" x14ac:dyDescent="0.2">
      <c r="B764" s="73" t="s">
        <v>1705</v>
      </c>
      <c r="C764" s="74" t="s">
        <v>1691</v>
      </c>
      <c r="P764" s="73"/>
      <c r="Q764" s="73"/>
      <c r="R764" s="73"/>
      <c r="S764" s="73"/>
      <c r="T764" s="73"/>
      <c r="U764" s="73"/>
      <c r="V764" s="73"/>
      <c r="W764" s="73"/>
      <c r="X764" s="73"/>
      <c r="Y764" s="73"/>
      <c r="Z764" s="73"/>
      <c r="AA764" s="73"/>
      <c r="AF764" s="73"/>
      <c r="AG764" s="73"/>
    </row>
    <row r="765" spans="2:33" x14ac:dyDescent="0.2">
      <c r="B765" s="73" t="s">
        <v>1704</v>
      </c>
      <c r="C765" s="74" t="s">
        <v>1691</v>
      </c>
      <c r="P765" s="73"/>
      <c r="Q765" s="73"/>
      <c r="R765" s="73"/>
      <c r="S765" s="73"/>
      <c r="T765" s="73"/>
      <c r="U765" s="73"/>
      <c r="V765" s="73"/>
      <c r="W765" s="73"/>
      <c r="X765" s="73"/>
      <c r="Y765" s="73"/>
      <c r="Z765" s="73"/>
      <c r="AA765" s="73"/>
      <c r="AF765" s="73"/>
      <c r="AG765" s="73"/>
    </row>
    <row r="766" spans="2:33" x14ac:dyDescent="0.2">
      <c r="B766" s="73" t="s">
        <v>1703</v>
      </c>
      <c r="C766" s="74" t="s">
        <v>1691</v>
      </c>
      <c r="P766" s="73"/>
      <c r="Q766" s="73"/>
      <c r="R766" s="73"/>
      <c r="S766" s="73"/>
      <c r="T766" s="73"/>
      <c r="U766" s="73"/>
      <c r="V766" s="73"/>
      <c r="W766" s="73"/>
      <c r="X766" s="73"/>
      <c r="Y766" s="73"/>
      <c r="Z766" s="73"/>
      <c r="AA766" s="73"/>
      <c r="AF766" s="73"/>
      <c r="AG766" s="73"/>
    </row>
    <row r="767" spans="2:33" x14ac:dyDescent="0.2">
      <c r="B767" s="73" t="s">
        <v>1702</v>
      </c>
      <c r="C767" s="74" t="s">
        <v>1691</v>
      </c>
      <c r="P767" s="73"/>
      <c r="Q767" s="73"/>
      <c r="R767" s="73"/>
      <c r="S767" s="73"/>
      <c r="T767" s="73"/>
      <c r="U767" s="73"/>
      <c r="V767" s="73"/>
      <c r="W767" s="73"/>
      <c r="X767" s="73"/>
      <c r="Y767" s="73"/>
      <c r="Z767" s="73"/>
      <c r="AA767" s="73"/>
      <c r="AF767" s="73"/>
      <c r="AG767" s="73"/>
    </row>
    <row r="768" spans="2:33" x14ac:dyDescent="0.2">
      <c r="B768" s="73" t="s">
        <v>1701</v>
      </c>
      <c r="C768" s="74" t="s">
        <v>1691</v>
      </c>
      <c r="P768" s="73"/>
      <c r="Q768" s="73"/>
      <c r="R768" s="73"/>
      <c r="S768" s="73"/>
      <c r="T768" s="73"/>
      <c r="U768" s="73"/>
      <c r="V768" s="73"/>
      <c r="W768" s="73"/>
      <c r="X768" s="73"/>
      <c r="Y768" s="73"/>
      <c r="Z768" s="73"/>
      <c r="AA768" s="73"/>
      <c r="AF768" s="73"/>
      <c r="AG768" s="73"/>
    </row>
    <row r="769" spans="2:33" x14ac:dyDescent="0.2">
      <c r="B769" s="73" t="s">
        <v>1700</v>
      </c>
      <c r="C769" s="74" t="s">
        <v>1691</v>
      </c>
      <c r="P769" s="73"/>
      <c r="Q769" s="73"/>
      <c r="R769" s="73"/>
      <c r="S769" s="73"/>
      <c r="T769" s="73"/>
      <c r="U769" s="73"/>
      <c r="V769" s="73"/>
      <c r="W769" s="73"/>
      <c r="X769" s="73"/>
      <c r="Y769" s="73"/>
      <c r="Z769" s="73"/>
      <c r="AA769" s="73"/>
      <c r="AF769" s="73"/>
      <c r="AG769" s="73"/>
    </row>
    <row r="770" spans="2:33" x14ac:dyDescent="0.2">
      <c r="B770" s="73" t="s">
        <v>1699</v>
      </c>
      <c r="C770" s="74" t="s">
        <v>1691</v>
      </c>
      <c r="D770" s="73"/>
      <c r="F770" s="73"/>
      <c r="G770" s="73"/>
      <c r="H770" s="73"/>
      <c r="P770" s="73"/>
      <c r="Q770" s="73"/>
      <c r="R770" s="73"/>
      <c r="S770" s="73"/>
      <c r="T770" s="73"/>
      <c r="U770" s="73"/>
      <c r="V770" s="73"/>
      <c r="W770" s="73"/>
      <c r="X770" s="73"/>
      <c r="Y770" s="73"/>
      <c r="Z770" s="73"/>
      <c r="AA770" s="73"/>
      <c r="AF770" s="73"/>
      <c r="AG770" s="73"/>
    </row>
    <row r="771" spans="2:33" x14ac:dyDescent="0.2">
      <c r="B771" s="73" t="s">
        <v>1698</v>
      </c>
      <c r="C771" s="74" t="s">
        <v>1691</v>
      </c>
      <c r="D771" s="73"/>
      <c r="F771" s="73"/>
      <c r="G771" s="73"/>
      <c r="H771" s="73"/>
      <c r="P771" s="73"/>
      <c r="Q771" s="73"/>
      <c r="R771" s="73"/>
      <c r="S771" s="73"/>
      <c r="T771" s="73"/>
      <c r="U771" s="73"/>
      <c r="V771" s="73"/>
      <c r="W771" s="73"/>
      <c r="X771" s="73"/>
      <c r="Y771" s="73"/>
      <c r="Z771" s="73"/>
      <c r="AA771" s="73"/>
      <c r="AF771" s="73"/>
      <c r="AG771" s="73"/>
    </row>
    <row r="772" spans="2:33" x14ac:dyDescent="0.2">
      <c r="B772" s="73" t="s">
        <v>1697</v>
      </c>
      <c r="C772" s="74" t="s">
        <v>1691</v>
      </c>
      <c r="D772" s="73"/>
      <c r="F772" s="73"/>
      <c r="G772" s="73"/>
      <c r="H772" s="73"/>
      <c r="P772" s="73"/>
      <c r="Q772" s="73"/>
      <c r="R772" s="73"/>
      <c r="S772" s="73"/>
      <c r="T772" s="73"/>
      <c r="U772" s="73"/>
      <c r="V772" s="73"/>
      <c r="W772" s="73"/>
      <c r="X772" s="73"/>
      <c r="Y772" s="73"/>
      <c r="Z772" s="73"/>
      <c r="AA772" s="73"/>
      <c r="AF772" s="73"/>
      <c r="AG772" s="73"/>
    </row>
    <row r="773" spans="2:33" x14ac:dyDescent="0.2">
      <c r="B773" s="73" t="s">
        <v>1696</v>
      </c>
      <c r="C773" s="74" t="s">
        <v>1691</v>
      </c>
      <c r="D773" s="73"/>
      <c r="F773" s="73"/>
      <c r="G773" s="73"/>
      <c r="H773" s="73"/>
      <c r="P773" s="73"/>
      <c r="Q773" s="73"/>
      <c r="R773" s="73"/>
      <c r="S773" s="73"/>
      <c r="T773" s="73"/>
      <c r="U773" s="73"/>
      <c r="V773" s="73"/>
      <c r="W773" s="73"/>
      <c r="X773" s="73"/>
      <c r="Y773" s="73"/>
      <c r="Z773" s="73"/>
      <c r="AA773" s="73"/>
      <c r="AF773" s="73"/>
      <c r="AG773" s="73"/>
    </row>
    <row r="774" spans="2:33" x14ac:dyDescent="0.2">
      <c r="B774" s="73" t="s">
        <v>1695</v>
      </c>
      <c r="C774" s="74" t="s">
        <v>1691</v>
      </c>
      <c r="D774" s="73"/>
      <c r="F774" s="73"/>
      <c r="G774" s="73"/>
      <c r="H774" s="73"/>
      <c r="P774" s="73"/>
      <c r="Q774" s="73"/>
      <c r="R774" s="73"/>
      <c r="S774" s="73"/>
      <c r="T774" s="73"/>
      <c r="U774" s="73"/>
      <c r="V774" s="73"/>
      <c r="W774" s="73"/>
      <c r="X774" s="73"/>
      <c r="Y774" s="73"/>
      <c r="Z774" s="73"/>
      <c r="AA774" s="73"/>
      <c r="AF774" s="73"/>
      <c r="AG774" s="73"/>
    </row>
    <row r="775" spans="2:33" x14ac:dyDescent="0.2">
      <c r="B775" s="73" t="s">
        <v>1694</v>
      </c>
      <c r="C775" s="74" t="s">
        <v>1691</v>
      </c>
      <c r="D775" s="73"/>
      <c r="F775" s="73"/>
      <c r="G775" s="73"/>
      <c r="H775" s="73"/>
      <c r="P775" s="73"/>
      <c r="Q775" s="73"/>
      <c r="R775" s="73"/>
      <c r="S775" s="73"/>
      <c r="T775" s="73"/>
      <c r="U775" s="73"/>
      <c r="V775" s="73"/>
      <c r="W775" s="73"/>
      <c r="X775" s="73"/>
      <c r="Y775" s="73"/>
      <c r="Z775" s="73"/>
      <c r="AA775" s="73"/>
      <c r="AF775" s="73"/>
      <c r="AG775" s="73"/>
    </row>
    <row r="776" spans="2:33" x14ac:dyDescent="0.2">
      <c r="B776" s="73" t="s">
        <v>1693</v>
      </c>
      <c r="C776" s="74" t="s">
        <v>1691</v>
      </c>
      <c r="D776" s="73"/>
      <c r="F776" s="73"/>
      <c r="G776" s="73"/>
      <c r="H776" s="73"/>
      <c r="P776" s="73"/>
      <c r="Q776" s="73"/>
      <c r="R776" s="73"/>
      <c r="S776" s="73"/>
      <c r="T776" s="73"/>
      <c r="U776" s="73"/>
      <c r="V776" s="73"/>
      <c r="W776" s="73"/>
      <c r="X776" s="73"/>
      <c r="Y776" s="73"/>
      <c r="Z776" s="73"/>
      <c r="AA776" s="73"/>
      <c r="AF776" s="73"/>
      <c r="AG776" s="73"/>
    </row>
    <row r="777" spans="2:33" x14ac:dyDescent="0.2">
      <c r="B777" s="73" t="s">
        <v>1692</v>
      </c>
      <c r="C777" s="74" t="s">
        <v>1691</v>
      </c>
      <c r="D777" s="73"/>
      <c r="F777" s="73"/>
      <c r="G777" s="73"/>
      <c r="H777" s="73"/>
      <c r="P777" s="73"/>
      <c r="Q777" s="73"/>
      <c r="R777" s="73"/>
      <c r="S777" s="73"/>
      <c r="T777" s="73"/>
      <c r="U777" s="73"/>
      <c r="V777" s="73"/>
      <c r="W777" s="73"/>
      <c r="X777" s="73"/>
      <c r="Y777" s="73"/>
      <c r="Z777" s="73"/>
      <c r="AA777" s="73"/>
      <c r="AF777" s="73"/>
      <c r="AG777" s="73"/>
    </row>
    <row r="778" spans="2:33" x14ac:dyDescent="0.2">
      <c r="B778" s="73" t="s">
        <v>1690</v>
      </c>
      <c r="D778" s="73"/>
      <c r="F778" s="73"/>
      <c r="G778" s="73"/>
      <c r="H778" s="73"/>
      <c r="P778" s="73"/>
      <c r="Q778" s="73"/>
      <c r="R778" s="73"/>
      <c r="S778" s="73"/>
      <c r="T778" s="73"/>
      <c r="U778" s="73"/>
      <c r="V778" s="73"/>
      <c r="W778" s="73"/>
      <c r="X778" s="73"/>
      <c r="Y778" s="73"/>
      <c r="Z778" s="73"/>
      <c r="AA778" s="73"/>
      <c r="AF778" s="73"/>
      <c r="AG778" s="73"/>
    </row>
    <row r="779" spans="2:33" x14ac:dyDescent="0.2">
      <c r="B779" s="73" t="s">
        <v>1689</v>
      </c>
      <c r="D779" s="73"/>
      <c r="F779" s="73"/>
      <c r="G779" s="73"/>
      <c r="H779" s="73"/>
      <c r="P779" s="73"/>
      <c r="Q779" s="73"/>
      <c r="R779" s="73"/>
      <c r="S779" s="73"/>
      <c r="T779" s="73"/>
      <c r="U779" s="73"/>
      <c r="V779" s="73"/>
      <c r="W779" s="73"/>
      <c r="X779" s="73"/>
      <c r="Y779" s="73"/>
      <c r="Z779" s="73"/>
      <c r="AA779" s="73"/>
      <c r="AF779" s="73"/>
      <c r="AG779" s="73"/>
    </row>
    <row r="780" spans="2:33" x14ac:dyDescent="0.2">
      <c r="B780" s="73" t="s">
        <v>1688</v>
      </c>
      <c r="D780" s="73"/>
      <c r="F780" s="73"/>
      <c r="G780" s="73"/>
      <c r="H780" s="73"/>
      <c r="P780" s="73"/>
      <c r="Q780" s="73"/>
      <c r="R780" s="73"/>
      <c r="S780" s="73"/>
      <c r="T780" s="73"/>
      <c r="U780" s="73"/>
      <c r="V780" s="73"/>
      <c r="W780" s="73"/>
      <c r="X780" s="73"/>
      <c r="Y780" s="73"/>
      <c r="Z780" s="73"/>
      <c r="AA780" s="73"/>
      <c r="AF780" s="73"/>
      <c r="AG780" s="73"/>
    </row>
    <row r="781" spans="2:33" x14ac:dyDescent="0.2">
      <c r="B781" s="73" t="s">
        <v>1687</v>
      </c>
      <c r="D781" s="73"/>
      <c r="F781" s="73"/>
      <c r="G781" s="73"/>
      <c r="H781" s="73"/>
      <c r="P781" s="73"/>
      <c r="Q781" s="73"/>
      <c r="R781" s="73"/>
      <c r="S781" s="73"/>
      <c r="T781" s="73"/>
      <c r="U781" s="73"/>
      <c r="V781" s="73"/>
      <c r="W781" s="73"/>
      <c r="X781" s="73"/>
      <c r="Y781" s="73"/>
      <c r="Z781" s="73"/>
      <c r="AA781" s="73"/>
      <c r="AF781" s="73"/>
      <c r="AG781" s="73"/>
    </row>
    <row r="782" spans="2:33" x14ac:dyDescent="0.2">
      <c r="B782" s="73" t="s">
        <v>1686</v>
      </c>
      <c r="D782" s="73"/>
      <c r="F782" s="73"/>
      <c r="G782" s="73"/>
      <c r="H782" s="73"/>
      <c r="P782" s="73"/>
      <c r="Q782" s="73"/>
      <c r="R782" s="73"/>
      <c r="S782" s="73"/>
      <c r="T782" s="73"/>
      <c r="U782" s="73"/>
      <c r="V782" s="73"/>
      <c r="W782" s="73"/>
      <c r="X782" s="73"/>
      <c r="Y782" s="73"/>
      <c r="Z782" s="73"/>
      <c r="AA782" s="73"/>
      <c r="AF782" s="73"/>
      <c r="AG782" s="73"/>
    </row>
    <row r="783" spans="2:33" x14ac:dyDescent="0.2">
      <c r="B783" s="73" t="s">
        <v>1685</v>
      </c>
      <c r="D783" s="73"/>
      <c r="F783" s="73"/>
      <c r="G783" s="73"/>
      <c r="H783" s="73"/>
      <c r="P783" s="73"/>
      <c r="Q783" s="73"/>
      <c r="R783" s="73"/>
      <c r="S783" s="73"/>
      <c r="T783" s="73"/>
      <c r="U783" s="73"/>
      <c r="V783" s="73"/>
      <c r="W783" s="73"/>
      <c r="X783" s="73"/>
      <c r="Y783" s="73"/>
      <c r="Z783" s="73"/>
      <c r="AA783" s="73"/>
      <c r="AF783" s="73"/>
      <c r="AG783" s="73"/>
    </row>
    <row r="784" spans="2:33" x14ac:dyDescent="0.2">
      <c r="B784" s="73" t="s">
        <v>1684</v>
      </c>
      <c r="D784" s="73"/>
      <c r="F784" s="73"/>
      <c r="G784" s="73"/>
      <c r="H784" s="73"/>
      <c r="P784" s="73"/>
      <c r="Q784" s="73"/>
      <c r="R784" s="73"/>
      <c r="S784" s="73"/>
      <c r="T784" s="73"/>
      <c r="U784" s="73"/>
      <c r="V784" s="73"/>
      <c r="W784" s="73"/>
      <c r="X784" s="73"/>
      <c r="Y784" s="73"/>
      <c r="Z784" s="73"/>
      <c r="AA784" s="73"/>
      <c r="AF784" s="73"/>
      <c r="AG784" s="73"/>
    </row>
    <row r="785" spans="2:33" x14ac:dyDescent="0.2">
      <c r="B785" s="73" t="s">
        <v>1683</v>
      </c>
      <c r="D785" s="73"/>
      <c r="F785" s="73"/>
      <c r="G785" s="73"/>
      <c r="H785" s="73"/>
      <c r="P785" s="73"/>
      <c r="Q785" s="73"/>
      <c r="R785" s="73"/>
      <c r="S785" s="73"/>
      <c r="T785" s="73"/>
      <c r="U785" s="73"/>
      <c r="V785" s="73"/>
      <c r="W785" s="73"/>
      <c r="X785" s="73"/>
      <c r="Y785" s="73"/>
      <c r="Z785" s="73"/>
      <c r="AA785" s="73"/>
      <c r="AF785" s="73"/>
      <c r="AG785" s="73"/>
    </row>
    <row r="786" spans="2:33" x14ac:dyDescent="0.2">
      <c r="B786" s="73" t="s">
        <v>1682</v>
      </c>
      <c r="C786" s="73"/>
      <c r="D786" s="73"/>
      <c r="F786" s="73"/>
      <c r="G786" s="73"/>
      <c r="H786" s="73"/>
      <c r="P786" s="73"/>
      <c r="Q786" s="73"/>
      <c r="R786" s="73"/>
      <c r="S786" s="73"/>
      <c r="T786" s="73"/>
      <c r="U786" s="73"/>
      <c r="V786" s="73"/>
      <c r="W786" s="73"/>
      <c r="X786" s="73"/>
      <c r="Y786" s="73"/>
      <c r="Z786" s="73"/>
      <c r="AA786" s="73"/>
      <c r="AF786" s="73"/>
      <c r="AG786" s="73"/>
    </row>
    <row r="787" spans="2:33" x14ac:dyDescent="0.2">
      <c r="B787" s="73" t="s">
        <v>1681</v>
      </c>
      <c r="C787" s="73"/>
      <c r="D787" s="73"/>
      <c r="F787" s="73"/>
      <c r="G787" s="73"/>
      <c r="H787" s="73"/>
      <c r="P787" s="73"/>
      <c r="Q787" s="73"/>
      <c r="R787" s="73"/>
      <c r="S787" s="73"/>
      <c r="T787" s="73"/>
      <c r="U787" s="73"/>
      <c r="V787" s="73"/>
      <c r="W787" s="73"/>
      <c r="X787" s="73"/>
      <c r="Y787" s="73"/>
      <c r="Z787" s="73"/>
      <c r="AA787" s="73"/>
      <c r="AF787" s="73"/>
      <c r="AG787" s="73"/>
    </row>
    <row r="788" spans="2:33" x14ac:dyDescent="0.2">
      <c r="B788" s="73" t="s">
        <v>1680</v>
      </c>
      <c r="C788" s="73"/>
      <c r="D788" s="73"/>
      <c r="F788" s="73"/>
      <c r="G788" s="73"/>
      <c r="H788" s="73"/>
      <c r="P788" s="73"/>
      <c r="Q788" s="73"/>
      <c r="R788" s="73"/>
      <c r="S788" s="73"/>
      <c r="T788" s="73"/>
      <c r="U788" s="73"/>
      <c r="V788" s="73"/>
      <c r="W788" s="73"/>
      <c r="X788" s="73"/>
      <c r="Y788" s="73"/>
      <c r="Z788" s="73"/>
      <c r="AA788" s="73"/>
      <c r="AF788" s="73"/>
      <c r="AG788" s="73"/>
    </row>
    <row r="789" spans="2:33" x14ac:dyDescent="0.2">
      <c r="B789" s="73" t="s">
        <v>1679</v>
      </c>
      <c r="C789" s="73"/>
      <c r="D789" s="73"/>
      <c r="F789" s="73"/>
      <c r="G789" s="73"/>
      <c r="H789" s="73"/>
      <c r="P789" s="73"/>
      <c r="Q789" s="73"/>
      <c r="R789" s="73"/>
      <c r="S789" s="73"/>
      <c r="T789" s="73"/>
      <c r="U789" s="73"/>
      <c r="V789" s="73"/>
      <c r="W789" s="73"/>
      <c r="X789" s="73"/>
      <c r="Y789" s="73"/>
      <c r="Z789" s="73"/>
      <c r="AA789" s="73"/>
      <c r="AF789" s="73"/>
      <c r="AG789" s="73"/>
    </row>
    <row r="790" spans="2:33" x14ac:dyDescent="0.2">
      <c r="B790" s="73" t="s">
        <v>1678</v>
      </c>
      <c r="C790" s="73"/>
      <c r="D790" s="73"/>
      <c r="F790" s="73"/>
      <c r="G790" s="73"/>
      <c r="H790" s="73"/>
      <c r="P790" s="73"/>
      <c r="Q790" s="73"/>
      <c r="R790" s="73"/>
      <c r="S790" s="73"/>
      <c r="T790" s="73"/>
      <c r="U790" s="73"/>
      <c r="V790" s="73"/>
      <c r="W790" s="73"/>
      <c r="X790" s="73"/>
      <c r="Y790" s="73"/>
      <c r="Z790" s="73"/>
      <c r="AA790" s="73"/>
      <c r="AF790" s="73"/>
      <c r="AG790" s="73"/>
    </row>
    <row r="791" spans="2:33" x14ac:dyDescent="0.2">
      <c r="B791" s="73" t="s">
        <v>1677</v>
      </c>
      <c r="C791" s="73"/>
      <c r="D791" s="73"/>
      <c r="F791" s="73"/>
      <c r="G791" s="73"/>
      <c r="H791" s="73"/>
      <c r="P791" s="73"/>
      <c r="Q791" s="73"/>
      <c r="R791" s="73"/>
      <c r="S791" s="73"/>
      <c r="T791" s="73"/>
      <c r="U791" s="73"/>
      <c r="V791" s="73"/>
      <c r="W791" s="73"/>
      <c r="X791" s="73"/>
      <c r="Y791" s="73"/>
      <c r="Z791" s="73"/>
      <c r="AA791" s="73"/>
      <c r="AF791" s="73"/>
      <c r="AG791" s="73"/>
    </row>
    <row r="792" spans="2:33" x14ac:dyDescent="0.2">
      <c r="B792" s="73" t="s">
        <v>1676</v>
      </c>
      <c r="C792" s="73"/>
      <c r="D792" s="73"/>
      <c r="F792" s="73"/>
      <c r="G792" s="73"/>
      <c r="H792" s="73"/>
      <c r="P792" s="73"/>
      <c r="Q792" s="73"/>
      <c r="R792" s="73"/>
      <c r="S792" s="73"/>
      <c r="T792" s="73"/>
      <c r="U792" s="73"/>
      <c r="V792" s="73"/>
      <c r="W792" s="73"/>
      <c r="X792" s="73"/>
      <c r="Y792" s="73"/>
      <c r="Z792" s="73"/>
      <c r="AA792" s="73"/>
      <c r="AF792" s="73"/>
      <c r="AG792" s="73"/>
    </row>
    <row r="793" spans="2:33" x14ac:dyDescent="0.2">
      <c r="B793" s="73" t="s">
        <v>1675</v>
      </c>
      <c r="C793" s="73"/>
      <c r="D793" s="73"/>
      <c r="F793" s="73"/>
      <c r="G793" s="73"/>
      <c r="H793" s="73"/>
      <c r="P793" s="73"/>
      <c r="Q793" s="73"/>
      <c r="R793" s="73"/>
      <c r="S793" s="73"/>
      <c r="T793" s="73"/>
      <c r="U793" s="73"/>
      <c r="V793" s="73"/>
      <c r="W793" s="73"/>
      <c r="X793" s="73"/>
      <c r="Y793" s="73"/>
      <c r="Z793" s="73"/>
      <c r="AA793" s="73"/>
      <c r="AF793" s="73"/>
      <c r="AG793" s="73"/>
    </row>
    <row r="794" spans="2:33" x14ac:dyDescent="0.2">
      <c r="B794" s="73" t="s">
        <v>1674</v>
      </c>
      <c r="C794" s="73"/>
      <c r="D794" s="73"/>
      <c r="F794" s="73"/>
      <c r="G794" s="73"/>
      <c r="H794" s="73"/>
      <c r="P794" s="73"/>
      <c r="Q794" s="73"/>
      <c r="R794" s="73"/>
      <c r="S794" s="73"/>
      <c r="T794" s="73"/>
      <c r="U794" s="73"/>
      <c r="V794" s="73"/>
      <c r="W794" s="73"/>
      <c r="X794" s="73"/>
      <c r="Y794" s="73"/>
      <c r="Z794" s="73"/>
      <c r="AA794" s="73"/>
      <c r="AF794" s="73"/>
      <c r="AG794" s="73"/>
    </row>
    <row r="795" spans="2:33" x14ac:dyDescent="0.2">
      <c r="B795" s="73" t="s">
        <v>1673</v>
      </c>
      <c r="C795" s="73"/>
      <c r="D795" s="73"/>
      <c r="F795" s="73"/>
      <c r="G795" s="73"/>
      <c r="H795" s="73"/>
      <c r="P795" s="73"/>
      <c r="Q795" s="73"/>
      <c r="R795" s="73"/>
      <c r="S795" s="73"/>
      <c r="T795" s="73"/>
      <c r="U795" s="73"/>
      <c r="V795" s="73"/>
      <c r="W795" s="73"/>
      <c r="X795" s="73"/>
      <c r="Y795" s="73"/>
      <c r="Z795" s="73"/>
      <c r="AA795" s="73"/>
      <c r="AF795" s="73"/>
      <c r="AG795" s="73"/>
    </row>
    <row r="796" spans="2:33" x14ac:dyDescent="0.2">
      <c r="B796" s="73" t="s">
        <v>1672</v>
      </c>
      <c r="C796" s="73"/>
      <c r="D796" s="73"/>
      <c r="F796" s="73"/>
      <c r="G796" s="73"/>
      <c r="H796" s="73"/>
      <c r="P796" s="73"/>
      <c r="Q796" s="73"/>
      <c r="R796" s="73"/>
      <c r="S796" s="73"/>
      <c r="T796" s="73"/>
      <c r="U796" s="73"/>
      <c r="V796" s="73"/>
      <c r="W796" s="73"/>
      <c r="X796" s="73"/>
      <c r="Y796" s="73"/>
      <c r="Z796" s="73"/>
      <c r="AA796" s="73"/>
      <c r="AF796" s="73"/>
      <c r="AG796" s="73"/>
    </row>
    <row r="797" spans="2:33" x14ac:dyDescent="0.2">
      <c r="B797" s="73" t="s">
        <v>1671</v>
      </c>
      <c r="C797" s="73"/>
      <c r="D797" s="73"/>
      <c r="F797" s="73"/>
      <c r="G797" s="73"/>
      <c r="H797" s="73"/>
      <c r="P797" s="73"/>
      <c r="Q797" s="73"/>
      <c r="R797" s="73"/>
      <c r="S797" s="73"/>
      <c r="T797" s="73"/>
      <c r="U797" s="73"/>
      <c r="V797" s="73"/>
      <c r="W797" s="73"/>
      <c r="X797" s="73"/>
      <c r="Y797" s="73"/>
      <c r="Z797" s="73"/>
      <c r="AA797" s="73"/>
      <c r="AF797" s="73"/>
      <c r="AG797" s="73"/>
    </row>
    <row r="798" spans="2:33" x14ac:dyDescent="0.2">
      <c r="B798" s="73" t="s">
        <v>1670</v>
      </c>
      <c r="C798" s="73"/>
      <c r="D798" s="73"/>
      <c r="F798" s="73"/>
      <c r="G798" s="73"/>
      <c r="H798" s="73"/>
      <c r="P798" s="73"/>
      <c r="Q798" s="73"/>
      <c r="R798" s="73"/>
      <c r="S798" s="73"/>
      <c r="T798" s="73"/>
      <c r="U798" s="73"/>
      <c r="V798" s="73"/>
      <c r="W798" s="73"/>
      <c r="X798" s="73"/>
      <c r="Y798" s="73"/>
      <c r="Z798" s="73"/>
      <c r="AA798" s="73"/>
      <c r="AF798" s="73"/>
      <c r="AG798" s="73"/>
    </row>
    <row r="799" spans="2:33" x14ac:dyDescent="0.2">
      <c r="B799" s="73" t="s">
        <v>1669</v>
      </c>
      <c r="C799" s="73"/>
      <c r="D799" s="73"/>
      <c r="F799" s="73"/>
      <c r="G799" s="73"/>
      <c r="H799" s="73"/>
      <c r="P799" s="73"/>
      <c r="Q799" s="73"/>
      <c r="R799" s="73"/>
      <c r="S799" s="73"/>
      <c r="T799" s="73"/>
      <c r="U799" s="73"/>
      <c r="V799" s="73"/>
      <c r="W799" s="73"/>
      <c r="X799" s="73"/>
      <c r="Y799" s="73"/>
      <c r="Z799" s="73"/>
      <c r="AA799" s="73"/>
      <c r="AF799" s="73"/>
      <c r="AG799" s="73"/>
    </row>
    <row r="800" spans="2:33" x14ac:dyDescent="0.2">
      <c r="B800" s="73" t="s">
        <v>1668</v>
      </c>
      <c r="C800" s="73"/>
      <c r="D800" s="73"/>
      <c r="F800" s="73"/>
      <c r="G800" s="73"/>
      <c r="H800" s="73"/>
      <c r="P800" s="73"/>
      <c r="Q800" s="73"/>
      <c r="R800" s="73"/>
      <c r="S800" s="73"/>
      <c r="T800" s="73"/>
      <c r="U800" s="73"/>
      <c r="V800" s="73"/>
      <c r="W800" s="73"/>
      <c r="X800" s="73"/>
      <c r="Y800" s="73"/>
      <c r="Z800" s="73"/>
      <c r="AA800" s="73"/>
      <c r="AF800" s="73"/>
      <c r="AG800" s="73"/>
    </row>
    <row r="801" spans="2:33" x14ac:dyDescent="0.2">
      <c r="B801" s="73" t="s">
        <v>1667</v>
      </c>
      <c r="C801" s="73"/>
      <c r="D801" s="73"/>
      <c r="F801" s="73"/>
      <c r="G801" s="73"/>
      <c r="H801" s="73"/>
      <c r="P801" s="73"/>
      <c r="Q801" s="73"/>
      <c r="R801" s="73"/>
      <c r="S801" s="73"/>
      <c r="T801" s="73"/>
      <c r="U801" s="73"/>
      <c r="V801" s="73"/>
      <c r="W801" s="73"/>
      <c r="X801" s="73"/>
      <c r="Y801" s="73"/>
      <c r="Z801" s="73"/>
      <c r="AA801" s="73"/>
      <c r="AF801" s="73"/>
      <c r="AG801" s="73"/>
    </row>
    <row r="802" spans="2:33" x14ac:dyDescent="0.2">
      <c r="B802" s="73" t="s">
        <v>1666</v>
      </c>
      <c r="AF802" s="73"/>
      <c r="AG802" s="73"/>
    </row>
    <row r="803" spans="2:33" x14ac:dyDescent="0.2">
      <c r="B803" s="73" t="s">
        <v>1665</v>
      </c>
      <c r="AF803" s="73"/>
      <c r="AG803" s="73"/>
    </row>
    <row r="804" spans="2:33" x14ac:dyDescent="0.2">
      <c r="B804" s="73" t="s">
        <v>1664</v>
      </c>
      <c r="AF804" s="73"/>
      <c r="AG804" s="73"/>
    </row>
    <row r="805" spans="2:33" x14ac:dyDescent="0.2">
      <c r="B805" s="73" t="s">
        <v>1663</v>
      </c>
      <c r="AF805" s="73"/>
      <c r="AG805" s="73"/>
    </row>
    <row r="806" spans="2:33" x14ac:dyDescent="0.2">
      <c r="B806" s="73" t="s">
        <v>1662</v>
      </c>
      <c r="AF806" s="73"/>
      <c r="AG806" s="73"/>
    </row>
    <row r="807" spans="2:33" x14ac:dyDescent="0.2">
      <c r="B807" s="73" t="s">
        <v>1661</v>
      </c>
      <c r="AF807" s="73"/>
      <c r="AG807" s="73"/>
    </row>
    <row r="808" spans="2:33" x14ac:dyDescent="0.2">
      <c r="B808" s="73" t="s">
        <v>1660</v>
      </c>
      <c r="AF808" s="73"/>
      <c r="AG808" s="73"/>
    </row>
    <row r="809" spans="2:33" x14ac:dyDescent="0.2">
      <c r="B809" s="73" t="s">
        <v>1659</v>
      </c>
      <c r="AF809" s="73"/>
      <c r="AG809" s="73"/>
    </row>
    <row r="810" spans="2:33" x14ac:dyDescent="0.2">
      <c r="B810" s="73" t="s">
        <v>1658</v>
      </c>
      <c r="AF810" s="73"/>
      <c r="AG810" s="73"/>
    </row>
    <row r="811" spans="2:33" x14ac:dyDescent="0.2">
      <c r="B811" s="73" t="s">
        <v>1657</v>
      </c>
      <c r="AF811" s="73"/>
      <c r="AG811" s="73"/>
    </row>
    <row r="812" spans="2:33" x14ac:dyDescent="0.2">
      <c r="B812" s="73" t="s">
        <v>1656</v>
      </c>
      <c r="AF812" s="73"/>
      <c r="AG812" s="73"/>
    </row>
    <row r="813" spans="2:33" x14ac:dyDescent="0.2">
      <c r="B813" s="73" t="s">
        <v>1655</v>
      </c>
      <c r="AF813" s="73"/>
      <c r="AG813" s="73"/>
    </row>
    <row r="814" spans="2:33" x14ac:dyDescent="0.2">
      <c r="B814" s="73" t="s">
        <v>1654</v>
      </c>
      <c r="AF814" s="73"/>
      <c r="AG814" s="73"/>
    </row>
    <row r="815" spans="2:33" x14ac:dyDescent="0.2">
      <c r="B815" s="73" t="s">
        <v>1653</v>
      </c>
      <c r="AF815" s="73"/>
      <c r="AG815" s="73"/>
    </row>
    <row r="816" spans="2:33" x14ac:dyDescent="0.2">
      <c r="B816" s="73" t="s">
        <v>1652</v>
      </c>
      <c r="AF816" s="73"/>
      <c r="AG816" s="73"/>
    </row>
    <row r="817" spans="2:33" x14ac:dyDescent="0.2">
      <c r="B817" s="73" t="s">
        <v>1651</v>
      </c>
      <c r="AE817" s="92" t="s">
        <v>5468</v>
      </c>
      <c r="AF817" s="73"/>
      <c r="AG817" s="73"/>
    </row>
    <row r="818" spans="2:33" x14ac:dyDescent="0.2">
      <c r="B818" s="73" t="s">
        <v>1650</v>
      </c>
      <c r="C818" s="73"/>
      <c r="D818" s="73"/>
      <c r="F818" s="73"/>
      <c r="G818" s="73"/>
      <c r="H818" s="73"/>
      <c r="P818" s="73"/>
      <c r="Q818" s="73"/>
      <c r="R818" s="73"/>
      <c r="S818" s="73"/>
      <c r="T818" s="73"/>
      <c r="U818" s="73"/>
      <c r="V818" s="73"/>
      <c r="W818" s="73"/>
      <c r="X818" s="73"/>
      <c r="Y818" s="73"/>
      <c r="Z818" s="73"/>
      <c r="AA818" s="73"/>
      <c r="AF818" s="73"/>
      <c r="AG818" s="73"/>
    </row>
    <row r="819" spans="2:33" x14ac:dyDescent="0.2">
      <c r="B819" s="73" t="s">
        <v>1649</v>
      </c>
      <c r="C819" s="73"/>
      <c r="D819" s="73"/>
      <c r="F819" s="73"/>
      <c r="G819" s="73"/>
      <c r="H819" s="73"/>
      <c r="P819" s="73"/>
      <c r="Q819" s="73"/>
      <c r="R819" s="73"/>
      <c r="S819" s="73"/>
      <c r="T819" s="73"/>
      <c r="U819" s="73"/>
      <c r="V819" s="73"/>
      <c r="W819" s="73"/>
      <c r="X819" s="73"/>
      <c r="Y819" s="73"/>
      <c r="Z819" s="73"/>
      <c r="AA819" s="73"/>
      <c r="AF819" s="73"/>
      <c r="AG819" s="73"/>
    </row>
    <row r="820" spans="2:33" x14ac:dyDescent="0.2">
      <c r="B820" s="73" t="s">
        <v>1648</v>
      </c>
      <c r="C820" s="73"/>
      <c r="D820" s="73"/>
      <c r="F820" s="73"/>
      <c r="G820" s="73"/>
      <c r="H820" s="73"/>
      <c r="P820" s="73"/>
      <c r="Q820" s="73"/>
      <c r="R820" s="73"/>
      <c r="S820" s="73"/>
      <c r="T820" s="73"/>
      <c r="U820" s="73"/>
      <c r="V820" s="73"/>
      <c r="W820" s="73"/>
      <c r="X820" s="73"/>
      <c r="Y820" s="73"/>
      <c r="Z820" s="73"/>
      <c r="AA820" s="73"/>
      <c r="AF820" s="73"/>
      <c r="AG820" s="73"/>
    </row>
    <row r="821" spans="2:33" x14ac:dyDescent="0.2">
      <c r="B821" s="73" t="s">
        <v>1647</v>
      </c>
      <c r="C821" s="73"/>
      <c r="D821" s="73"/>
      <c r="F821" s="73"/>
      <c r="G821" s="73"/>
      <c r="H821" s="73"/>
      <c r="P821" s="73"/>
      <c r="Q821" s="73"/>
      <c r="R821" s="73"/>
      <c r="S821" s="73"/>
      <c r="T821" s="73"/>
      <c r="U821" s="73"/>
      <c r="V821" s="73"/>
      <c r="W821" s="73"/>
      <c r="X821" s="73"/>
      <c r="Y821" s="73"/>
      <c r="Z821" s="73"/>
      <c r="AA821" s="73"/>
      <c r="AF821" s="73"/>
      <c r="AG821" s="73"/>
    </row>
    <row r="822" spans="2:33" x14ac:dyDescent="0.2">
      <c r="B822" s="73" t="s">
        <v>1646</v>
      </c>
      <c r="C822" s="73"/>
      <c r="D822" s="73"/>
      <c r="F822" s="73"/>
      <c r="G822" s="73"/>
      <c r="H822" s="73"/>
      <c r="P822" s="73"/>
      <c r="Q822" s="73"/>
      <c r="R822" s="73"/>
      <c r="S822" s="73"/>
      <c r="T822" s="73"/>
      <c r="U822" s="73"/>
      <c r="V822" s="73"/>
      <c r="W822" s="73"/>
      <c r="X822" s="73"/>
      <c r="Y822" s="73"/>
      <c r="Z822" s="73"/>
      <c r="AA822" s="73"/>
      <c r="AF822" s="73"/>
      <c r="AG822" s="73"/>
    </row>
    <row r="823" spans="2:33" x14ac:dyDescent="0.2">
      <c r="B823" s="73" t="s">
        <v>1645</v>
      </c>
      <c r="C823" s="73"/>
      <c r="D823" s="73"/>
      <c r="F823" s="73"/>
      <c r="G823" s="73"/>
      <c r="H823" s="73"/>
      <c r="P823" s="73"/>
      <c r="Q823" s="73"/>
      <c r="R823" s="73"/>
      <c r="S823" s="73"/>
      <c r="T823" s="73"/>
      <c r="U823" s="73"/>
      <c r="V823" s="73"/>
      <c r="W823" s="73"/>
      <c r="X823" s="73"/>
      <c r="Y823" s="73"/>
      <c r="Z823" s="73"/>
      <c r="AA823" s="73"/>
      <c r="AF823" s="73"/>
      <c r="AG823" s="73"/>
    </row>
    <row r="824" spans="2:33" x14ac:dyDescent="0.2">
      <c r="B824" s="73" t="s">
        <v>1644</v>
      </c>
      <c r="C824" s="73"/>
      <c r="D824" s="73"/>
      <c r="F824" s="73"/>
      <c r="G824" s="73"/>
      <c r="H824" s="73"/>
      <c r="P824" s="73"/>
      <c r="Q824" s="73"/>
      <c r="R824" s="73"/>
      <c r="S824" s="73"/>
      <c r="T824" s="73"/>
      <c r="U824" s="73"/>
      <c r="V824" s="73"/>
      <c r="W824" s="73"/>
      <c r="X824" s="73"/>
      <c r="Y824" s="73"/>
      <c r="Z824" s="73"/>
      <c r="AA824" s="73"/>
      <c r="AF824" s="73"/>
      <c r="AG824" s="73"/>
    </row>
    <row r="825" spans="2:33" x14ac:dyDescent="0.2">
      <c r="B825" s="73" t="s">
        <v>1643</v>
      </c>
      <c r="C825" s="73"/>
      <c r="D825" s="73"/>
      <c r="F825" s="73"/>
      <c r="G825" s="73"/>
      <c r="H825" s="73"/>
      <c r="P825" s="73"/>
      <c r="Q825" s="73"/>
      <c r="R825" s="73"/>
      <c r="S825" s="73"/>
      <c r="T825" s="73"/>
      <c r="U825" s="73"/>
      <c r="V825" s="73"/>
      <c r="W825" s="73"/>
      <c r="X825" s="73"/>
      <c r="Y825" s="73"/>
      <c r="Z825" s="73"/>
      <c r="AA825" s="73"/>
      <c r="AF825" s="73"/>
      <c r="AG825" s="73"/>
    </row>
    <row r="826" spans="2:33" x14ac:dyDescent="0.2">
      <c r="B826" s="73" t="s">
        <v>1642</v>
      </c>
      <c r="C826" s="73"/>
      <c r="D826" s="73"/>
      <c r="F826" s="73"/>
      <c r="G826" s="73"/>
      <c r="H826" s="73"/>
      <c r="P826" s="73"/>
      <c r="Q826" s="73"/>
      <c r="R826" s="73"/>
      <c r="S826" s="73"/>
      <c r="T826" s="73"/>
      <c r="U826" s="73"/>
      <c r="V826" s="73"/>
      <c r="W826" s="73"/>
      <c r="X826" s="73"/>
      <c r="Y826" s="73"/>
      <c r="Z826" s="73"/>
      <c r="AA826" s="73"/>
      <c r="AF826" s="73"/>
      <c r="AG826" s="73"/>
    </row>
    <row r="827" spans="2:33" x14ac:dyDescent="0.2">
      <c r="B827" s="73" t="s">
        <v>1641</v>
      </c>
      <c r="C827" s="73"/>
      <c r="D827" s="73"/>
      <c r="F827" s="73"/>
      <c r="G827" s="73"/>
      <c r="H827" s="73"/>
      <c r="P827" s="73"/>
      <c r="Q827" s="73"/>
      <c r="R827" s="73"/>
      <c r="S827" s="73"/>
      <c r="T827" s="73"/>
      <c r="U827" s="73"/>
      <c r="V827" s="73"/>
      <c r="W827" s="73"/>
      <c r="X827" s="73"/>
      <c r="Y827" s="73"/>
      <c r="Z827" s="73"/>
      <c r="AA827" s="73"/>
      <c r="AF827" s="73"/>
      <c r="AG827" s="73"/>
    </row>
    <row r="828" spans="2:33" x14ac:dyDescent="0.2">
      <c r="B828" s="73" t="s">
        <v>1640</v>
      </c>
      <c r="C828" s="73"/>
      <c r="D828" s="73"/>
      <c r="F828" s="73"/>
      <c r="G828" s="73"/>
      <c r="H828" s="73"/>
      <c r="P828" s="73"/>
      <c r="Q828" s="73"/>
      <c r="R828" s="73"/>
      <c r="S828" s="73"/>
      <c r="T828" s="73"/>
      <c r="U828" s="73"/>
      <c r="V828" s="73"/>
      <c r="W828" s="73"/>
      <c r="X828" s="73"/>
      <c r="Y828" s="73"/>
      <c r="Z828" s="73"/>
      <c r="AA828" s="73"/>
      <c r="AF828" s="73"/>
      <c r="AG828" s="73"/>
    </row>
    <row r="829" spans="2:33" x14ac:dyDescent="0.2">
      <c r="B829" s="73" t="s">
        <v>1639</v>
      </c>
      <c r="C829" s="73"/>
      <c r="D829" s="73"/>
      <c r="F829" s="73"/>
      <c r="G829" s="73"/>
      <c r="H829" s="73"/>
      <c r="P829" s="73"/>
      <c r="Q829" s="73"/>
      <c r="R829" s="73"/>
      <c r="S829" s="73"/>
      <c r="T829" s="73"/>
      <c r="U829" s="73"/>
      <c r="V829" s="73"/>
      <c r="W829" s="73"/>
      <c r="X829" s="73"/>
      <c r="Y829" s="73"/>
      <c r="Z829" s="73"/>
      <c r="AA829" s="73"/>
      <c r="AF829" s="73"/>
      <c r="AG829" s="73"/>
    </row>
    <row r="830" spans="2:33" x14ac:dyDescent="0.2">
      <c r="B830" s="73" t="s">
        <v>1638</v>
      </c>
      <c r="C830" s="73"/>
      <c r="D830" s="73"/>
      <c r="F830" s="73"/>
      <c r="G830" s="73"/>
      <c r="H830" s="73"/>
      <c r="P830" s="73"/>
      <c r="Q830" s="73"/>
      <c r="R830" s="73"/>
      <c r="S830" s="73"/>
      <c r="T830" s="73"/>
      <c r="U830" s="73"/>
      <c r="V830" s="73"/>
      <c r="W830" s="73"/>
      <c r="X830" s="73"/>
      <c r="Y830" s="73"/>
      <c r="Z830" s="73"/>
      <c r="AA830" s="73"/>
      <c r="AF830" s="73"/>
      <c r="AG830" s="73"/>
    </row>
    <row r="831" spans="2:33" x14ac:dyDescent="0.2">
      <c r="B831" s="73" t="s">
        <v>1637</v>
      </c>
      <c r="C831" s="73"/>
      <c r="D831" s="73"/>
      <c r="F831" s="73"/>
      <c r="G831" s="73"/>
      <c r="H831" s="73"/>
      <c r="P831" s="73"/>
      <c r="Q831" s="73"/>
      <c r="R831" s="73"/>
      <c r="S831" s="73"/>
      <c r="T831" s="73"/>
      <c r="U831" s="73"/>
      <c r="V831" s="73"/>
      <c r="W831" s="73"/>
      <c r="X831" s="73"/>
      <c r="Y831" s="73"/>
      <c r="Z831" s="73"/>
      <c r="AA831" s="73"/>
      <c r="AF831" s="73"/>
      <c r="AG831" s="73"/>
    </row>
    <row r="832" spans="2:33" x14ac:dyDescent="0.2">
      <c r="B832" s="73" t="s">
        <v>1636</v>
      </c>
      <c r="C832" s="73"/>
      <c r="D832" s="73"/>
      <c r="F832" s="73"/>
      <c r="G832" s="73"/>
      <c r="H832" s="73"/>
      <c r="P832" s="73"/>
      <c r="Q832" s="73"/>
      <c r="R832" s="73"/>
      <c r="S832" s="73"/>
      <c r="T832" s="73"/>
      <c r="U832" s="73"/>
      <c r="V832" s="73"/>
      <c r="W832" s="73"/>
      <c r="X832" s="73"/>
      <c r="Y832" s="73"/>
      <c r="Z832" s="73"/>
      <c r="AA832" s="73"/>
      <c r="AF832" s="73"/>
      <c r="AG832" s="73"/>
    </row>
    <row r="833" spans="2:33" x14ac:dyDescent="0.2">
      <c r="B833" s="184" t="s">
        <v>6745</v>
      </c>
      <c r="C833" s="73"/>
      <c r="D833" s="73"/>
      <c r="F833" s="73"/>
      <c r="G833" s="73"/>
      <c r="H833" s="73"/>
      <c r="P833" s="73"/>
      <c r="Q833" s="73"/>
      <c r="R833" s="73"/>
      <c r="S833" s="73"/>
      <c r="T833" s="73"/>
      <c r="U833" s="73"/>
      <c r="V833" s="73"/>
      <c r="W833" s="73"/>
      <c r="X833" s="73"/>
      <c r="Y833" s="73"/>
      <c r="Z833" s="73"/>
      <c r="AA833" s="73"/>
      <c r="AF833" s="73"/>
      <c r="AG833" s="73"/>
    </row>
    <row r="834" spans="2:33" x14ac:dyDescent="0.2">
      <c r="B834" s="73" t="s">
        <v>1635</v>
      </c>
      <c r="C834" s="73"/>
      <c r="D834" s="73"/>
      <c r="F834" s="73"/>
      <c r="G834" s="73"/>
      <c r="H834" s="73"/>
      <c r="P834" s="73"/>
      <c r="Q834" s="73"/>
      <c r="R834" s="73"/>
      <c r="S834" s="73"/>
      <c r="T834" s="73"/>
      <c r="U834" s="73"/>
      <c r="V834" s="73"/>
      <c r="W834" s="73"/>
      <c r="X834" s="73"/>
      <c r="Y834" s="73"/>
      <c r="Z834" s="73"/>
      <c r="AA834" s="73"/>
      <c r="AF834" s="73"/>
      <c r="AG834" s="73"/>
    </row>
    <row r="835" spans="2:33" x14ac:dyDescent="0.2">
      <c r="B835" s="73" t="s">
        <v>1634</v>
      </c>
      <c r="C835" s="73"/>
      <c r="D835" s="73"/>
      <c r="F835" s="73"/>
      <c r="G835" s="73"/>
      <c r="H835" s="73"/>
      <c r="P835" s="73"/>
      <c r="Q835" s="73"/>
      <c r="R835" s="73"/>
      <c r="S835" s="73"/>
      <c r="T835" s="73"/>
      <c r="U835" s="73"/>
      <c r="V835" s="73"/>
      <c r="W835" s="73"/>
      <c r="X835" s="73"/>
      <c r="Y835" s="73"/>
      <c r="Z835" s="73"/>
      <c r="AA835" s="73"/>
      <c r="AF835" s="73"/>
      <c r="AG835" s="73"/>
    </row>
    <row r="836" spans="2:33" x14ac:dyDescent="0.2">
      <c r="B836" s="73" t="s">
        <v>1633</v>
      </c>
      <c r="C836" s="73"/>
      <c r="D836" s="73"/>
      <c r="F836" s="73"/>
      <c r="G836" s="73"/>
      <c r="H836" s="73"/>
      <c r="P836" s="73"/>
      <c r="Q836" s="73"/>
      <c r="R836" s="73"/>
      <c r="S836" s="73"/>
      <c r="T836" s="73"/>
      <c r="U836" s="73"/>
      <c r="V836" s="73"/>
      <c r="W836" s="73"/>
      <c r="X836" s="73"/>
      <c r="Y836" s="73"/>
      <c r="Z836" s="73"/>
      <c r="AA836" s="73"/>
      <c r="AF836" s="73"/>
      <c r="AG836" s="73"/>
    </row>
    <row r="837" spans="2:33" x14ac:dyDescent="0.2">
      <c r="B837" s="73" t="s">
        <v>1632</v>
      </c>
      <c r="C837" s="73"/>
      <c r="D837" s="73"/>
      <c r="F837" s="73"/>
      <c r="G837" s="73"/>
      <c r="H837" s="73"/>
      <c r="P837" s="73"/>
      <c r="Q837" s="73"/>
      <c r="R837" s="73"/>
      <c r="S837" s="73"/>
      <c r="T837" s="73"/>
      <c r="U837" s="73"/>
      <c r="V837" s="73"/>
      <c r="W837" s="73"/>
      <c r="X837" s="73"/>
      <c r="Y837" s="73"/>
      <c r="Z837" s="73"/>
      <c r="AA837" s="73"/>
      <c r="AF837" s="73"/>
      <c r="AG837" s="73"/>
    </row>
    <row r="838" spans="2:33" x14ac:dyDescent="0.2">
      <c r="B838" s="73" t="s">
        <v>1631</v>
      </c>
      <c r="C838" s="73"/>
      <c r="D838" s="73"/>
      <c r="F838" s="73"/>
      <c r="G838" s="73"/>
      <c r="H838" s="73"/>
      <c r="P838" s="73"/>
      <c r="Q838" s="73"/>
      <c r="R838" s="73"/>
      <c r="S838" s="73"/>
      <c r="T838" s="73"/>
      <c r="U838" s="73"/>
      <c r="V838" s="73"/>
      <c r="W838" s="73"/>
      <c r="X838" s="73"/>
      <c r="Y838" s="73"/>
      <c r="Z838" s="73"/>
      <c r="AA838" s="73"/>
      <c r="AF838" s="73"/>
      <c r="AG838" s="73"/>
    </row>
    <row r="839" spans="2:33" x14ac:dyDescent="0.2">
      <c r="B839" s="73" t="s">
        <v>1630</v>
      </c>
      <c r="C839" s="73"/>
      <c r="D839" s="73"/>
      <c r="F839" s="73"/>
      <c r="G839" s="73"/>
      <c r="H839" s="73"/>
      <c r="P839" s="73"/>
      <c r="Q839" s="73"/>
      <c r="R839" s="73"/>
      <c r="S839" s="73"/>
      <c r="T839" s="73"/>
      <c r="U839" s="73"/>
      <c r="V839" s="73"/>
      <c r="W839" s="73"/>
      <c r="X839" s="73"/>
      <c r="Y839" s="73"/>
      <c r="Z839" s="73"/>
      <c r="AA839" s="73"/>
      <c r="AF839" s="73"/>
      <c r="AG839" s="73"/>
    </row>
    <row r="840" spans="2:33" x14ac:dyDescent="0.2">
      <c r="B840" s="73" t="s">
        <v>1629</v>
      </c>
      <c r="C840" s="73"/>
      <c r="D840" s="73"/>
      <c r="F840" s="73"/>
      <c r="G840" s="73"/>
      <c r="H840" s="73"/>
      <c r="P840" s="73"/>
      <c r="Q840" s="73"/>
      <c r="R840" s="73"/>
      <c r="S840" s="73"/>
      <c r="T840" s="73"/>
      <c r="U840" s="73"/>
      <c r="V840" s="73"/>
      <c r="W840" s="73"/>
      <c r="X840" s="73"/>
      <c r="Y840" s="73"/>
      <c r="Z840" s="73"/>
      <c r="AA840" s="73"/>
      <c r="AF840" s="73"/>
      <c r="AG840" s="73"/>
    </row>
    <row r="841" spans="2:33" x14ac:dyDescent="0.2">
      <c r="B841" s="73" t="s">
        <v>1628</v>
      </c>
      <c r="C841" s="73"/>
      <c r="D841" s="73"/>
      <c r="F841" s="73"/>
      <c r="G841" s="73"/>
      <c r="H841" s="73"/>
      <c r="P841" s="73"/>
      <c r="Q841" s="73"/>
      <c r="R841" s="73"/>
      <c r="S841" s="73"/>
      <c r="T841" s="73"/>
      <c r="U841" s="73"/>
      <c r="V841" s="73"/>
      <c r="W841" s="73"/>
      <c r="X841" s="73"/>
      <c r="Y841" s="73"/>
      <c r="Z841" s="73"/>
      <c r="AA841" s="73"/>
      <c r="AF841" s="73"/>
      <c r="AG841" s="73"/>
    </row>
    <row r="842" spans="2:33" x14ac:dyDescent="0.2">
      <c r="B842" s="73" t="s">
        <v>1627</v>
      </c>
      <c r="C842" s="73"/>
      <c r="D842" s="73"/>
      <c r="F842" s="73"/>
      <c r="G842" s="73"/>
      <c r="H842" s="73"/>
      <c r="P842" s="73"/>
      <c r="Q842" s="73"/>
      <c r="R842" s="73"/>
      <c r="S842" s="73"/>
      <c r="T842" s="73"/>
      <c r="U842" s="73"/>
      <c r="V842" s="73"/>
      <c r="W842" s="73"/>
      <c r="X842" s="73"/>
      <c r="Y842" s="73"/>
      <c r="Z842" s="73"/>
      <c r="AA842" s="73"/>
      <c r="AF842" s="73"/>
      <c r="AG842" s="73"/>
    </row>
    <row r="843" spans="2:33" x14ac:dyDescent="0.2">
      <c r="B843" s="73" t="s">
        <v>1626</v>
      </c>
      <c r="C843" s="73"/>
      <c r="D843" s="73"/>
      <c r="F843" s="73"/>
      <c r="G843" s="73"/>
      <c r="H843" s="73"/>
      <c r="P843" s="73"/>
      <c r="Q843" s="73"/>
      <c r="R843" s="73"/>
      <c r="S843" s="73"/>
      <c r="T843" s="73"/>
      <c r="U843" s="73"/>
      <c r="V843" s="73"/>
      <c r="W843" s="73"/>
      <c r="X843" s="73"/>
      <c r="Y843" s="73"/>
      <c r="Z843" s="73"/>
      <c r="AA843" s="73"/>
      <c r="AF843" s="73"/>
      <c r="AG843" s="73"/>
    </row>
    <row r="844" spans="2:33" x14ac:dyDescent="0.2">
      <c r="B844" s="73" t="s">
        <v>1625</v>
      </c>
      <c r="C844" s="73"/>
      <c r="D844" s="73"/>
      <c r="F844" s="73"/>
      <c r="G844" s="73"/>
      <c r="H844" s="73"/>
      <c r="P844" s="73"/>
      <c r="Q844" s="73"/>
      <c r="R844" s="73"/>
      <c r="S844" s="73"/>
      <c r="T844" s="73"/>
      <c r="U844" s="73"/>
      <c r="V844" s="73"/>
      <c r="W844" s="73"/>
      <c r="X844" s="73"/>
      <c r="Y844" s="73"/>
      <c r="Z844" s="73"/>
      <c r="AA844" s="73"/>
      <c r="AF844" s="73"/>
      <c r="AG844" s="73"/>
    </row>
    <row r="845" spans="2:33" x14ac:dyDescent="0.2">
      <c r="B845" s="73" t="s">
        <v>1624</v>
      </c>
      <c r="C845" s="73"/>
      <c r="D845" s="73"/>
      <c r="F845" s="73"/>
      <c r="G845" s="73"/>
      <c r="H845" s="73"/>
      <c r="P845" s="73"/>
      <c r="Q845" s="73"/>
      <c r="R845" s="73"/>
      <c r="S845" s="73"/>
      <c r="T845" s="73"/>
      <c r="U845" s="73"/>
      <c r="V845" s="73"/>
      <c r="W845" s="73"/>
      <c r="X845" s="73"/>
      <c r="Y845" s="73"/>
      <c r="Z845" s="73"/>
      <c r="AA845" s="73"/>
      <c r="AF845" s="73"/>
      <c r="AG845" s="73"/>
    </row>
    <row r="846" spans="2:33" x14ac:dyDescent="0.2">
      <c r="B846" s="73" t="s">
        <v>1623</v>
      </c>
      <c r="C846" s="73"/>
      <c r="D846" s="73"/>
      <c r="F846" s="73"/>
      <c r="G846" s="73"/>
      <c r="H846" s="73"/>
      <c r="P846" s="73"/>
      <c r="Q846" s="73"/>
      <c r="R846" s="73"/>
      <c r="S846" s="73"/>
      <c r="T846" s="73"/>
      <c r="U846" s="73"/>
      <c r="V846" s="73"/>
      <c r="W846" s="73"/>
      <c r="X846" s="73"/>
      <c r="Y846" s="73"/>
      <c r="Z846" s="73"/>
      <c r="AA846" s="73"/>
      <c r="AF846" s="73"/>
      <c r="AG846" s="73"/>
    </row>
    <row r="847" spans="2:33" x14ac:dyDescent="0.2">
      <c r="B847" s="73" t="s">
        <v>1622</v>
      </c>
      <c r="C847" s="73"/>
      <c r="D847" s="73"/>
      <c r="F847" s="73"/>
      <c r="G847" s="73"/>
      <c r="H847" s="73"/>
      <c r="P847" s="73"/>
      <c r="Q847" s="73"/>
      <c r="R847" s="73"/>
      <c r="S847" s="73"/>
      <c r="T847" s="73"/>
      <c r="U847" s="73"/>
      <c r="V847" s="73"/>
      <c r="W847" s="73"/>
      <c r="X847" s="73"/>
      <c r="Y847" s="73"/>
      <c r="Z847" s="73"/>
      <c r="AA847" s="73"/>
      <c r="AF847" s="73"/>
      <c r="AG847" s="73"/>
    </row>
    <row r="848" spans="2:33" x14ac:dyDescent="0.2">
      <c r="B848" s="73" t="s">
        <v>1621</v>
      </c>
      <c r="C848" s="73"/>
      <c r="D848" s="73"/>
      <c r="F848" s="73"/>
      <c r="G848" s="73"/>
      <c r="H848" s="73"/>
      <c r="P848" s="73"/>
      <c r="Q848" s="73"/>
      <c r="R848" s="73"/>
      <c r="S848" s="73"/>
      <c r="T848" s="73"/>
      <c r="U848" s="73"/>
      <c r="V848" s="73"/>
      <c r="W848" s="73"/>
      <c r="X848" s="73"/>
      <c r="Y848" s="73"/>
      <c r="Z848" s="73"/>
      <c r="AA848" s="73"/>
      <c r="AF848" s="73"/>
      <c r="AG848" s="73"/>
    </row>
    <row r="849" spans="2:33" x14ac:dyDescent="0.2">
      <c r="B849" s="73" t="s">
        <v>1620</v>
      </c>
      <c r="C849" s="73"/>
      <c r="D849" s="73"/>
      <c r="F849" s="73"/>
      <c r="G849" s="73"/>
      <c r="H849" s="73"/>
      <c r="P849" s="73"/>
      <c r="Q849" s="73"/>
      <c r="R849" s="73"/>
      <c r="S849" s="73"/>
      <c r="T849" s="73"/>
      <c r="U849" s="73"/>
      <c r="V849" s="73"/>
      <c r="W849" s="73"/>
      <c r="X849" s="73"/>
      <c r="Y849" s="73"/>
      <c r="Z849" s="73"/>
      <c r="AA849" s="73"/>
      <c r="AF849" s="73"/>
      <c r="AG849" s="73"/>
    </row>
    <row r="850" spans="2:33" x14ac:dyDescent="0.2">
      <c r="B850" s="73" t="s">
        <v>1619</v>
      </c>
      <c r="P850" s="73"/>
      <c r="Q850" s="73"/>
      <c r="R850" s="73"/>
      <c r="S850" s="73"/>
      <c r="T850" s="73"/>
      <c r="U850" s="73"/>
      <c r="V850" s="73"/>
      <c r="W850" s="73"/>
      <c r="X850" s="73"/>
      <c r="Y850" s="73"/>
      <c r="Z850" s="73"/>
      <c r="AA850" s="73"/>
      <c r="AF850" s="73"/>
      <c r="AG850" s="73"/>
    </row>
    <row r="851" spans="2:33" x14ac:dyDescent="0.2">
      <c r="B851" s="73" t="s">
        <v>1618</v>
      </c>
      <c r="P851" s="73"/>
      <c r="Q851" s="73"/>
      <c r="R851" s="73"/>
      <c r="S851" s="73"/>
      <c r="T851" s="73"/>
      <c r="U851" s="73"/>
      <c r="V851" s="73"/>
      <c r="W851" s="73"/>
      <c r="X851" s="73"/>
      <c r="Y851" s="73"/>
      <c r="Z851" s="73"/>
      <c r="AA851" s="73"/>
      <c r="AF851" s="73"/>
      <c r="AG851" s="73"/>
    </row>
    <row r="852" spans="2:33" x14ac:dyDescent="0.2">
      <c r="B852" s="73" t="s">
        <v>1617</v>
      </c>
      <c r="P852" s="73"/>
      <c r="Q852" s="73"/>
      <c r="R852" s="73"/>
      <c r="S852" s="73"/>
      <c r="T852" s="73"/>
      <c r="U852" s="73"/>
      <c r="V852" s="73"/>
      <c r="W852" s="73"/>
      <c r="X852" s="73"/>
      <c r="Y852" s="73"/>
      <c r="Z852" s="73"/>
      <c r="AA852" s="73"/>
      <c r="AF852" s="73"/>
      <c r="AG852" s="73"/>
    </row>
    <row r="853" spans="2:33" x14ac:dyDescent="0.2">
      <c r="B853" s="73" t="s">
        <v>1616</v>
      </c>
      <c r="P853" s="73"/>
      <c r="Q853" s="73"/>
      <c r="R853" s="73"/>
      <c r="S853" s="73"/>
      <c r="T853" s="73"/>
      <c r="U853" s="73"/>
      <c r="V853" s="73"/>
      <c r="W853" s="73"/>
      <c r="X853" s="73"/>
      <c r="Y853" s="73"/>
      <c r="Z853" s="73"/>
      <c r="AA853" s="73"/>
      <c r="AF853" s="73"/>
      <c r="AG853" s="73"/>
    </row>
    <row r="854" spans="2:33" x14ac:dyDescent="0.2">
      <c r="B854" s="73" t="s">
        <v>1615</v>
      </c>
      <c r="P854" s="73"/>
      <c r="Q854" s="73"/>
      <c r="R854" s="73"/>
      <c r="S854" s="73"/>
      <c r="T854" s="73"/>
      <c r="U854" s="73"/>
      <c r="V854" s="73"/>
      <c r="W854" s="73"/>
      <c r="X854" s="73"/>
      <c r="Y854" s="73"/>
      <c r="Z854" s="73"/>
      <c r="AA854" s="73"/>
      <c r="AF854" s="73"/>
      <c r="AG854" s="73"/>
    </row>
    <row r="855" spans="2:33" x14ac:dyDescent="0.2">
      <c r="B855" s="73" t="s">
        <v>1614</v>
      </c>
      <c r="P855" s="73"/>
      <c r="Q855" s="73"/>
      <c r="R855" s="73"/>
      <c r="S855" s="73"/>
      <c r="T855" s="73"/>
      <c r="U855" s="73"/>
      <c r="V855" s="73"/>
      <c r="W855" s="73"/>
      <c r="X855" s="73"/>
      <c r="Y855" s="73"/>
      <c r="Z855" s="73"/>
      <c r="AA855" s="73"/>
      <c r="AF855" s="73"/>
      <c r="AG855" s="73"/>
    </row>
    <row r="856" spans="2:33" x14ac:dyDescent="0.2">
      <c r="B856" s="73" t="s">
        <v>1613</v>
      </c>
      <c r="P856" s="73"/>
      <c r="Q856" s="73"/>
      <c r="R856" s="73"/>
      <c r="S856" s="73"/>
      <c r="T856" s="73"/>
      <c r="U856" s="73"/>
      <c r="V856" s="73"/>
      <c r="W856" s="73"/>
      <c r="X856" s="73"/>
      <c r="Y856" s="73"/>
      <c r="Z856" s="73"/>
      <c r="AA856" s="73"/>
      <c r="AF856" s="73"/>
      <c r="AG856" s="73"/>
    </row>
    <row r="857" spans="2:33" x14ac:dyDescent="0.2">
      <c r="B857" s="73" t="s">
        <v>1612</v>
      </c>
      <c r="P857" s="73"/>
      <c r="Q857" s="73"/>
      <c r="R857" s="73"/>
      <c r="S857" s="73"/>
      <c r="T857" s="73"/>
      <c r="U857" s="73"/>
      <c r="V857" s="73"/>
      <c r="W857" s="73"/>
      <c r="X857" s="73"/>
      <c r="Y857" s="73"/>
      <c r="Z857" s="73"/>
      <c r="AA857" s="73"/>
      <c r="AF857" s="73"/>
      <c r="AG857" s="73"/>
    </row>
    <row r="858" spans="2:33" x14ac:dyDescent="0.2">
      <c r="B858" s="73" t="s">
        <v>1611</v>
      </c>
      <c r="P858" s="73"/>
      <c r="Q858" s="73"/>
      <c r="R858" s="73"/>
      <c r="S858" s="73"/>
      <c r="T858" s="73"/>
      <c r="U858" s="73"/>
      <c r="V858" s="73"/>
      <c r="W858" s="73"/>
      <c r="X858" s="73"/>
      <c r="Y858" s="73"/>
      <c r="Z858" s="73"/>
      <c r="AA858" s="73"/>
      <c r="AF858" s="73"/>
      <c r="AG858" s="73"/>
    </row>
    <row r="859" spans="2:33" x14ac:dyDescent="0.2">
      <c r="B859" s="73" t="s">
        <v>1610</v>
      </c>
      <c r="I859" s="184" t="s">
        <v>2459</v>
      </c>
      <c r="P859" s="73"/>
      <c r="Q859" s="73"/>
      <c r="R859" s="73"/>
      <c r="S859" s="73"/>
      <c r="T859" s="73"/>
      <c r="U859" s="73"/>
      <c r="V859" s="73"/>
      <c r="W859" s="73"/>
      <c r="X859" s="73"/>
      <c r="Y859" s="73"/>
      <c r="Z859" s="73"/>
      <c r="AA859" s="73"/>
      <c r="AF859" s="73"/>
      <c r="AG859" s="73"/>
    </row>
    <row r="860" spans="2:33" x14ac:dyDescent="0.2">
      <c r="B860" s="73" t="s">
        <v>1609</v>
      </c>
      <c r="P860" s="73"/>
      <c r="Q860" s="73"/>
      <c r="R860" s="73"/>
      <c r="S860" s="73"/>
      <c r="T860" s="73"/>
      <c r="U860" s="73"/>
      <c r="V860" s="73"/>
      <c r="W860" s="73"/>
      <c r="X860" s="73"/>
      <c r="Y860" s="73"/>
      <c r="Z860" s="73"/>
      <c r="AA860" s="73"/>
      <c r="AF860" s="73"/>
      <c r="AG860" s="73"/>
    </row>
    <row r="861" spans="2:33" x14ac:dyDescent="0.2">
      <c r="B861" s="73" t="s">
        <v>1608</v>
      </c>
      <c r="P861" s="73"/>
      <c r="Q861" s="73"/>
      <c r="R861" s="73"/>
      <c r="S861" s="73"/>
      <c r="T861" s="73"/>
      <c r="U861" s="73"/>
      <c r="V861" s="73"/>
      <c r="W861" s="73"/>
      <c r="X861" s="73"/>
      <c r="Y861" s="73"/>
      <c r="Z861" s="73"/>
      <c r="AA861" s="73"/>
      <c r="AF861" s="73"/>
      <c r="AG861" s="73"/>
    </row>
    <row r="862" spans="2:33" x14ac:dyDescent="0.2">
      <c r="B862" s="73" t="s">
        <v>1607</v>
      </c>
      <c r="P862" s="73"/>
      <c r="Q862" s="73"/>
      <c r="R862" s="73"/>
      <c r="S862" s="73"/>
      <c r="T862" s="73"/>
      <c r="U862" s="73"/>
      <c r="V862" s="73"/>
      <c r="W862" s="73"/>
      <c r="X862" s="73"/>
      <c r="Y862" s="73"/>
      <c r="Z862" s="73"/>
      <c r="AA862" s="73"/>
      <c r="AF862" s="73"/>
      <c r="AG862" s="73"/>
    </row>
    <row r="863" spans="2:33" x14ac:dyDescent="0.2">
      <c r="B863" s="73" t="s">
        <v>1606</v>
      </c>
      <c r="P863" s="73"/>
      <c r="Q863" s="73"/>
      <c r="R863" s="73"/>
      <c r="S863" s="73"/>
      <c r="T863" s="73"/>
      <c r="U863" s="73"/>
      <c r="V863" s="73"/>
      <c r="W863" s="73"/>
      <c r="X863" s="73"/>
      <c r="Y863" s="73"/>
      <c r="Z863" s="73"/>
      <c r="AA863" s="73"/>
      <c r="AF863" s="73"/>
      <c r="AG863" s="73"/>
    </row>
    <row r="864" spans="2:33" x14ac:dyDescent="0.2">
      <c r="B864" s="73" t="s">
        <v>1605</v>
      </c>
      <c r="P864" s="73"/>
      <c r="Q864" s="73"/>
      <c r="R864" s="73"/>
      <c r="S864" s="73"/>
      <c r="T864" s="73"/>
      <c r="U864" s="73"/>
      <c r="V864" s="73"/>
      <c r="W864" s="73"/>
      <c r="X864" s="73"/>
      <c r="Y864" s="73"/>
      <c r="Z864" s="73"/>
      <c r="AA864" s="73"/>
      <c r="AF864" s="73"/>
      <c r="AG864" s="73"/>
    </row>
    <row r="865" spans="2:33" x14ac:dyDescent="0.2">
      <c r="B865" s="73" t="s">
        <v>1604</v>
      </c>
      <c r="P865" s="73"/>
      <c r="Q865" s="73"/>
      <c r="R865" s="73"/>
      <c r="S865" s="73"/>
      <c r="T865" s="73"/>
      <c r="U865" s="73"/>
      <c r="V865" s="73"/>
      <c r="W865" s="73"/>
      <c r="X865" s="73"/>
      <c r="Y865" s="73"/>
      <c r="Z865" s="73"/>
      <c r="AA865" s="73"/>
      <c r="AF865" s="73"/>
      <c r="AG865" s="73"/>
    </row>
    <row r="866" spans="2:33" x14ac:dyDescent="0.2">
      <c r="B866" s="73" t="s">
        <v>1603</v>
      </c>
      <c r="P866" s="73"/>
      <c r="Q866" s="73"/>
      <c r="R866" s="73"/>
      <c r="S866" s="73"/>
      <c r="T866" s="73"/>
      <c r="U866" s="73"/>
      <c r="V866" s="73"/>
      <c r="W866" s="73"/>
      <c r="X866" s="73"/>
      <c r="Y866" s="73"/>
      <c r="Z866" s="73"/>
      <c r="AA866" s="73"/>
      <c r="AF866" s="73"/>
      <c r="AG866" s="73"/>
    </row>
    <row r="867" spans="2:33" x14ac:dyDescent="0.2">
      <c r="B867" s="73" t="s">
        <v>1602</v>
      </c>
      <c r="P867" s="73"/>
      <c r="Q867" s="73"/>
      <c r="R867" s="73"/>
      <c r="S867" s="73"/>
      <c r="T867" s="73"/>
      <c r="U867" s="73"/>
      <c r="V867" s="73"/>
      <c r="W867" s="73"/>
      <c r="X867" s="73"/>
      <c r="Y867" s="73"/>
      <c r="Z867" s="73"/>
      <c r="AA867" s="73"/>
      <c r="AF867" s="73"/>
      <c r="AG867" s="73"/>
    </row>
    <row r="868" spans="2:33" x14ac:dyDescent="0.2">
      <c r="B868" s="73" t="s">
        <v>1601</v>
      </c>
      <c r="P868" s="73"/>
      <c r="Q868" s="73"/>
      <c r="R868" s="73"/>
      <c r="S868" s="73"/>
      <c r="T868" s="73"/>
      <c r="U868" s="73"/>
      <c r="V868" s="73"/>
      <c r="W868" s="73"/>
      <c r="X868" s="73"/>
      <c r="Y868" s="73"/>
      <c r="Z868" s="73"/>
      <c r="AA868" s="73"/>
      <c r="AF868" s="73"/>
      <c r="AG868" s="73"/>
    </row>
    <row r="869" spans="2:33" x14ac:dyDescent="0.2">
      <c r="B869" s="73" t="s">
        <v>1600</v>
      </c>
      <c r="P869" s="73"/>
      <c r="Q869" s="73"/>
      <c r="R869" s="73"/>
      <c r="S869" s="73"/>
      <c r="T869" s="73"/>
      <c r="U869" s="73"/>
      <c r="V869" s="73"/>
      <c r="W869" s="73"/>
      <c r="X869" s="73"/>
      <c r="Y869" s="73"/>
      <c r="Z869" s="73"/>
      <c r="AA869" s="73"/>
      <c r="AF869" s="73"/>
      <c r="AG869" s="73"/>
    </row>
    <row r="870" spans="2:33" x14ac:dyDescent="0.2">
      <c r="B870" s="73" t="s">
        <v>1599</v>
      </c>
      <c r="K870" s="73" t="s">
        <v>3334</v>
      </c>
      <c r="L870" s="73" t="s">
        <v>5180</v>
      </c>
      <c r="P870" s="73"/>
      <c r="Q870" s="73"/>
      <c r="R870" s="73"/>
      <c r="S870" s="73"/>
      <c r="T870" s="73"/>
      <c r="U870" s="73"/>
      <c r="V870" s="73"/>
      <c r="W870" s="73"/>
      <c r="X870" s="73"/>
      <c r="Y870" s="73"/>
      <c r="Z870" s="73"/>
      <c r="AA870" s="73"/>
      <c r="AF870" s="73"/>
      <c r="AG870" s="73"/>
    </row>
    <row r="871" spans="2:33" x14ac:dyDescent="0.2">
      <c r="B871" s="73" t="s">
        <v>1598</v>
      </c>
      <c r="P871" s="73"/>
      <c r="Q871" s="73"/>
      <c r="R871" s="73"/>
      <c r="S871" s="73"/>
      <c r="T871" s="73"/>
      <c r="U871" s="73"/>
      <c r="V871" s="73"/>
      <c r="W871" s="73"/>
      <c r="X871" s="73"/>
      <c r="Y871" s="73"/>
      <c r="Z871" s="73"/>
      <c r="AA871" s="73"/>
      <c r="AF871" s="73"/>
      <c r="AG871" s="73"/>
    </row>
    <row r="872" spans="2:33" x14ac:dyDescent="0.2">
      <c r="B872" s="73" t="s">
        <v>1597</v>
      </c>
      <c r="P872" s="73"/>
      <c r="Q872" s="73"/>
      <c r="R872" s="73"/>
      <c r="S872" s="73"/>
      <c r="T872" s="73"/>
      <c r="U872" s="73"/>
      <c r="V872" s="73"/>
      <c r="W872" s="73"/>
      <c r="X872" s="73"/>
      <c r="Y872" s="73"/>
      <c r="Z872" s="73"/>
      <c r="AA872" s="73"/>
      <c r="AF872" s="73"/>
      <c r="AG872" s="73"/>
    </row>
    <row r="873" spans="2:33" x14ac:dyDescent="0.2">
      <c r="B873" s="73" t="s">
        <v>1596</v>
      </c>
      <c r="P873" s="73"/>
      <c r="Q873" s="73"/>
      <c r="R873" s="73"/>
      <c r="S873" s="73"/>
      <c r="T873" s="73"/>
      <c r="U873" s="73"/>
      <c r="V873" s="73"/>
      <c r="W873" s="73"/>
      <c r="X873" s="73"/>
      <c r="Y873" s="73"/>
      <c r="Z873" s="73"/>
      <c r="AA873" s="73"/>
      <c r="AF873" s="73"/>
      <c r="AG873" s="73"/>
    </row>
    <row r="874" spans="2:33" x14ac:dyDescent="0.2">
      <c r="B874" s="73" t="s">
        <v>1595</v>
      </c>
      <c r="P874" s="73"/>
      <c r="Q874" s="73"/>
      <c r="R874" s="73"/>
      <c r="S874" s="73"/>
      <c r="T874" s="73"/>
      <c r="U874" s="73"/>
      <c r="V874" s="73"/>
      <c r="W874" s="73"/>
      <c r="X874" s="73"/>
      <c r="Y874" s="73"/>
      <c r="Z874" s="73"/>
      <c r="AA874" s="73"/>
      <c r="AF874" s="73"/>
      <c r="AG874" s="73"/>
    </row>
    <row r="875" spans="2:33" x14ac:dyDescent="0.2">
      <c r="B875" s="73" t="s">
        <v>1594</v>
      </c>
      <c r="P875" s="73"/>
      <c r="Q875" s="73"/>
      <c r="R875" s="73"/>
      <c r="S875" s="73"/>
      <c r="T875" s="73"/>
      <c r="U875" s="73"/>
      <c r="V875" s="73"/>
      <c r="W875" s="73"/>
      <c r="X875" s="73"/>
      <c r="Y875" s="73"/>
      <c r="Z875" s="73"/>
      <c r="AA875" s="73"/>
      <c r="AF875" s="73"/>
      <c r="AG875" s="73"/>
    </row>
    <row r="876" spans="2:33" x14ac:dyDescent="0.2">
      <c r="B876" s="73" t="s">
        <v>1593</v>
      </c>
      <c r="P876" s="73"/>
      <c r="Q876" s="73"/>
      <c r="R876" s="73"/>
      <c r="S876" s="73"/>
      <c r="T876" s="73"/>
      <c r="U876" s="73"/>
      <c r="V876" s="73"/>
      <c r="W876" s="73"/>
      <c r="X876" s="73"/>
      <c r="Y876" s="73"/>
      <c r="Z876" s="73"/>
      <c r="AA876" s="73"/>
      <c r="AF876" s="73"/>
      <c r="AG876" s="73"/>
    </row>
    <row r="877" spans="2:33" x14ac:dyDescent="0.2">
      <c r="B877" s="73" t="s">
        <v>1592</v>
      </c>
      <c r="P877" s="73"/>
      <c r="Q877" s="73"/>
      <c r="R877" s="73"/>
      <c r="S877" s="73"/>
      <c r="T877" s="73"/>
      <c r="U877" s="73"/>
      <c r="V877" s="73"/>
      <c r="W877" s="73"/>
      <c r="X877" s="73"/>
      <c r="Y877" s="73"/>
      <c r="Z877" s="73"/>
      <c r="AA877" s="73"/>
      <c r="AF877" s="73"/>
      <c r="AG877" s="73"/>
    </row>
    <row r="878" spans="2:33" x14ac:dyDescent="0.2">
      <c r="B878" s="73" t="s">
        <v>1591</v>
      </c>
      <c r="P878" s="73"/>
      <c r="Q878" s="73"/>
      <c r="R878" s="73"/>
      <c r="S878" s="73"/>
      <c r="T878" s="73"/>
      <c r="U878" s="73"/>
      <c r="V878" s="73"/>
      <c r="W878" s="73"/>
      <c r="X878" s="73"/>
      <c r="Y878" s="73"/>
      <c r="Z878" s="73"/>
      <c r="AA878" s="73"/>
      <c r="AF878" s="73"/>
      <c r="AG878" s="73"/>
    </row>
    <row r="879" spans="2:33" x14ac:dyDescent="0.2">
      <c r="B879" s="73" t="s">
        <v>1590</v>
      </c>
      <c r="P879" s="73"/>
      <c r="Q879" s="73"/>
      <c r="R879" s="73"/>
      <c r="S879" s="73"/>
      <c r="T879" s="73"/>
      <c r="U879" s="73"/>
      <c r="V879" s="73"/>
      <c r="W879" s="73"/>
      <c r="X879" s="73"/>
      <c r="Y879" s="73"/>
      <c r="Z879" s="73"/>
      <c r="AA879" s="73"/>
      <c r="AF879" s="73"/>
      <c r="AG879" s="73"/>
    </row>
    <row r="880" spans="2:33" x14ac:dyDescent="0.2">
      <c r="B880" s="73" t="s">
        <v>1589</v>
      </c>
      <c r="P880" s="73"/>
      <c r="Q880" s="73"/>
      <c r="R880" s="73"/>
      <c r="S880" s="73"/>
      <c r="T880" s="73"/>
      <c r="U880" s="73"/>
      <c r="V880" s="73"/>
      <c r="W880" s="73"/>
      <c r="X880" s="73"/>
      <c r="Y880" s="73"/>
      <c r="Z880" s="73"/>
      <c r="AA880" s="73"/>
      <c r="AF880" s="73"/>
      <c r="AG880" s="73"/>
    </row>
    <row r="881" spans="2:33" x14ac:dyDescent="0.2">
      <c r="B881" s="73" t="s">
        <v>1588</v>
      </c>
      <c r="P881" s="73"/>
      <c r="Q881" s="73"/>
      <c r="R881" s="73"/>
      <c r="S881" s="73"/>
      <c r="T881" s="73"/>
      <c r="U881" s="73"/>
      <c r="V881" s="73"/>
      <c r="W881" s="73"/>
      <c r="X881" s="73"/>
      <c r="Y881" s="73"/>
      <c r="Z881" s="73"/>
      <c r="AA881" s="73"/>
      <c r="AF881" s="73"/>
      <c r="AG881" s="73"/>
    </row>
    <row r="882" spans="2:33" x14ac:dyDescent="0.2">
      <c r="B882" s="73" t="s">
        <v>4305</v>
      </c>
      <c r="C882" s="73"/>
      <c r="D882" s="73"/>
      <c r="F882" s="73"/>
      <c r="G882" s="73"/>
      <c r="H882" s="73"/>
      <c r="P882" s="73"/>
      <c r="Q882" s="73"/>
      <c r="R882" s="73"/>
      <c r="S882" s="73"/>
      <c r="T882" s="73"/>
      <c r="U882" s="73"/>
      <c r="V882" s="73"/>
      <c r="W882" s="73"/>
      <c r="X882" s="73"/>
      <c r="Y882" s="73"/>
      <c r="Z882" s="73"/>
      <c r="AA882" s="73"/>
      <c r="AF882" s="73"/>
      <c r="AG882" s="73"/>
    </row>
    <row r="883" spans="2:33" x14ac:dyDescent="0.2">
      <c r="B883" s="73" t="s">
        <v>1587</v>
      </c>
      <c r="C883" s="73"/>
      <c r="D883" s="73"/>
      <c r="F883" s="73"/>
      <c r="G883" s="73"/>
      <c r="H883" s="73"/>
      <c r="P883" s="73"/>
      <c r="Q883" s="73"/>
      <c r="R883" s="73"/>
      <c r="S883" s="73"/>
      <c r="T883" s="73"/>
      <c r="U883" s="73"/>
      <c r="V883" s="73"/>
      <c r="W883" s="73"/>
      <c r="X883" s="73"/>
      <c r="Y883" s="73"/>
      <c r="Z883" s="73"/>
      <c r="AA883" s="73"/>
      <c r="AF883" s="73"/>
      <c r="AG883" s="73"/>
    </row>
    <row r="884" spans="2:33" x14ac:dyDescent="0.2">
      <c r="B884" s="73" t="s">
        <v>1586</v>
      </c>
      <c r="C884" s="73"/>
      <c r="D884" s="73"/>
      <c r="F884" s="73"/>
      <c r="G884" s="73"/>
      <c r="H884" s="73"/>
      <c r="P884" s="73"/>
      <c r="Q884" s="73"/>
      <c r="R884" s="73"/>
      <c r="S884" s="73"/>
      <c r="T884" s="73"/>
      <c r="U884" s="73"/>
      <c r="V884" s="73"/>
      <c r="W884" s="73"/>
      <c r="X884" s="73"/>
      <c r="Y884" s="73"/>
      <c r="Z884" s="73"/>
      <c r="AA884" s="73"/>
      <c r="AF884" s="73"/>
      <c r="AG884" s="73"/>
    </row>
    <row r="885" spans="2:33" x14ac:dyDescent="0.2">
      <c r="B885" s="73" t="s">
        <v>1585</v>
      </c>
      <c r="C885" s="73"/>
      <c r="D885" s="73"/>
      <c r="F885" s="73"/>
      <c r="G885" s="73"/>
      <c r="H885" s="73"/>
      <c r="P885" s="73"/>
      <c r="Q885" s="73"/>
      <c r="R885" s="73"/>
      <c r="S885" s="73"/>
      <c r="T885" s="73"/>
      <c r="U885" s="73"/>
      <c r="V885" s="73"/>
      <c r="W885" s="73"/>
      <c r="X885" s="73"/>
      <c r="Y885" s="73"/>
      <c r="Z885" s="73"/>
      <c r="AA885" s="73"/>
      <c r="AF885" s="73"/>
      <c r="AG885" s="73"/>
    </row>
    <row r="886" spans="2:33" x14ac:dyDescent="0.2">
      <c r="B886" s="73" t="s">
        <v>1584</v>
      </c>
      <c r="C886" s="73"/>
      <c r="D886" s="73"/>
      <c r="F886" s="73"/>
      <c r="G886" s="73"/>
      <c r="H886" s="73"/>
      <c r="P886" s="73"/>
      <c r="Q886" s="73"/>
      <c r="R886" s="73"/>
      <c r="S886" s="73"/>
      <c r="T886" s="73"/>
      <c r="U886" s="73"/>
      <c r="V886" s="73"/>
      <c r="W886" s="73"/>
      <c r="X886" s="73"/>
      <c r="Y886" s="73"/>
      <c r="Z886" s="73"/>
      <c r="AA886" s="73"/>
      <c r="AF886" s="73"/>
      <c r="AG886" s="73"/>
    </row>
    <row r="887" spans="2:33" x14ac:dyDescent="0.2">
      <c r="B887" s="73" t="s">
        <v>1583</v>
      </c>
      <c r="C887" s="73"/>
      <c r="D887" s="73"/>
      <c r="F887" s="73"/>
      <c r="G887" s="73"/>
      <c r="H887" s="73"/>
      <c r="P887" s="73"/>
      <c r="Q887" s="73"/>
      <c r="R887" s="73"/>
      <c r="S887" s="73"/>
      <c r="T887" s="73"/>
      <c r="U887" s="73"/>
      <c r="V887" s="73"/>
      <c r="W887" s="73"/>
      <c r="X887" s="73"/>
      <c r="Y887" s="73"/>
      <c r="Z887" s="73"/>
      <c r="AA887" s="73"/>
      <c r="AF887" s="73"/>
      <c r="AG887" s="73"/>
    </row>
    <row r="888" spans="2:33" x14ac:dyDescent="0.2">
      <c r="B888" s="73" t="s">
        <v>1582</v>
      </c>
      <c r="C888" s="73"/>
      <c r="D888" s="73"/>
      <c r="F888" s="73"/>
      <c r="G888" s="73"/>
      <c r="H888" s="73"/>
      <c r="P888" s="73"/>
      <c r="Q888" s="73"/>
      <c r="R888" s="73"/>
      <c r="S888" s="73"/>
      <c r="T888" s="73"/>
      <c r="U888" s="73"/>
      <c r="V888" s="73"/>
      <c r="W888" s="73"/>
      <c r="X888" s="73"/>
      <c r="Y888" s="73"/>
      <c r="Z888" s="73"/>
      <c r="AA888" s="73"/>
      <c r="AF888" s="73"/>
      <c r="AG888" s="73"/>
    </row>
    <row r="889" spans="2:33" x14ac:dyDescent="0.2">
      <c r="B889" s="73" t="s">
        <v>1581</v>
      </c>
      <c r="C889" s="73"/>
      <c r="D889" s="73"/>
      <c r="F889" s="73"/>
      <c r="G889" s="73"/>
      <c r="H889" s="73"/>
      <c r="P889" s="73"/>
      <c r="Q889" s="73"/>
      <c r="R889" s="73"/>
      <c r="S889" s="73"/>
      <c r="T889" s="73"/>
      <c r="U889" s="73"/>
      <c r="V889" s="73"/>
      <c r="W889" s="73"/>
      <c r="X889" s="73"/>
      <c r="Y889" s="73"/>
      <c r="Z889" s="73"/>
      <c r="AA889" s="73"/>
      <c r="AF889" s="73"/>
      <c r="AG889" s="73"/>
    </row>
    <row r="890" spans="2:33" x14ac:dyDescent="0.2">
      <c r="B890" s="73" t="s">
        <v>1580</v>
      </c>
      <c r="C890" s="73"/>
      <c r="D890" s="73"/>
      <c r="F890" s="73"/>
      <c r="G890" s="73"/>
      <c r="H890" s="73"/>
      <c r="P890" s="73"/>
      <c r="Q890" s="73"/>
      <c r="R890" s="73"/>
      <c r="S890" s="73"/>
      <c r="T890" s="73"/>
      <c r="U890" s="73"/>
      <c r="V890" s="73"/>
      <c r="W890" s="73"/>
      <c r="X890" s="73"/>
      <c r="Y890" s="73"/>
      <c r="Z890" s="73"/>
      <c r="AA890" s="73"/>
      <c r="AF890" s="73"/>
      <c r="AG890" s="73"/>
    </row>
    <row r="891" spans="2:33" x14ac:dyDescent="0.2">
      <c r="B891" s="73" t="s">
        <v>1579</v>
      </c>
      <c r="C891" s="73"/>
      <c r="D891" s="73"/>
      <c r="F891" s="73"/>
      <c r="G891" s="73"/>
      <c r="H891" s="73"/>
      <c r="P891" s="73"/>
      <c r="Q891" s="73"/>
      <c r="R891" s="73"/>
      <c r="S891" s="73"/>
      <c r="T891" s="73"/>
      <c r="U891" s="73"/>
      <c r="V891" s="73"/>
      <c r="W891" s="73"/>
      <c r="X891" s="73"/>
      <c r="Y891" s="73"/>
      <c r="Z891" s="73"/>
      <c r="AA891" s="73"/>
      <c r="AF891" s="73"/>
      <c r="AG891" s="73"/>
    </row>
    <row r="892" spans="2:33" x14ac:dyDescent="0.2">
      <c r="B892" s="73" t="s">
        <v>1578</v>
      </c>
      <c r="C892" s="73"/>
      <c r="D892" s="73"/>
      <c r="F892" s="73"/>
      <c r="G892" s="73"/>
      <c r="H892" s="73"/>
      <c r="P892" s="73"/>
      <c r="Q892" s="73"/>
      <c r="R892" s="73"/>
      <c r="S892" s="73"/>
      <c r="T892" s="73"/>
      <c r="U892" s="73"/>
      <c r="V892" s="73"/>
      <c r="W892" s="73"/>
      <c r="X892" s="73"/>
      <c r="Y892" s="73"/>
      <c r="Z892" s="73"/>
      <c r="AA892" s="73"/>
      <c r="AF892" s="73"/>
      <c r="AG892" s="73"/>
    </row>
    <row r="893" spans="2:33" x14ac:dyDescent="0.2">
      <c r="B893" s="73" t="s">
        <v>1577</v>
      </c>
      <c r="C893" s="73"/>
      <c r="D893" s="73"/>
      <c r="F893" s="73"/>
      <c r="G893" s="73"/>
      <c r="H893" s="73"/>
      <c r="P893" s="73"/>
      <c r="Q893" s="73"/>
      <c r="R893" s="73"/>
      <c r="S893" s="73"/>
      <c r="T893" s="73"/>
      <c r="U893" s="73"/>
      <c r="V893" s="73"/>
      <c r="W893" s="73"/>
      <c r="X893" s="73"/>
      <c r="Y893" s="73"/>
      <c r="Z893" s="73"/>
      <c r="AA893" s="73"/>
      <c r="AF893" s="73"/>
      <c r="AG893" s="73"/>
    </row>
    <row r="894" spans="2:33" x14ac:dyDescent="0.2">
      <c r="B894" s="73" t="s">
        <v>1576</v>
      </c>
      <c r="C894" s="73"/>
      <c r="D894" s="73"/>
      <c r="F894" s="73"/>
      <c r="G894" s="73"/>
      <c r="H894" s="73"/>
      <c r="P894" s="73"/>
      <c r="Q894" s="73"/>
      <c r="R894" s="73"/>
      <c r="S894" s="73"/>
      <c r="T894" s="73"/>
      <c r="U894" s="73"/>
      <c r="V894" s="73"/>
      <c r="W894" s="73"/>
      <c r="X894" s="73"/>
      <c r="Y894" s="73"/>
      <c r="Z894" s="73"/>
      <c r="AA894" s="73"/>
      <c r="AF894" s="73"/>
      <c r="AG894" s="73"/>
    </row>
    <row r="895" spans="2:33" x14ac:dyDescent="0.2">
      <c r="B895" s="73" t="s">
        <v>1575</v>
      </c>
      <c r="C895" s="73"/>
      <c r="D895" s="73"/>
      <c r="F895" s="73"/>
      <c r="G895" s="73"/>
      <c r="H895" s="73"/>
      <c r="P895" s="73"/>
      <c r="Q895" s="73"/>
      <c r="R895" s="73"/>
      <c r="S895" s="73"/>
      <c r="T895" s="73"/>
      <c r="U895" s="73"/>
      <c r="V895" s="73"/>
      <c r="W895" s="73"/>
      <c r="X895" s="73"/>
      <c r="Y895" s="73"/>
      <c r="Z895" s="73"/>
      <c r="AA895" s="73"/>
      <c r="AF895" s="73"/>
      <c r="AG895" s="73"/>
    </row>
    <row r="896" spans="2:33" x14ac:dyDescent="0.2">
      <c r="B896" s="73" t="s">
        <v>1574</v>
      </c>
      <c r="C896" s="73"/>
      <c r="D896" s="73"/>
      <c r="F896" s="73"/>
      <c r="G896" s="73"/>
      <c r="H896" s="73"/>
      <c r="P896" s="73"/>
      <c r="Q896" s="73"/>
      <c r="R896" s="73"/>
      <c r="S896" s="73"/>
      <c r="T896" s="73"/>
      <c r="U896" s="73"/>
      <c r="V896" s="73"/>
      <c r="W896" s="73"/>
      <c r="X896" s="73"/>
      <c r="Y896" s="73"/>
      <c r="Z896" s="73"/>
      <c r="AA896" s="73"/>
      <c r="AF896" s="73"/>
      <c r="AG896" s="73"/>
    </row>
    <row r="897" spans="2:33" x14ac:dyDescent="0.2">
      <c r="B897" s="73" t="s">
        <v>1573</v>
      </c>
      <c r="C897" s="73"/>
      <c r="D897" s="73"/>
      <c r="F897" s="73"/>
      <c r="G897" s="73"/>
      <c r="H897" s="73"/>
      <c r="P897" s="73"/>
      <c r="Q897" s="73"/>
      <c r="R897" s="73"/>
      <c r="S897" s="73"/>
      <c r="T897" s="73"/>
      <c r="U897" s="73"/>
      <c r="V897" s="73"/>
      <c r="W897" s="73"/>
      <c r="X897" s="73"/>
      <c r="Y897" s="73"/>
      <c r="Z897" s="73"/>
      <c r="AA897" s="73"/>
      <c r="AF897" s="73"/>
      <c r="AG897" s="73"/>
    </row>
    <row r="898" spans="2:33" x14ac:dyDescent="0.2">
      <c r="B898" s="73" t="s">
        <v>1572</v>
      </c>
      <c r="C898" s="73"/>
      <c r="D898" s="73"/>
      <c r="F898" s="73"/>
      <c r="G898" s="73"/>
      <c r="H898" s="73"/>
      <c r="P898" s="73"/>
      <c r="Q898" s="73"/>
      <c r="R898" s="73"/>
      <c r="S898" s="73"/>
      <c r="T898" s="73"/>
      <c r="U898" s="73"/>
      <c r="V898" s="73"/>
      <c r="W898" s="73"/>
      <c r="X898" s="73"/>
      <c r="Y898" s="73"/>
      <c r="Z898" s="73"/>
      <c r="AA898" s="73"/>
      <c r="AF898" s="73"/>
      <c r="AG898" s="73"/>
    </row>
    <row r="899" spans="2:33" x14ac:dyDescent="0.2">
      <c r="B899" s="73" t="s">
        <v>1571</v>
      </c>
      <c r="C899" s="73"/>
      <c r="D899" s="73"/>
      <c r="F899" s="73"/>
      <c r="G899" s="73"/>
      <c r="H899" s="73"/>
      <c r="P899" s="73"/>
      <c r="Q899" s="73"/>
      <c r="R899" s="73"/>
      <c r="S899" s="73"/>
      <c r="T899" s="73"/>
      <c r="U899" s="73"/>
      <c r="V899" s="73"/>
      <c r="W899" s="73"/>
      <c r="X899" s="73"/>
      <c r="Y899" s="73"/>
      <c r="Z899" s="73"/>
      <c r="AA899" s="73"/>
      <c r="AF899" s="73"/>
      <c r="AG899" s="73"/>
    </row>
    <row r="900" spans="2:33" x14ac:dyDescent="0.2">
      <c r="B900" s="73" t="s">
        <v>1570</v>
      </c>
      <c r="C900" s="73"/>
      <c r="D900" s="73"/>
      <c r="F900" s="73"/>
      <c r="G900" s="73"/>
      <c r="H900" s="73"/>
      <c r="P900" s="73"/>
      <c r="Q900" s="73"/>
      <c r="R900" s="73"/>
      <c r="S900" s="73"/>
      <c r="T900" s="73"/>
      <c r="U900" s="73"/>
      <c r="V900" s="73"/>
      <c r="W900" s="73"/>
      <c r="X900" s="73"/>
      <c r="Y900" s="73"/>
      <c r="Z900" s="73"/>
      <c r="AA900" s="73"/>
      <c r="AF900" s="73"/>
      <c r="AG900" s="73"/>
    </row>
    <row r="901" spans="2:33" x14ac:dyDescent="0.2">
      <c r="B901" s="73" t="s">
        <v>1569</v>
      </c>
      <c r="C901" s="73"/>
      <c r="D901" s="73"/>
      <c r="F901" s="73"/>
      <c r="G901" s="73"/>
      <c r="H901" s="73"/>
      <c r="P901" s="73"/>
      <c r="Q901" s="73"/>
      <c r="R901" s="73"/>
      <c r="S901" s="73"/>
      <c r="T901" s="73"/>
      <c r="U901" s="73"/>
      <c r="V901" s="73"/>
      <c r="W901" s="73"/>
      <c r="X901" s="73"/>
      <c r="Y901" s="73"/>
      <c r="Z901" s="73"/>
      <c r="AA901" s="73"/>
      <c r="AF901" s="73"/>
      <c r="AG901" s="73"/>
    </row>
    <row r="902" spans="2:33" x14ac:dyDescent="0.2">
      <c r="B902" s="73" t="s">
        <v>1568</v>
      </c>
      <c r="C902" s="73"/>
      <c r="D902" s="73"/>
      <c r="F902" s="73"/>
      <c r="G902" s="73"/>
      <c r="H902" s="73"/>
      <c r="P902" s="73"/>
      <c r="Q902" s="73"/>
      <c r="R902" s="73"/>
      <c r="S902" s="73"/>
      <c r="T902" s="73"/>
      <c r="U902" s="73"/>
      <c r="V902" s="73"/>
      <c r="W902" s="73"/>
      <c r="X902" s="73"/>
      <c r="Y902" s="73"/>
      <c r="Z902" s="73"/>
      <c r="AA902" s="73"/>
      <c r="AF902" s="73"/>
      <c r="AG902" s="73"/>
    </row>
    <row r="903" spans="2:33" x14ac:dyDescent="0.2">
      <c r="B903" s="73" t="s">
        <v>1567</v>
      </c>
      <c r="C903" s="73"/>
      <c r="D903" s="73"/>
      <c r="F903" s="73"/>
      <c r="G903" s="73"/>
      <c r="H903" s="73"/>
      <c r="P903" s="73"/>
      <c r="Q903" s="73"/>
      <c r="R903" s="73"/>
      <c r="S903" s="73"/>
      <c r="T903" s="73"/>
      <c r="U903" s="73"/>
      <c r="V903" s="73"/>
      <c r="W903" s="73"/>
      <c r="X903" s="73"/>
      <c r="Y903" s="73"/>
      <c r="Z903" s="73"/>
      <c r="AA903" s="73"/>
      <c r="AF903" s="73"/>
      <c r="AG903" s="73"/>
    </row>
    <row r="904" spans="2:33" x14ac:dyDescent="0.2">
      <c r="B904" s="73" t="s">
        <v>1566</v>
      </c>
      <c r="C904" s="73"/>
      <c r="D904" s="73"/>
      <c r="F904" s="73"/>
      <c r="G904" s="73"/>
      <c r="H904" s="73"/>
      <c r="P904" s="73"/>
      <c r="Q904" s="73"/>
      <c r="R904" s="73"/>
      <c r="S904" s="73"/>
      <c r="T904" s="73"/>
      <c r="U904" s="73"/>
      <c r="V904" s="73"/>
      <c r="W904" s="73"/>
      <c r="X904" s="73"/>
      <c r="Y904" s="73"/>
      <c r="Z904" s="73"/>
      <c r="AA904" s="73"/>
      <c r="AF904" s="73"/>
      <c r="AG904" s="73"/>
    </row>
    <row r="905" spans="2:33" x14ac:dyDescent="0.2">
      <c r="B905" s="73" t="s">
        <v>1565</v>
      </c>
      <c r="C905" s="73"/>
      <c r="D905" s="73"/>
      <c r="F905" s="73"/>
      <c r="G905" s="73"/>
      <c r="H905" s="73"/>
      <c r="P905" s="73"/>
      <c r="Q905" s="73"/>
      <c r="R905" s="73"/>
      <c r="S905" s="73"/>
      <c r="T905" s="73"/>
      <c r="U905" s="73"/>
      <c r="V905" s="73"/>
      <c r="W905" s="73"/>
      <c r="X905" s="73"/>
      <c r="Y905" s="73"/>
      <c r="Z905" s="73"/>
      <c r="AA905" s="73"/>
      <c r="AF905" s="73"/>
      <c r="AG905" s="73"/>
    </row>
    <row r="906" spans="2:33" x14ac:dyDescent="0.2">
      <c r="B906" s="73" t="s">
        <v>1564</v>
      </c>
      <c r="C906" s="73"/>
      <c r="D906" s="73"/>
      <c r="F906" s="73"/>
      <c r="G906" s="73"/>
      <c r="H906" s="73"/>
      <c r="P906" s="73"/>
      <c r="Q906" s="73"/>
      <c r="R906" s="73"/>
      <c r="S906" s="73"/>
      <c r="T906" s="73"/>
      <c r="U906" s="73"/>
      <c r="V906" s="73"/>
      <c r="W906" s="73"/>
      <c r="X906" s="73"/>
      <c r="Y906" s="73"/>
      <c r="Z906" s="73"/>
      <c r="AA906" s="73"/>
      <c r="AF906" s="73"/>
      <c r="AG906" s="73"/>
    </row>
    <row r="907" spans="2:33" x14ac:dyDescent="0.2">
      <c r="B907" s="73" t="s">
        <v>1563</v>
      </c>
      <c r="C907" s="73"/>
      <c r="D907" s="73"/>
      <c r="F907" s="73"/>
      <c r="G907" s="73"/>
      <c r="H907" s="73"/>
      <c r="P907" s="73"/>
      <c r="Q907" s="73"/>
      <c r="R907" s="73"/>
      <c r="S907" s="73"/>
      <c r="T907" s="73"/>
      <c r="U907" s="73"/>
      <c r="V907" s="73"/>
      <c r="W907" s="73"/>
      <c r="X907" s="73"/>
      <c r="Y907" s="73"/>
      <c r="Z907" s="73"/>
      <c r="AA907" s="73"/>
      <c r="AF907" s="73"/>
      <c r="AG907" s="73"/>
    </row>
    <row r="908" spans="2:33" x14ac:dyDescent="0.2">
      <c r="B908" s="73" t="s">
        <v>1562</v>
      </c>
      <c r="C908" s="73"/>
      <c r="D908" s="73"/>
      <c r="F908" s="73"/>
      <c r="G908" s="73"/>
      <c r="H908" s="73"/>
      <c r="P908" s="73"/>
      <c r="Q908" s="73"/>
      <c r="R908" s="73"/>
      <c r="S908" s="73"/>
      <c r="T908" s="73"/>
      <c r="U908" s="73"/>
      <c r="V908" s="73"/>
      <c r="W908" s="73"/>
      <c r="X908" s="73"/>
      <c r="Y908" s="73"/>
      <c r="Z908" s="73"/>
      <c r="AA908" s="73"/>
      <c r="AF908" s="73"/>
      <c r="AG908" s="73"/>
    </row>
    <row r="909" spans="2:33" x14ac:dyDescent="0.2">
      <c r="B909" s="73" t="s">
        <v>1561</v>
      </c>
      <c r="C909" s="73"/>
      <c r="D909" s="73"/>
      <c r="F909" s="73"/>
      <c r="G909" s="73"/>
      <c r="H909" s="73"/>
      <c r="P909" s="73"/>
      <c r="Q909" s="73"/>
      <c r="R909" s="73"/>
      <c r="S909" s="73"/>
      <c r="T909" s="73"/>
      <c r="U909" s="73"/>
      <c r="V909" s="73"/>
      <c r="W909" s="73"/>
      <c r="X909" s="73"/>
      <c r="Y909" s="73"/>
      <c r="Z909" s="73"/>
      <c r="AA909" s="73"/>
      <c r="AF909" s="73"/>
      <c r="AG909" s="73"/>
    </row>
    <row r="910" spans="2:33" x14ac:dyDescent="0.2">
      <c r="B910" s="73" t="s">
        <v>1560</v>
      </c>
      <c r="C910" s="73"/>
      <c r="D910" s="73"/>
      <c r="F910" s="73"/>
      <c r="G910" s="73"/>
      <c r="H910" s="73"/>
      <c r="P910" s="73"/>
      <c r="Q910" s="73"/>
      <c r="R910" s="73"/>
      <c r="S910" s="73"/>
      <c r="T910" s="73"/>
      <c r="U910" s="73"/>
      <c r="V910" s="73"/>
      <c r="W910" s="73"/>
      <c r="X910" s="73"/>
      <c r="Y910" s="73"/>
      <c r="Z910" s="73"/>
      <c r="AA910" s="73"/>
      <c r="AF910" s="73"/>
      <c r="AG910" s="73"/>
    </row>
    <row r="911" spans="2:33" x14ac:dyDescent="0.2">
      <c r="B911" s="73" t="s">
        <v>1559</v>
      </c>
      <c r="C911" s="73"/>
      <c r="D911" s="73"/>
      <c r="F911" s="73"/>
      <c r="G911" s="73"/>
      <c r="H911" s="73"/>
      <c r="P911" s="73"/>
      <c r="Q911" s="73"/>
      <c r="R911" s="73"/>
      <c r="S911" s="73"/>
      <c r="T911" s="73"/>
      <c r="U911" s="73"/>
      <c r="V911" s="73"/>
      <c r="W911" s="73"/>
      <c r="X911" s="73"/>
      <c r="Y911" s="73"/>
      <c r="Z911" s="73"/>
      <c r="AA911" s="73"/>
      <c r="AF911" s="73"/>
      <c r="AG911" s="73"/>
    </row>
    <row r="912" spans="2:33" x14ac:dyDescent="0.2">
      <c r="B912" s="73" t="s">
        <v>1558</v>
      </c>
      <c r="C912" s="73"/>
      <c r="D912" s="73"/>
      <c r="F912" s="73"/>
      <c r="G912" s="73"/>
      <c r="H912" s="73"/>
      <c r="P912" s="73"/>
      <c r="Q912" s="73"/>
      <c r="R912" s="73"/>
      <c r="S912" s="73"/>
      <c r="T912" s="73"/>
      <c r="U912" s="73"/>
      <c r="V912" s="73"/>
      <c r="W912" s="73"/>
      <c r="X912" s="73"/>
      <c r="Y912" s="73"/>
      <c r="Z912" s="73"/>
      <c r="AA912" s="73"/>
      <c r="AF912" s="73"/>
      <c r="AG912" s="73"/>
    </row>
    <row r="913" spans="2:33" x14ac:dyDescent="0.2">
      <c r="B913" s="73" t="s">
        <v>4316</v>
      </c>
      <c r="C913" s="73"/>
      <c r="D913" s="73"/>
      <c r="F913" s="73"/>
      <c r="G913" s="73"/>
      <c r="H913" s="73"/>
      <c r="P913" s="73"/>
      <c r="Q913" s="73"/>
      <c r="R913" s="73"/>
      <c r="S913" s="73"/>
      <c r="T913" s="73"/>
      <c r="U913" s="73"/>
      <c r="V913" s="73"/>
      <c r="W913" s="73"/>
      <c r="X913" s="73"/>
      <c r="Y913" s="73"/>
      <c r="Z913" s="73"/>
      <c r="AA913" s="73"/>
      <c r="AF913" s="73"/>
      <c r="AG913" s="73"/>
    </row>
    <row r="914" spans="2:33" x14ac:dyDescent="0.2">
      <c r="B914" s="73" t="s">
        <v>1557</v>
      </c>
    </row>
    <row r="915" spans="2:33" x14ac:dyDescent="0.2">
      <c r="B915" s="73" t="s">
        <v>1556</v>
      </c>
    </row>
    <row r="916" spans="2:33" x14ac:dyDescent="0.2">
      <c r="B916" s="73" t="s">
        <v>1555</v>
      </c>
    </row>
    <row r="917" spans="2:33" x14ac:dyDescent="0.2">
      <c r="B917" s="73" t="s">
        <v>1554</v>
      </c>
    </row>
    <row r="918" spans="2:33" x14ac:dyDescent="0.2">
      <c r="B918" s="73" t="s">
        <v>1553</v>
      </c>
    </row>
    <row r="919" spans="2:33" x14ac:dyDescent="0.2">
      <c r="B919" s="73" t="s">
        <v>1552</v>
      </c>
    </row>
    <row r="920" spans="2:33" x14ac:dyDescent="0.2">
      <c r="B920" s="73" t="s">
        <v>1551</v>
      </c>
    </row>
    <row r="921" spans="2:33" x14ac:dyDescent="0.2">
      <c r="B921" s="73" t="s">
        <v>1550</v>
      </c>
    </row>
    <row r="922" spans="2:33" x14ac:dyDescent="0.2">
      <c r="B922" s="73" t="s">
        <v>1549</v>
      </c>
    </row>
    <row r="923" spans="2:33" x14ac:dyDescent="0.2">
      <c r="B923" s="73" t="s">
        <v>1548</v>
      </c>
    </row>
    <row r="924" spans="2:33" x14ac:dyDescent="0.2">
      <c r="B924" s="12" t="s">
        <v>1547</v>
      </c>
    </row>
    <row r="925" spans="2:33" x14ac:dyDescent="0.2">
      <c r="B925" s="73" t="s">
        <v>1546</v>
      </c>
    </row>
    <row r="926" spans="2:33" x14ac:dyDescent="0.2">
      <c r="B926" s="73" t="s">
        <v>1545</v>
      </c>
    </row>
    <row r="927" spans="2:33" x14ac:dyDescent="0.2">
      <c r="B927" s="73" t="s">
        <v>1544</v>
      </c>
    </row>
    <row r="928" spans="2:33" x14ac:dyDescent="0.2">
      <c r="B928" s="73" t="s">
        <v>1543</v>
      </c>
    </row>
    <row r="929" spans="1:33" s="12" customFormat="1" x14ac:dyDescent="0.2">
      <c r="A929" s="73"/>
      <c r="B929" s="12" t="s">
        <v>1542</v>
      </c>
      <c r="C929" s="29"/>
      <c r="D929" s="15"/>
      <c r="F929" s="15"/>
      <c r="G929" s="15"/>
      <c r="H929" s="13"/>
      <c r="K929" s="12" t="s">
        <v>3334</v>
      </c>
      <c r="L929" s="12" t="s">
        <v>3334</v>
      </c>
      <c r="P929" s="24"/>
      <c r="Q929" s="24"/>
      <c r="R929" s="24"/>
      <c r="S929" s="24"/>
      <c r="T929" s="24"/>
      <c r="U929" s="24"/>
      <c r="V929" s="24"/>
      <c r="W929" s="24"/>
      <c r="X929" s="24"/>
      <c r="Y929" s="24"/>
      <c r="Z929" s="24"/>
      <c r="AA929" s="24"/>
      <c r="AF929" s="65"/>
      <c r="AG929" s="60"/>
    </row>
    <row r="930" spans="1:33" x14ac:dyDescent="0.2">
      <c r="B930" s="73" t="s">
        <v>1541</v>
      </c>
      <c r="C930" s="73"/>
      <c r="D930" s="73"/>
      <c r="F930" s="73"/>
      <c r="G930" s="73"/>
      <c r="H930" s="73"/>
      <c r="P930" s="73"/>
      <c r="Q930" s="73"/>
      <c r="R930" s="73"/>
      <c r="S930" s="73"/>
      <c r="T930" s="73"/>
      <c r="U930" s="73"/>
      <c r="V930" s="73"/>
      <c r="W930" s="73"/>
      <c r="X930" s="73"/>
      <c r="Y930" s="73"/>
      <c r="Z930" s="73"/>
      <c r="AA930" s="73"/>
      <c r="AF930" s="73"/>
      <c r="AG930" s="73"/>
    </row>
    <row r="931" spans="1:33" x14ac:dyDescent="0.2">
      <c r="B931" s="73" t="s">
        <v>1540</v>
      </c>
      <c r="C931" s="73"/>
      <c r="D931" s="73"/>
      <c r="F931" s="73"/>
      <c r="G931" s="73"/>
      <c r="H931" s="73"/>
      <c r="P931" s="73"/>
      <c r="Q931" s="73"/>
      <c r="R931" s="73"/>
      <c r="S931" s="73"/>
      <c r="T931" s="73"/>
      <c r="U931" s="73"/>
      <c r="V931" s="73"/>
      <c r="W931" s="73"/>
      <c r="X931" s="73"/>
      <c r="Y931" s="73"/>
      <c r="Z931" s="73"/>
      <c r="AA931" s="73"/>
      <c r="AF931" s="73"/>
      <c r="AG931" s="73"/>
    </row>
    <row r="932" spans="1:33" x14ac:dyDescent="0.2">
      <c r="B932" s="73" t="s">
        <v>1539</v>
      </c>
      <c r="C932" s="73"/>
      <c r="D932" s="73"/>
      <c r="F932" s="73"/>
      <c r="G932" s="73"/>
      <c r="H932" s="73"/>
      <c r="P932" s="73"/>
      <c r="Q932" s="73"/>
      <c r="R932" s="73"/>
      <c r="S932" s="73"/>
      <c r="T932" s="73"/>
      <c r="U932" s="73"/>
      <c r="V932" s="73"/>
      <c r="W932" s="73"/>
      <c r="X932" s="73"/>
      <c r="Y932" s="73"/>
      <c r="Z932" s="73"/>
      <c r="AA932" s="73"/>
      <c r="AF932" s="73"/>
      <c r="AG932" s="73"/>
    </row>
    <row r="933" spans="1:33" x14ac:dyDescent="0.2">
      <c r="A933" s="12"/>
      <c r="B933" s="73" t="s">
        <v>1538</v>
      </c>
      <c r="C933" s="73"/>
      <c r="D933" s="73"/>
      <c r="F933" s="73"/>
      <c r="G933" s="73"/>
      <c r="H933" s="73"/>
      <c r="P933" s="73"/>
      <c r="Q933" s="73"/>
      <c r="R933" s="73"/>
      <c r="S933" s="73"/>
      <c r="T933" s="73"/>
      <c r="U933" s="73"/>
      <c r="V933" s="73"/>
      <c r="W933" s="73"/>
      <c r="X933" s="73"/>
      <c r="Y933" s="73"/>
      <c r="Z933" s="73"/>
      <c r="AA933" s="73"/>
      <c r="AF933" s="73"/>
      <c r="AG933" s="73"/>
    </row>
    <row r="934" spans="1:33" x14ac:dyDescent="0.2">
      <c r="B934" s="73" t="s">
        <v>1537</v>
      </c>
      <c r="C934" s="73"/>
      <c r="D934" s="73"/>
      <c r="F934" s="73"/>
      <c r="G934" s="73"/>
      <c r="H934" s="73"/>
      <c r="P934" s="73"/>
      <c r="Q934" s="73"/>
      <c r="R934" s="73"/>
      <c r="S934" s="73"/>
      <c r="T934" s="73"/>
      <c r="U934" s="73"/>
      <c r="V934" s="73"/>
      <c r="W934" s="73"/>
      <c r="X934" s="73"/>
      <c r="Y934" s="73"/>
      <c r="Z934" s="73"/>
      <c r="AA934" s="73"/>
      <c r="AF934" s="73"/>
      <c r="AG934" s="73"/>
    </row>
    <row r="935" spans="1:33" x14ac:dyDescent="0.2">
      <c r="B935" s="73" t="s">
        <v>1536</v>
      </c>
      <c r="C935" s="73"/>
      <c r="D935" s="73"/>
      <c r="F935" s="73"/>
      <c r="G935" s="73"/>
      <c r="H935" s="73"/>
      <c r="P935" s="73"/>
      <c r="Q935" s="73"/>
      <c r="R935" s="73"/>
      <c r="S935" s="73"/>
      <c r="T935" s="73"/>
      <c r="U935" s="73"/>
      <c r="V935" s="73"/>
      <c r="W935" s="73"/>
      <c r="X935" s="73"/>
      <c r="Y935" s="73"/>
      <c r="Z935" s="73"/>
      <c r="AA935" s="73"/>
      <c r="AF935" s="73"/>
      <c r="AG935" s="73"/>
    </row>
    <row r="936" spans="1:33" x14ac:dyDescent="0.2">
      <c r="B936" s="73" t="s">
        <v>1535</v>
      </c>
      <c r="C936" s="73"/>
      <c r="D936" s="73"/>
      <c r="F936" s="73"/>
      <c r="G936" s="73"/>
      <c r="H936" s="73"/>
      <c r="P936" s="73"/>
      <c r="Q936" s="73"/>
      <c r="R936" s="73"/>
      <c r="S936" s="73"/>
      <c r="T936" s="73"/>
      <c r="U936" s="73"/>
      <c r="V936" s="73"/>
      <c r="W936" s="73"/>
      <c r="X936" s="73"/>
      <c r="Y936" s="73"/>
      <c r="Z936" s="73"/>
      <c r="AA936" s="73"/>
      <c r="AF936" s="73"/>
      <c r="AG936" s="73"/>
    </row>
    <row r="937" spans="1:33" x14ac:dyDescent="0.2">
      <c r="B937" s="73" t="s">
        <v>1534</v>
      </c>
      <c r="C937" s="73"/>
      <c r="D937" s="73"/>
      <c r="F937" s="73"/>
      <c r="G937" s="73"/>
      <c r="H937" s="73"/>
      <c r="P937" s="73"/>
      <c r="Q937" s="73"/>
      <c r="R937" s="73"/>
      <c r="S937" s="73"/>
      <c r="T937" s="73"/>
      <c r="U937" s="73"/>
      <c r="V937" s="73"/>
      <c r="W937" s="73"/>
      <c r="X937" s="73"/>
      <c r="Y937" s="73"/>
      <c r="Z937" s="73"/>
      <c r="AA937" s="73"/>
      <c r="AF937" s="73"/>
      <c r="AG937" s="73"/>
    </row>
    <row r="938" spans="1:33" x14ac:dyDescent="0.2">
      <c r="B938" s="73" t="s">
        <v>1533</v>
      </c>
      <c r="C938" s="73"/>
      <c r="D938" s="73"/>
      <c r="F938" s="73"/>
      <c r="G938" s="73"/>
      <c r="H938" s="73"/>
      <c r="P938" s="73"/>
      <c r="Q938" s="73"/>
      <c r="R938" s="73"/>
      <c r="S938" s="73"/>
      <c r="T938" s="73"/>
      <c r="U938" s="73"/>
      <c r="V938" s="73"/>
      <c r="W938" s="73"/>
      <c r="X938" s="73"/>
      <c r="Y938" s="73"/>
      <c r="Z938" s="73"/>
      <c r="AA938" s="73"/>
      <c r="AF938" s="73"/>
      <c r="AG938" s="73"/>
    </row>
    <row r="939" spans="1:33" x14ac:dyDescent="0.2">
      <c r="B939" s="73" t="s">
        <v>1532</v>
      </c>
      <c r="C939" s="73"/>
      <c r="D939" s="73"/>
      <c r="F939" s="73"/>
      <c r="G939" s="73"/>
      <c r="H939" s="73"/>
      <c r="P939" s="73"/>
      <c r="Q939" s="73"/>
      <c r="R939" s="73"/>
      <c r="S939" s="73"/>
      <c r="T939" s="73"/>
      <c r="U939" s="73"/>
      <c r="V939" s="73"/>
      <c r="W939" s="73"/>
      <c r="X939" s="73"/>
      <c r="Y939" s="73"/>
      <c r="Z939" s="73"/>
      <c r="AA939" s="73"/>
      <c r="AF939" s="73"/>
      <c r="AG939" s="73"/>
    </row>
    <row r="940" spans="1:33" x14ac:dyDescent="0.2">
      <c r="B940" s="73" t="s">
        <v>1531</v>
      </c>
      <c r="C940" s="73"/>
      <c r="D940" s="73"/>
      <c r="F940" s="73"/>
      <c r="G940" s="73"/>
      <c r="H940" s="73"/>
      <c r="P940" s="73"/>
      <c r="Q940" s="73"/>
      <c r="R940" s="73"/>
      <c r="S940" s="73"/>
      <c r="T940" s="73"/>
      <c r="U940" s="73"/>
      <c r="V940" s="73"/>
      <c r="W940" s="73"/>
      <c r="X940" s="73"/>
      <c r="Y940" s="73"/>
      <c r="Z940" s="73"/>
      <c r="AA940" s="73"/>
      <c r="AF940" s="73"/>
      <c r="AG940" s="73"/>
    </row>
    <row r="941" spans="1:33" x14ac:dyDescent="0.2">
      <c r="B941" s="73" t="s">
        <v>1530</v>
      </c>
      <c r="C941" s="73"/>
      <c r="D941" s="73"/>
      <c r="F941" s="73"/>
      <c r="G941" s="73"/>
      <c r="H941" s="73"/>
      <c r="P941" s="73"/>
      <c r="Q941" s="73"/>
      <c r="R941" s="73"/>
      <c r="S941" s="73"/>
      <c r="T941" s="73"/>
      <c r="U941" s="73"/>
      <c r="V941" s="73"/>
      <c r="W941" s="73"/>
      <c r="X941" s="73"/>
      <c r="Y941" s="73"/>
      <c r="Z941" s="73"/>
      <c r="AA941" s="73"/>
      <c r="AF941" s="73"/>
      <c r="AG941" s="73"/>
    </row>
    <row r="942" spans="1:33" x14ac:dyDescent="0.2">
      <c r="B942" s="73" t="s">
        <v>1529</v>
      </c>
      <c r="C942" s="73"/>
      <c r="D942" s="73"/>
      <c r="F942" s="73"/>
      <c r="G942" s="73"/>
      <c r="H942" s="73"/>
      <c r="P942" s="73"/>
      <c r="Q942" s="73"/>
      <c r="R942" s="73"/>
      <c r="S942" s="73"/>
      <c r="T942" s="73"/>
      <c r="U942" s="73"/>
      <c r="V942" s="73"/>
      <c r="W942" s="73"/>
      <c r="X942" s="73"/>
      <c r="Y942" s="73"/>
      <c r="Z942" s="73"/>
      <c r="AA942" s="73"/>
      <c r="AF942" s="73"/>
      <c r="AG942" s="73"/>
    </row>
    <row r="943" spans="1:33" x14ac:dyDescent="0.2">
      <c r="B943" s="73" t="s">
        <v>1528</v>
      </c>
      <c r="C943" s="73"/>
      <c r="D943" s="73"/>
      <c r="F943" s="73"/>
      <c r="G943" s="73"/>
      <c r="H943" s="73"/>
      <c r="P943" s="73"/>
      <c r="Q943" s="73"/>
      <c r="R943" s="73"/>
      <c r="S943" s="73"/>
      <c r="T943" s="73"/>
      <c r="U943" s="73"/>
      <c r="V943" s="73"/>
      <c r="W943" s="73"/>
      <c r="X943" s="73"/>
      <c r="Y943" s="73"/>
      <c r="Z943" s="73"/>
      <c r="AA943" s="73"/>
      <c r="AF943" s="73"/>
      <c r="AG943" s="73"/>
    </row>
    <row r="944" spans="1:33" x14ac:dyDescent="0.2">
      <c r="B944" s="73" t="s">
        <v>1527</v>
      </c>
      <c r="C944" s="73"/>
      <c r="D944" s="73"/>
      <c r="F944" s="73"/>
      <c r="G944" s="73"/>
      <c r="H944" s="73"/>
      <c r="P944" s="73"/>
      <c r="Q944" s="73"/>
      <c r="R944" s="73"/>
      <c r="S944" s="73"/>
      <c r="T944" s="73"/>
      <c r="U944" s="73"/>
      <c r="V944" s="73"/>
      <c r="W944" s="73"/>
      <c r="X944" s="73"/>
      <c r="Y944" s="73"/>
      <c r="Z944" s="73"/>
      <c r="AA944" s="73"/>
      <c r="AF944" s="73"/>
      <c r="AG944" s="73"/>
    </row>
    <row r="945" spans="2:33" x14ac:dyDescent="0.2">
      <c r="B945" s="73" t="s">
        <v>1526</v>
      </c>
      <c r="C945" s="73"/>
      <c r="D945" s="73"/>
      <c r="F945" s="73"/>
      <c r="G945" s="73"/>
      <c r="H945" s="73"/>
      <c r="P945" s="73"/>
      <c r="Q945" s="73"/>
      <c r="R945" s="73"/>
      <c r="S945" s="73"/>
      <c r="T945" s="73"/>
      <c r="U945" s="73"/>
      <c r="V945" s="73"/>
      <c r="W945" s="73"/>
      <c r="X945" s="73"/>
      <c r="Y945" s="73"/>
      <c r="Z945" s="73"/>
      <c r="AA945" s="73"/>
      <c r="AF945" s="73"/>
      <c r="AG945" s="73"/>
    </row>
    <row r="946" spans="2:33" x14ac:dyDescent="0.2">
      <c r="B946" s="73" t="s">
        <v>1525</v>
      </c>
      <c r="C946" s="73"/>
      <c r="D946" s="73"/>
      <c r="F946" s="73"/>
      <c r="G946" s="73"/>
      <c r="H946" s="73"/>
      <c r="P946" s="73"/>
      <c r="Q946" s="73"/>
      <c r="R946" s="73"/>
      <c r="S946" s="73"/>
      <c r="T946" s="73"/>
      <c r="U946" s="73"/>
      <c r="V946" s="73"/>
      <c r="W946" s="73"/>
      <c r="X946" s="73"/>
      <c r="Y946" s="73"/>
      <c r="Z946" s="73"/>
      <c r="AA946" s="73"/>
      <c r="AF946" s="73"/>
      <c r="AG946" s="73"/>
    </row>
    <row r="947" spans="2:33" x14ac:dyDescent="0.2">
      <c r="B947" s="73" t="s">
        <v>1524</v>
      </c>
      <c r="C947" s="73"/>
      <c r="D947" s="73"/>
      <c r="F947" s="73"/>
      <c r="G947" s="73"/>
      <c r="H947" s="73"/>
      <c r="P947" s="73"/>
      <c r="Q947" s="73"/>
      <c r="R947" s="73"/>
      <c r="S947" s="73"/>
      <c r="T947" s="73"/>
      <c r="U947" s="73"/>
      <c r="V947" s="73"/>
      <c r="W947" s="73"/>
      <c r="X947" s="73"/>
      <c r="Y947" s="73"/>
      <c r="Z947" s="73"/>
      <c r="AA947" s="73"/>
      <c r="AF947" s="73"/>
      <c r="AG947" s="73"/>
    </row>
    <row r="948" spans="2:33" x14ac:dyDescent="0.2">
      <c r="B948" s="73" t="s">
        <v>1523</v>
      </c>
      <c r="C948" s="73"/>
      <c r="D948" s="73"/>
      <c r="F948" s="73"/>
      <c r="G948" s="73"/>
      <c r="H948" s="73"/>
      <c r="P948" s="73"/>
      <c r="Q948" s="73"/>
      <c r="R948" s="73"/>
      <c r="S948" s="73"/>
      <c r="T948" s="73"/>
      <c r="U948" s="73"/>
      <c r="V948" s="73"/>
      <c r="W948" s="73"/>
      <c r="X948" s="73"/>
      <c r="Y948" s="73"/>
      <c r="Z948" s="73"/>
      <c r="AA948" s="73"/>
      <c r="AF948" s="73"/>
      <c r="AG948" s="73"/>
    </row>
    <row r="949" spans="2:33" x14ac:dyDescent="0.2">
      <c r="B949" s="73" t="s">
        <v>1522</v>
      </c>
      <c r="C949" s="73"/>
      <c r="D949" s="73"/>
      <c r="F949" s="73"/>
      <c r="G949" s="73"/>
      <c r="H949" s="73"/>
      <c r="P949" s="73"/>
      <c r="Q949" s="73"/>
      <c r="R949" s="73"/>
      <c r="S949" s="73"/>
      <c r="T949" s="73"/>
      <c r="U949" s="73"/>
      <c r="V949" s="73"/>
      <c r="W949" s="73"/>
      <c r="X949" s="73"/>
      <c r="Y949" s="73"/>
      <c r="Z949" s="73"/>
      <c r="AA949" s="73"/>
      <c r="AF949" s="73"/>
      <c r="AG949" s="73"/>
    </row>
    <row r="950" spans="2:33" x14ac:dyDescent="0.2">
      <c r="B950" s="73" t="s">
        <v>1521</v>
      </c>
      <c r="C950" s="73"/>
      <c r="D950" s="73"/>
      <c r="F950" s="73"/>
      <c r="G950" s="73"/>
      <c r="H950" s="73"/>
      <c r="P950" s="73"/>
      <c r="Q950" s="73"/>
      <c r="R950" s="73"/>
      <c r="S950" s="73"/>
      <c r="T950" s="73"/>
      <c r="U950" s="73"/>
      <c r="V950" s="73"/>
      <c r="W950" s="73"/>
      <c r="X950" s="73"/>
      <c r="Y950" s="73"/>
      <c r="Z950" s="73"/>
      <c r="AA950" s="73"/>
      <c r="AF950" s="73"/>
      <c r="AG950" s="73"/>
    </row>
    <row r="951" spans="2:33" x14ac:dyDescent="0.2">
      <c r="B951" s="73" t="s">
        <v>1520</v>
      </c>
      <c r="C951" s="73"/>
      <c r="D951" s="73"/>
      <c r="F951" s="73"/>
      <c r="G951" s="73"/>
      <c r="H951" s="73"/>
      <c r="P951" s="73"/>
      <c r="Q951" s="73"/>
      <c r="R951" s="73"/>
      <c r="S951" s="73"/>
      <c r="T951" s="73"/>
      <c r="U951" s="73"/>
      <c r="V951" s="73"/>
      <c r="W951" s="73"/>
      <c r="X951" s="73"/>
      <c r="Y951" s="73"/>
      <c r="Z951" s="73"/>
      <c r="AA951" s="73"/>
      <c r="AF951" s="73"/>
      <c r="AG951" s="73"/>
    </row>
    <row r="952" spans="2:33" x14ac:dyDescent="0.2">
      <c r="B952" s="73" t="s">
        <v>1519</v>
      </c>
      <c r="C952" s="73"/>
      <c r="D952" s="73"/>
      <c r="F952" s="73"/>
      <c r="G952" s="73"/>
      <c r="H952" s="73"/>
      <c r="P952" s="73"/>
      <c r="Q952" s="73"/>
      <c r="R952" s="73"/>
      <c r="S952" s="73"/>
      <c r="T952" s="73"/>
      <c r="U952" s="73"/>
      <c r="V952" s="73"/>
      <c r="W952" s="73"/>
      <c r="X952" s="73"/>
      <c r="Y952" s="73"/>
      <c r="Z952" s="73"/>
      <c r="AA952" s="73"/>
      <c r="AF952" s="73"/>
      <c r="AG952" s="73"/>
    </row>
    <row r="953" spans="2:33" x14ac:dyDescent="0.2">
      <c r="B953" s="73" t="s">
        <v>1518</v>
      </c>
      <c r="C953" s="73"/>
      <c r="D953" s="73"/>
      <c r="F953" s="73"/>
      <c r="G953" s="73"/>
      <c r="H953" s="73"/>
      <c r="P953" s="73"/>
      <c r="Q953" s="73"/>
      <c r="R953" s="73"/>
      <c r="S953" s="73"/>
      <c r="T953" s="73"/>
      <c r="U953" s="73"/>
      <c r="V953" s="73"/>
      <c r="W953" s="73"/>
      <c r="X953" s="73"/>
      <c r="Y953" s="73"/>
      <c r="Z953" s="73"/>
      <c r="AA953" s="73"/>
      <c r="AF953" s="73"/>
      <c r="AG953" s="73"/>
    </row>
    <row r="954" spans="2:33" x14ac:dyDescent="0.2">
      <c r="B954" s="73" t="s">
        <v>1517</v>
      </c>
      <c r="C954" s="73"/>
      <c r="D954" s="73"/>
      <c r="F954" s="73"/>
      <c r="G954" s="73"/>
      <c r="H954" s="73"/>
      <c r="P954" s="73"/>
      <c r="Q954" s="73"/>
      <c r="R954" s="73"/>
      <c r="S954" s="73"/>
      <c r="T954" s="73"/>
      <c r="U954" s="73"/>
      <c r="V954" s="73"/>
      <c r="W954" s="73"/>
      <c r="X954" s="73"/>
      <c r="Y954" s="73"/>
      <c r="Z954" s="73"/>
      <c r="AA954" s="73"/>
      <c r="AF954" s="73"/>
      <c r="AG954" s="73"/>
    </row>
    <row r="955" spans="2:33" x14ac:dyDescent="0.2">
      <c r="B955" s="73" t="s">
        <v>1516</v>
      </c>
      <c r="C955" s="73"/>
      <c r="D955" s="73"/>
      <c r="F955" s="73"/>
      <c r="G955" s="73"/>
      <c r="H955" s="73"/>
      <c r="P955" s="73"/>
      <c r="Q955" s="73"/>
      <c r="R955" s="73"/>
      <c r="S955" s="73"/>
      <c r="T955" s="73"/>
      <c r="U955" s="73"/>
      <c r="V955" s="73"/>
      <c r="W955" s="73"/>
      <c r="X955" s="73"/>
      <c r="Y955" s="73"/>
      <c r="Z955" s="73"/>
      <c r="AA955" s="73"/>
      <c r="AF955" s="73"/>
      <c r="AG955" s="73"/>
    </row>
    <row r="956" spans="2:33" x14ac:dyDescent="0.2">
      <c r="B956" s="73" t="s">
        <v>1515</v>
      </c>
      <c r="C956" s="73"/>
      <c r="D956" s="73"/>
      <c r="F956" s="73"/>
      <c r="G956" s="73"/>
      <c r="H956" s="73"/>
      <c r="P956" s="73"/>
      <c r="Q956" s="73"/>
      <c r="R956" s="73"/>
      <c r="S956" s="73"/>
      <c r="T956" s="73"/>
      <c r="U956" s="73"/>
      <c r="V956" s="73"/>
      <c r="W956" s="73"/>
      <c r="X956" s="73"/>
      <c r="Y956" s="73"/>
      <c r="Z956" s="73"/>
      <c r="AA956" s="73"/>
      <c r="AF956" s="73"/>
      <c r="AG956" s="73"/>
    </row>
    <row r="957" spans="2:33" x14ac:dyDescent="0.2">
      <c r="B957" s="73" t="s">
        <v>1514</v>
      </c>
      <c r="C957" s="73"/>
      <c r="D957" s="73"/>
      <c r="F957" s="73"/>
      <c r="G957" s="73"/>
      <c r="H957" s="73"/>
      <c r="P957" s="73"/>
      <c r="Q957" s="73"/>
      <c r="R957" s="73"/>
      <c r="S957" s="73"/>
      <c r="T957" s="73"/>
      <c r="U957" s="73"/>
      <c r="V957" s="73"/>
      <c r="W957" s="73"/>
      <c r="X957" s="73"/>
      <c r="Y957" s="73"/>
      <c r="Z957" s="73"/>
      <c r="AA957" s="73"/>
      <c r="AF957" s="73"/>
      <c r="AG957" s="73"/>
    </row>
    <row r="958" spans="2:33" x14ac:dyDescent="0.2">
      <c r="B958" s="73" t="s">
        <v>1513</v>
      </c>
      <c r="C958" s="73"/>
      <c r="D958" s="73"/>
      <c r="F958" s="73"/>
      <c r="G958" s="73"/>
      <c r="H958" s="73"/>
      <c r="P958" s="73"/>
      <c r="Q958" s="73"/>
      <c r="R958" s="73"/>
      <c r="S958" s="73"/>
      <c r="T958" s="73"/>
      <c r="U958" s="73"/>
      <c r="V958" s="73"/>
      <c r="W958" s="73"/>
      <c r="X958" s="73"/>
      <c r="Y958" s="73"/>
      <c r="Z958" s="73"/>
      <c r="AA958" s="73"/>
      <c r="AF958" s="73"/>
      <c r="AG958" s="73"/>
    </row>
    <row r="959" spans="2:33" x14ac:dyDescent="0.2">
      <c r="B959" s="73" t="s">
        <v>1512</v>
      </c>
      <c r="C959" s="73"/>
      <c r="D959" s="73"/>
      <c r="F959" s="73"/>
      <c r="G959" s="73"/>
      <c r="H959" s="73"/>
      <c r="P959" s="73"/>
      <c r="Q959" s="73"/>
      <c r="R959" s="73"/>
      <c r="S959" s="73"/>
      <c r="T959" s="73"/>
      <c r="U959" s="73"/>
      <c r="V959" s="73"/>
      <c r="W959" s="73"/>
      <c r="X959" s="73"/>
      <c r="Y959" s="73"/>
      <c r="Z959" s="73"/>
      <c r="AA959" s="73"/>
      <c r="AF959" s="73"/>
      <c r="AG959" s="73"/>
    </row>
    <row r="960" spans="2:33" x14ac:dyDescent="0.2">
      <c r="B960" s="73" t="s">
        <v>1511</v>
      </c>
      <c r="C960" s="73"/>
      <c r="D960" s="73"/>
      <c r="F960" s="73"/>
      <c r="G960" s="73"/>
      <c r="H960" s="73"/>
      <c r="P960" s="73"/>
      <c r="Q960" s="73"/>
      <c r="R960" s="73"/>
      <c r="S960" s="73"/>
      <c r="T960" s="73"/>
      <c r="U960" s="73"/>
      <c r="V960" s="73"/>
      <c r="W960" s="73"/>
      <c r="X960" s="73"/>
      <c r="Y960" s="73"/>
      <c r="Z960" s="73"/>
      <c r="AA960" s="73"/>
      <c r="AF960" s="73"/>
      <c r="AG960" s="73"/>
    </row>
    <row r="961" spans="2:33" x14ac:dyDescent="0.2">
      <c r="B961" s="73" t="s">
        <v>1510</v>
      </c>
      <c r="C961" s="73"/>
      <c r="D961" s="73"/>
      <c r="F961" s="73"/>
      <c r="G961" s="73"/>
      <c r="H961" s="73"/>
      <c r="P961" s="73"/>
      <c r="Q961" s="73"/>
      <c r="R961" s="73"/>
      <c r="S961" s="73"/>
      <c r="T961" s="73"/>
      <c r="U961" s="73"/>
      <c r="V961" s="73"/>
      <c r="W961" s="73"/>
      <c r="X961" s="73"/>
      <c r="Y961" s="73"/>
      <c r="Z961" s="73"/>
      <c r="AA961" s="73"/>
      <c r="AF961" s="73"/>
      <c r="AG961" s="73"/>
    </row>
    <row r="962" spans="2:33" x14ac:dyDescent="0.2">
      <c r="B962" s="73" t="s">
        <v>1509</v>
      </c>
      <c r="C962" s="73"/>
      <c r="D962" s="73"/>
      <c r="F962" s="73"/>
      <c r="G962" s="73"/>
      <c r="H962" s="73"/>
      <c r="P962" s="73"/>
      <c r="Q962" s="73"/>
      <c r="R962" s="73"/>
      <c r="S962" s="73"/>
      <c r="T962" s="73"/>
      <c r="U962" s="73"/>
      <c r="V962" s="73"/>
      <c r="W962" s="73"/>
      <c r="X962" s="73"/>
      <c r="Y962" s="73"/>
      <c r="Z962" s="73"/>
      <c r="AA962" s="73"/>
      <c r="AF962" s="73"/>
      <c r="AG962" s="73"/>
    </row>
    <row r="963" spans="2:33" x14ac:dyDescent="0.2">
      <c r="B963" s="73" t="s">
        <v>1508</v>
      </c>
      <c r="C963" s="73"/>
      <c r="D963" s="73"/>
      <c r="F963" s="73"/>
      <c r="G963" s="73"/>
      <c r="H963" s="73"/>
      <c r="P963" s="73"/>
      <c r="Q963" s="73"/>
      <c r="R963" s="73"/>
      <c r="S963" s="73"/>
      <c r="T963" s="73"/>
      <c r="U963" s="73"/>
      <c r="V963" s="73"/>
      <c r="W963" s="73"/>
      <c r="X963" s="73"/>
      <c r="Y963" s="73"/>
      <c r="Z963" s="73"/>
      <c r="AA963" s="73"/>
      <c r="AF963" s="73"/>
      <c r="AG963" s="73"/>
    </row>
    <row r="964" spans="2:33" x14ac:dyDescent="0.2">
      <c r="B964" s="73" t="s">
        <v>1507</v>
      </c>
      <c r="C964" s="73"/>
      <c r="D964" s="73"/>
      <c r="F964" s="73"/>
      <c r="G964" s="73"/>
      <c r="H964" s="73"/>
      <c r="P964" s="73"/>
      <c r="Q964" s="73"/>
      <c r="R964" s="73"/>
      <c r="S964" s="73"/>
      <c r="T964" s="73"/>
      <c r="U964" s="73"/>
      <c r="V964" s="73"/>
      <c r="W964" s="73"/>
      <c r="X964" s="73"/>
      <c r="Y964" s="73"/>
      <c r="Z964" s="73"/>
      <c r="AA964" s="73"/>
      <c r="AF964" s="73"/>
      <c r="AG964" s="73"/>
    </row>
    <row r="965" spans="2:33" x14ac:dyDescent="0.2">
      <c r="B965" s="73" t="s">
        <v>1506</v>
      </c>
      <c r="C965" s="73"/>
      <c r="D965" s="73"/>
      <c r="F965" s="73"/>
      <c r="G965" s="73"/>
      <c r="H965" s="73"/>
      <c r="P965" s="73"/>
      <c r="Q965" s="73"/>
      <c r="R965" s="73"/>
      <c r="S965" s="73"/>
      <c r="T965" s="73"/>
      <c r="U965" s="73"/>
      <c r="V965" s="73"/>
      <c r="W965" s="73"/>
      <c r="X965" s="73"/>
      <c r="Y965" s="73"/>
      <c r="Z965" s="73"/>
      <c r="AA965" s="73"/>
      <c r="AF965" s="73"/>
      <c r="AG965" s="73"/>
    </row>
    <row r="966" spans="2:33" x14ac:dyDescent="0.2">
      <c r="B966" s="73" t="s">
        <v>1505</v>
      </c>
      <c r="C966" s="73"/>
      <c r="D966" s="73"/>
      <c r="F966" s="73"/>
      <c r="G966" s="73"/>
      <c r="H966" s="73"/>
      <c r="P966" s="73"/>
      <c r="Q966" s="73"/>
      <c r="R966" s="73"/>
      <c r="S966" s="73"/>
      <c r="T966" s="73"/>
      <c r="U966" s="73"/>
      <c r="V966" s="73"/>
      <c r="W966" s="73"/>
      <c r="X966" s="73"/>
      <c r="Y966" s="73"/>
      <c r="Z966" s="73"/>
      <c r="AA966" s="73"/>
      <c r="AF966" s="73"/>
      <c r="AG966" s="73"/>
    </row>
    <row r="967" spans="2:33" x14ac:dyDescent="0.2">
      <c r="B967" s="73" t="s">
        <v>1504</v>
      </c>
      <c r="C967" s="73"/>
      <c r="D967" s="73"/>
      <c r="F967" s="73"/>
      <c r="G967" s="73"/>
      <c r="H967" s="73"/>
      <c r="P967" s="73"/>
      <c r="Q967" s="73"/>
      <c r="R967" s="73"/>
      <c r="S967" s="73"/>
      <c r="T967" s="73"/>
      <c r="U967" s="73"/>
      <c r="V967" s="73"/>
      <c r="W967" s="73"/>
      <c r="X967" s="73"/>
      <c r="Y967" s="73"/>
      <c r="Z967" s="73"/>
      <c r="AA967" s="73"/>
      <c r="AF967" s="73"/>
      <c r="AG967" s="73"/>
    </row>
    <row r="968" spans="2:33" x14ac:dyDescent="0.2">
      <c r="B968" s="73" t="s">
        <v>1503</v>
      </c>
      <c r="C968" s="73"/>
      <c r="D968" s="73"/>
      <c r="F968" s="73"/>
      <c r="G968" s="73"/>
      <c r="H968" s="73"/>
      <c r="P968" s="73"/>
      <c r="Q968" s="73"/>
      <c r="R968" s="73"/>
      <c r="S968" s="73"/>
      <c r="T968" s="73"/>
      <c r="U968" s="73"/>
      <c r="V968" s="73"/>
      <c r="W968" s="73"/>
      <c r="X968" s="73"/>
      <c r="Y968" s="73"/>
      <c r="Z968" s="73"/>
      <c r="AA968" s="73"/>
      <c r="AF968" s="73"/>
      <c r="AG968" s="73"/>
    </row>
    <row r="969" spans="2:33" x14ac:dyDescent="0.2">
      <c r="B969" s="73" t="s">
        <v>1502</v>
      </c>
      <c r="C969" s="73"/>
      <c r="D969" s="73"/>
      <c r="F969" s="73"/>
      <c r="G969" s="73"/>
      <c r="H969" s="73"/>
      <c r="P969" s="73"/>
      <c r="Q969" s="73"/>
      <c r="R969" s="73"/>
      <c r="S969" s="73"/>
      <c r="T969" s="73"/>
      <c r="U969" s="73"/>
      <c r="V969" s="73"/>
      <c r="W969" s="73"/>
      <c r="X969" s="73"/>
      <c r="Y969" s="73"/>
      <c r="Z969" s="73"/>
      <c r="AA969" s="73"/>
      <c r="AF969" s="73"/>
      <c r="AG969" s="73"/>
    </row>
    <row r="970" spans="2:33" x14ac:dyDescent="0.2">
      <c r="B970" s="73" t="s">
        <v>1501</v>
      </c>
      <c r="C970" s="73"/>
      <c r="D970" s="73"/>
      <c r="F970" s="73"/>
      <c r="G970" s="73"/>
      <c r="H970" s="73"/>
      <c r="P970" s="73"/>
      <c r="Q970" s="73"/>
      <c r="R970" s="73"/>
      <c r="S970" s="73"/>
      <c r="T970" s="73"/>
      <c r="U970" s="73"/>
      <c r="V970" s="73"/>
      <c r="W970" s="73"/>
      <c r="X970" s="73"/>
      <c r="Y970" s="73"/>
      <c r="Z970" s="73"/>
      <c r="AA970" s="73"/>
      <c r="AF970" s="73"/>
      <c r="AG970" s="73"/>
    </row>
    <row r="971" spans="2:33" x14ac:dyDescent="0.2">
      <c r="B971" s="73" t="s">
        <v>1500</v>
      </c>
      <c r="C971" s="73"/>
      <c r="D971" s="73"/>
      <c r="F971" s="73"/>
      <c r="G971" s="73"/>
      <c r="H971" s="73"/>
      <c r="P971" s="73"/>
      <c r="Q971" s="73"/>
      <c r="R971" s="73"/>
      <c r="S971" s="73"/>
      <c r="T971" s="73"/>
      <c r="U971" s="73"/>
      <c r="V971" s="73"/>
      <c r="W971" s="73"/>
      <c r="X971" s="73"/>
      <c r="Y971" s="73"/>
      <c r="Z971" s="73"/>
      <c r="AA971" s="73"/>
      <c r="AF971" s="73"/>
      <c r="AG971" s="73"/>
    </row>
    <row r="972" spans="2:33" x14ac:dyDescent="0.2">
      <c r="B972" s="73" t="s">
        <v>1499</v>
      </c>
      <c r="C972" s="73"/>
      <c r="D972" s="73"/>
      <c r="F972" s="73"/>
      <c r="G972" s="73"/>
      <c r="H972" s="73"/>
      <c r="P972" s="73"/>
      <c r="Q972" s="73"/>
      <c r="R972" s="73"/>
      <c r="S972" s="73"/>
      <c r="T972" s="73"/>
      <c r="U972" s="73"/>
      <c r="V972" s="73"/>
      <c r="W972" s="73"/>
      <c r="X972" s="73"/>
      <c r="Y972" s="73"/>
      <c r="Z972" s="73"/>
      <c r="AA972" s="73"/>
      <c r="AF972" s="73"/>
      <c r="AG972" s="73"/>
    </row>
    <row r="973" spans="2:33" x14ac:dyDescent="0.2">
      <c r="B973" s="73" t="s">
        <v>1498</v>
      </c>
      <c r="C973" s="73"/>
      <c r="D973" s="73"/>
      <c r="F973" s="73"/>
      <c r="G973" s="73"/>
      <c r="H973" s="73"/>
      <c r="P973" s="73"/>
      <c r="Q973" s="73"/>
      <c r="R973" s="73"/>
      <c r="S973" s="73"/>
      <c r="T973" s="73"/>
      <c r="U973" s="73"/>
      <c r="V973" s="73"/>
      <c r="W973" s="73"/>
      <c r="X973" s="73"/>
      <c r="Y973" s="73"/>
      <c r="Z973" s="73"/>
      <c r="AA973" s="73"/>
      <c r="AF973" s="73"/>
      <c r="AG973" s="73"/>
    </row>
    <row r="974" spans="2:33" x14ac:dyDescent="0.2">
      <c r="B974" s="73" t="s">
        <v>1497</v>
      </c>
      <c r="C974" s="73"/>
      <c r="D974" s="73"/>
      <c r="F974" s="73"/>
      <c r="G974" s="73"/>
      <c r="H974" s="73"/>
      <c r="P974" s="73"/>
      <c r="Q974" s="73"/>
      <c r="R974" s="73"/>
      <c r="S974" s="73"/>
      <c r="T974" s="73"/>
      <c r="U974" s="73"/>
      <c r="V974" s="73"/>
      <c r="W974" s="73"/>
      <c r="X974" s="73"/>
      <c r="Y974" s="73"/>
      <c r="Z974" s="73"/>
      <c r="AA974" s="73"/>
      <c r="AF974" s="73"/>
      <c r="AG974" s="73"/>
    </row>
    <row r="975" spans="2:33" x14ac:dyDescent="0.2">
      <c r="B975" s="73" t="s">
        <v>1496</v>
      </c>
      <c r="C975" s="73"/>
      <c r="D975" s="73"/>
      <c r="F975" s="73"/>
      <c r="G975" s="73"/>
      <c r="H975" s="73"/>
      <c r="P975" s="73"/>
      <c r="Q975" s="73"/>
      <c r="R975" s="73"/>
      <c r="S975" s="73"/>
      <c r="T975" s="73"/>
      <c r="U975" s="73"/>
      <c r="V975" s="73"/>
      <c r="W975" s="73"/>
      <c r="X975" s="73"/>
      <c r="Y975" s="73"/>
      <c r="Z975" s="73"/>
      <c r="AA975" s="73"/>
      <c r="AF975" s="73"/>
      <c r="AG975" s="73"/>
    </row>
    <row r="976" spans="2:33" x14ac:dyDescent="0.2">
      <c r="B976" s="73" t="s">
        <v>1495</v>
      </c>
      <c r="C976" s="73"/>
      <c r="D976" s="73"/>
      <c r="F976" s="73"/>
      <c r="G976" s="73"/>
      <c r="H976" s="73"/>
      <c r="P976" s="73"/>
      <c r="Q976" s="73"/>
      <c r="R976" s="73"/>
      <c r="S976" s="73"/>
      <c r="T976" s="73"/>
      <c r="U976" s="73"/>
      <c r="V976" s="73"/>
      <c r="W976" s="73"/>
      <c r="X976" s="73"/>
      <c r="Y976" s="73"/>
      <c r="Z976" s="73"/>
      <c r="AA976" s="73"/>
      <c r="AF976" s="73"/>
      <c r="AG976" s="73"/>
    </row>
    <row r="977" spans="2:33" x14ac:dyDescent="0.2">
      <c r="B977" s="73" t="s">
        <v>1494</v>
      </c>
      <c r="C977" s="73"/>
      <c r="D977" s="73"/>
      <c r="F977" s="73"/>
      <c r="G977" s="73"/>
      <c r="H977" s="73"/>
      <c r="P977" s="73"/>
      <c r="Q977" s="73"/>
      <c r="R977" s="73"/>
      <c r="S977" s="73"/>
      <c r="T977" s="73"/>
      <c r="U977" s="73"/>
      <c r="V977" s="73"/>
      <c r="W977" s="73"/>
      <c r="X977" s="73"/>
      <c r="Y977" s="73"/>
      <c r="Z977" s="73"/>
      <c r="AA977" s="73"/>
      <c r="AF977" s="73"/>
      <c r="AG977" s="73"/>
    </row>
    <row r="978" spans="2:33" x14ac:dyDescent="0.2">
      <c r="B978" s="73" t="s">
        <v>1493</v>
      </c>
      <c r="C978" s="73"/>
      <c r="D978" s="73"/>
      <c r="F978" s="73"/>
      <c r="G978" s="73"/>
      <c r="H978" s="73"/>
      <c r="P978" s="73"/>
      <c r="Q978" s="73"/>
      <c r="R978" s="73"/>
      <c r="S978" s="73"/>
      <c r="T978" s="73"/>
      <c r="U978" s="73"/>
      <c r="V978" s="73"/>
      <c r="W978" s="73"/>
      <c r="X978" s="73"/>
      <c r="Y978" s="73"/>
      <c r="Z978" s="73"/>
      <c r="AA978" s="73"/>
      <c r="AF978" s="73"/>
      <c r="AG978" s="73"/>
    </row>
    <row r="979" spans="2:33" x14ac:dyDescent="0.2">
      <c r="B979" s="73" t="s">
        <v>1492</v>
      </c>
      <c r="C979" s="73"/>
      <c r="D979" s="73"/>
      <c r="F979" s="73"/>
      <c r="G979" s="73"/>
      <c r="H979" s="73"/>
      <c r="P979" s="73"/>
      <c r="Q979" s="73"/>
      <c r="R979" s="73"/>
      <c r="S979" s="73"/>
      <c r="T979" s="73"/>
      <c r="U979" s="73"/>
      <c r="V979" s="73"/>
      <c r="W979" s="73"/>
      <c r="X979" s="73"/>
      <c r="Y979" s="73"/>
      <c r="Z979" s="73"/>
      <c r="AA979" s="73"/>
      <c r="AF979" s="73"/>
      <c r="AG979" s="73"/>
    </row>
    <row r="980" spans="2:33" x14ac:dyDescent="0.2">
      <c r="B980" s="73" t="s">
        <v>1491</v>
      </c>
      <c r="C980" s="73"/>
      <c r="D980" s="73"/>
      <c r="F980" s="73"/>
      <c r="G980" s="73"/>
      <c r="H980" s="73"/>
      <c r="P980" s="73"/>
      <c r="Q980" s="73"/>
      <c r="R980" s="73"/>
      <c r="S980" s="73"/>
      <c r="T980" s="73"/>
      <c r="U980" s="73"/>
      <c r="V980" s="73"/>
      <c r="W980" s="73"/>
      <c r="X980" s="73"/>
      <c r="Y980" s="73"/>
      <c r="Z980" s="73"/>
      <c r="AA980" s="73"/>
      <c r="AF980" s="73"/>
      <c r="AG980" s="73"/>
    </row>
    <row r="981" spans="2:33" x14ac:dyDescent="0.2">
      <c r="B981" s="73" t="s">
        <v>1490</v>
      </c>
      <c r="C981" s="73"/>
      <c r="D981" s="73"/>
      <c r="F981" s="73"/>
      <c r="G981" s="73"/>
      <c r="H981" s="73"/>
      <c r="P981" s="73"/>
      <c r="Q981" s="73"/>
      <c r="R981" s="73"/>
      <c r="S981" s="73"/>
      <c r="T981" s="73"/>
      <c r="U981" s="73"/>
      <c r="V981" s="73"/>
      <c r="W981" s="73"/>
      <c r="X981" s="73"/>
      <c r="Y981" s="73"/>
      <c r="Z981" s="73"/>
      <c r="AA981" s="73"/>
      <c r="AF981" s="73"/>
      <c r="AG981" s="73"/>
    </row>
    <row r="982" spans="2:33" x14ac:dyDescent="0.2">
      <c r="B982" s="73" t="s">
        <v>1489</v>
      </c>
      <c r="C982" s="73"/>
      <c r="D982" s="73"/>
      <c r="F982" s="73"/>
      <c r="G982" s="73"/>
      <c r="H982" s="73"/>
      <c r="P982" s="73"/>
      <c r="Q982" s="73"/>
      <c r="R982" s="73"/>
      <c r="S982" s="73"/>
      <c r="T982" s="73"/>
      <c r="U982" s="73"/>
      <c r="V982" s="73"/>
      <c r="W982" s="73"/>
      <c r="X982" s="73"/>
      <c r="Y982" s="73"/>
      <c r="Z982" s="73"/>
      <c r="AA982" s="73"/>
      <c r="AF982" s="73"/>
      <c r="AG982" s="73"/>
    </row>
    <row r="983" spans="2:33" x14ac:dyDescent="0.2">
      <c r="B983" s="73" t="s">
        <v>1488</v>
      </c>
      <c r="C983" s="73"/>
      <c r="D983" s="73"/>
      <c r="F983" s="73"/>
      <c r="G983" s="73"/>
      <c r="H983" s="73"/>
      <c r="P983" s="73"/>
      <c r="Q983" s="73"/>
      <c r="R983" s="73"/>
      <c r="S983" s="73"/>
      <c r="T983" s="73"/>
      <c r="U983" s="73"/>
      <c r="V983" s="73"/>
      <c r="W983" s="73"/>
      <c r="X983" s="73"/>
      <c r="Y983" s="73"/>
      <c r="Z983" s="73"/>
      <c r="AA983" s="73"/>
      <c r="AF983" s="73"/>
      <c r="AG983" s="73"/>
    </row>
    <row r="984" spans="2:33" x14ac:dyDescent="0.2">
      <c r="B984" s="73" t="s">
        <v>1487</v>
      </c>
      <c r="C984" s="73"/>
      <c r="D984" s="73"/>
      <c r="F984" s="73"/>
      <c r="G984" s="73"/>
      <c r="H984" s="73"/>
      <c r="P984" s="73"/>
      <c r="Q984" s="73"/>
      <c r="R984" s="73"/>
      <c r="S984" s="73"/>
      <c r="T984" s="73"/>
      <c r="U984" s="73"/>
      <c r="V984" s="73"/>
      <c r="W984" s="73"/>
      <c r="X984" s="73"/>
      <c r="Y984" s="73"/>
      <c r="Z984" s="73"/>
      <c r="AA984" s="73"/>
      <c r="AF984" s="73"/>
      <c r="AG984" s="73"/>
    </row>
    <row r="985" spans="2:33" x14ac:dyDescent="0.2">
      <c r="B985" s="73" t="s">
        <v>1486</v>
      </c>
      <c r="C985" s="73"/>
      <c r="D985" s="73"/>
      <c r="F985" s="73"/>
      <c r="G985" s="73"/>
      <c r="H985" s="73"/>
      <c r="P985" s="73"/>
      <c r="Q985" s="73"/>
      <c r="R985" s="73"/>
      <c r="S985" s="73"/>
      <c r="T985" s="73"/>
      <c r="U985" s="73"/>
      <c r="V985" s="73"/>
      <c r="W985" s="73"/>
      <c r="X985" s="73"/>
      <c r="Y985" s="73"/>
      <c r="Z985" s="73"/>
      <c r="AA985" s="73"/>
      <c r="AF985" s="73"/>
      <c r="AG985" s="73"/>
    </row>
    <row r="986" spans="2:33" x14ac:dyDescent="0.2">
      <c r="B986" s="73" t="s">
        <v>1485</v>
      </c>
      <c r="C986" s="73"/>
      <c r="D986" s="73"/>
      <c r="F986" s="73"/>
      <c r="G986" s="73"/>
      <c r="H986" s="73"/>
      <c r="P986" s="73"/>
      <c r="Q986" s="73"/>
      <c r="R986" s="73"/>
      <c r="S986" s="73"/>
      <c r="T986" s="73"/>
      <c r="U986" s="73"/>
      <c r="V986" s="73"/>
      <c r="W986" s="73"/>
      <c r="X986" s="73"/>
      <c r="Y986" s="73"/>
      <c r="Z986" s="73"/>
      <c r="AA986" s="73"/>
      <c r="AF986" s="73"/>
      <c r="AG986" s="73"/>
    </row>
    <row r="987" spans="2:33" x14ac:dyDescent="0.2">
      <c r="B987" s="73" t="s">
        <v>1484</v>
      </c>
      <c r="C987" s="73"/>
      <c r="D987" s="73"/>
      <c r="F987" s="73"/>
      <c r="G987" s="73"/>
      <c r="H987" s="73"/>
      <c r="P987" s="73"/>
      <c r="Q987" s="73"/>
      <c r="R987" s="73"/>
      <c r="S987" s="73"/>
      <c r="T987" s="73"/>
      <c r="U987" s="73"/>
      <c r="V987" s="73"/>
      <c r="W987" s="73"/>
      <c r="X987" s="73"/>
      <c r="Y987" s="73"/>
      <c r="Z987" s="73"/>
      <c r="AA987" s="73"/>
      <c r="AF987" s="73"/>
      <c r="AG987" s="73"/>
    </row>
    <row r="988" spans="2:33" x14ac:dyDescent="0.2">
      <c r="B988" s="73" t="s">
        <v>1483</v>
      </c>
      <c r="C988" s="73"/>
      <c r="D988" s="73"/>
      <c r="F988" s="73"/>
      <c r="G988" s="73"/>
      <c r="H988" s="73"/>
      <c r="P988" s="73"/>
      <c r="Q988" s="73"/>
      <c r="R988" s="73"/>
      <c r="S988" s="73"/>
      <c r="T988" s="73"/>
      <c r="U988" s="73"/>
      <c r="V988" s="73"/>
      <c r="W988" s="73"/>
      <c r="X988" s="73"/>
      <c r="Y988" s="73"/>
      <c r="Z988" s="73"/>
      <c r="AA988" s="73"/>
      <c r="AF988" s="73"/>
      <c r="AG988" s="73"/>
    </row>
    <row r="989" spans="2:33" x14ac:dyDescent="0.2">
      <c r="B989" s="73" t="s">
        <v>1482</v>
      </c>
      <c r="C989" s="73"/>
      <c r="D989" s="73"/>
      <c r="F989" s="73"/>
      <c r="G989" s="73"/>
      <c r="H989" s="73"/>
      <c r="P989" s="73"/>
      <c r="Q989" s="73"/>
      <c r="R989" s="73"/>
      <c r="S989" s="73"/>
      <c r="T989" s="73"/>
      <c r="U989" s="73"/>
      <c r="V989" s="73"/>
      <c r="W989" s="73"/>
      <c r="X989" s="73"/>
      <c r="Y989" s="73"/>
      <c r="Z989" s="73"/>
      <c r="AA989" s="73"/>
      <c r="AF989" s="73"/>
      <c r="AG989" s="73"/>
    </row>
    <row r="990" spans="2:33" x14ac:dyDescent="0.2">
      <c r="B990" s="73" t="s">
        <v>1481</v>
      </c>
      <c r="C990" s="73"/>
      <c r="D990" s="73"/>
      <c r="F990" s="73"/>
      <c r="G990" s="73"/>
      <c r="H990" s="73"/>
      <c r="P990" s="73"/>
      <c r="Q990" s="73"/>
      <c r="R990" s="73"/>
      <c r="S990" s="73"/>
      <c r="T990" s="73"/>
      <c r="U990" s="73"/>
      <c r="V990" s="73"/>
      <c r="W990" s="73"/>
      <c r="X990" s="73"/>
      <c r="Y990" s="73"/>
      <c r="Z990" s="73"/>
      <c r="AA990" s="73"/>
      <c r="AF990" s="73"/>
      <c r="AG990" s="73"/>
    </row>
    <row r="991" spans="2:33" x14ac:dyDescent="0.2">
      <c r="B991" s="73" t="s">
        <v>1480</v>
      </c>
      <c r="C991" s="73"/>
      <c r="D991" s="73"/>
      <c r="F991" s="73"/>
      <c r="G991" s="73"/>
      <c r="H991" s="73"/>
      <c r="P991" s="73"/>
      <c r="Q991" s="73"/>
      <c r="R991" s="73"/>
      <c r="S991" s="73"/>
      <c r="T991" s="73"/>
      <c r="U991" s="73"/>
      <c r="V991" s="73"/>
      <c r="W991" s="73"/>
      <c r="X991" s="73"/>
      <c r="Y991" s="73"/>
      <c r="Z991" s="73"/>
      <c r="AA991" s="73"/>
      <c r="AF991" s="73"/>
      <c r="AG991" s="73"/>
    </row>
    <row r="992" spans="2:33" x14ac:dyDescent="0.2">
      <c r="B992" s="73" t="s">
        <v>1479</v>
      </c>
      <c r="C992" s="73"/>
      <c r="D992" s="73"/>
      <c r="F992" s="73"/>
      <c r="G992" s="73"/>
      <c r="H992" s="73"/>
      <c r="P992" s="73"/>
      <c r="Q992" s="73"/>
      <c r="R992" s="73"/>
      <c r="S992" s="73"/>
      <c r="T992" s="73"/>
      <c r="U992" s="73"/>
      <c r="V992" s="73"/>
      <c r="W992" s="73"/>
      <c r="X992" s="73"/>
      <c r="Y992" s="73"/>
      <c r="Z992" s="73"/>
      <c r="AA992" s="73"/>
      <c r="AF992" s="73"/>
      <c r="AG992" s="73"/>
    </row>
    <row r="993" spans="2:33" x14ac:dyDescent="0.2">
      <c r="B993" s="73" t="s">
        <v>1478</v>
      </c>
      <c r="C993" s="73"/>
      <c r="D993" s="73"/>
      <c r="F993" s="73"/>
      <c r="G993" s="73"/>
      <c r="H993" s="73"/>
      <c r="P993" s="73"/>
      <c r="Q993" s="73"/>
      <c r="R993" s="73"/>
      <c r="S993" s="73"/>
      <c r="T993" s="73"/>
      <c r="U993" s="73"/>
      <c r="V993" s="73"/>
      <c r="W993" s="73"/>
      <c r="X993" s="73"/>
      <c r="Y993" s="73"/>
      <c r="Z993" s="73"/>
      <c r="AA993" s="73"/>
      <c r="AF993" s="73"/>
      <c r="AG993" s="73"/>
    </row>
    <row r="994" spans="2:33" x14ac:dyDescent="0.2">
      <c r="B994" s="73" t="s">
        <v>1477</v>
      </c>
    </row>
    <row r="995" spans="2:33" x14ac:dyDescent="0.2">
      <c r="B995" s="73" t="s">
        <v>1476</v>
      </c>
    </row>
    <row r="996" spans="2:33" x14ac:dyDescent="0.2">
      <c r="B996" s="73" t="s">
        <v>1475</v>
      </c>
    </row>
    <row r="997" spans="2:33" x14ac:dyDescent="0.2">
      <c r="B997" s="73" t="s">
        <v>1474</v>
      </c>
    </row>
    <row r="998" spans="2:33" x14ac:dyDescent="0.2">
      <c r="B998" s="73" t="s">
        <v>1473</v>
      </c>
    </row>
    <row r="999" spans="2:33" x14ac:dyDescent="0.2">
      <c r="B999" s="73" t="s">
        <v>1472</v>
      </c>
    </row>
    <row r="1000" spans="2:33" x14ac:dyDescent="0.2">
      <c r="B1000" s="73" t="s">
        <v>1471</v>
      </c>
    </row>
    <row r="1001" spans="2:33" x14ac:dyDescent="0.2">
      <c r="B1001" s="73" t="s">
        <v>1470</v>
      </c>
    </row>
    <row r="1002" spans="2:33" x14ac:dyDescent="0.2">
      <c r="B1002" s="73" t="s">
        <v>1469</v>
      </c>
      <c r="AE1002" s="25" t="s">
        <v>4304</v>
      </c>
      <c r="AF1002" s="64"/>
      <c r="AG1002" s="59"/>
    </row>
    <row r="1003" spans="2:33" x14ac:dyDescent="0.2">
      <c r="B1003" s="73" t="s">
        <v>1468</v>
      </c>
    </row>
    <row r="1004" spans="2:33" x14ac:dyDescent="0.2">
      <c r="B1004" s="73" t="s">
        <v>1467</v>
      </c>
    </row>
    <row r="1005" spans="2:33" x14ac:dyDescent="0.2">
      <c r="B1005" s="73" t="s">
        <v>1466</v>
      </c>
    </row>
    <row r="1006" spans="2:33" x14ac:dyDescent="0.2">
      <c r="B1006" s="73" t="s">
        <v>1465</v>
      </c>
    </row>
    <row r="1007" spans="2:33" x14ac:dyDescent="0.2">
      <c r="B1007" s="73" t="s">
        <v>1464</v>
      </c>
    </row>
    <row r="1008" spans="2:33" x14ac:dyDescent="0.2">
      <c r="B1008" s="73" t="s">
        <v>1463</v>
      </c>
    </row>
    <row r="1009" spans="2:33" x14ac:dyDescent="0.2">
      <c r="B1009" s="73" t="s">
        <v>1462</v>
      </c>
    </row>
    <row r="1010" spans="2:33" x14ac:dyDescent="0.2">
      <c r="B1010" s="73" t="s">
        <v>1461</v>
      </c>
      <c r="AF1010" s="73"/>
      <c r="AG1010" s="73"/>
    </row>
    <row r="1011" spans="2:33" x14ac:dyDescent="0.2">
      <c r="B1011" s="73" t="s">
        <v>1460</v>
      </c>
      <c r="AE1011" s="90"/>
      <c r="AF1011" s="73"/>
      <c r="AG1011" s="73"/>
    </row>
    <row r="1012" spans="2:33" x14ac:dyDescent="0.2">
      <c r="B1012" s="73" t="s">
        <v>1459</v>
      </c>
      <c r="AF1012" s="73"/>
      <c r="AG1012" s="73"/>
    </row>
    <row r="1013" spans="2:33" x14ac:dyDescent="0.2">
      <c r="B1013" s="73" t="s">
        <v>1458</v>
      </c>
      <c r="AF1013" s="73"/>
      <c r="AG1013" s="73"/>
    </row>
    <row r="1014" spans="2:33" x14ac:dyDescent="0.2">
      <c r="B1014" s="73" t="s">
        <v>1457</v>
      </c>
      <c r="AF1014" s="73"/>
      <c r="AG1014" s="73"/>
    </row>
    <row r="1015" spans="2:33" x14ac:dyDescent="0.2">
      <c r="B1015" s="73" t="s">
        <v>1456</v>
      </c>
      <c r="AF1015" s="73"/>
      <c r="AG1015" s="73"/>
    </row>
    <row r="1016" spans="2:33" x14ac:dyDescent="0.2">
      <c r="B1016" s="73" t="s">
        <v>1455</v>
      </c>
      <c r="AF1016" s="73"/>
      <c r="AG1016" s="73"/>
    </row>
    <row r="1017" spans="2:33" x14ac:dyDescent="0.2">
      <c r="B1017" s="73" t="s">
        <v>1454</v>
      </c>
      <c r="AF1017" s="73"/>
      <c r="AG1017" s="73"/>
    </row>
    <row r="1018" spans="2:33" x14ac:dyDescent="0.2">
      <c r="B1018" s="73" t="s">
        <v>1453</v>
      </c>
      <c r="AF1018" s="73"/>
      <c r="AG1018" s="73"/>
    </row>
    <row r="1019" spans="2:33" x14ac:dyDescent="0.2">
      <c r="B1019" s="73" t="s">
        <v>1452</v>
      </c>
      <c r="AF1019" s="73"/>
      <c r="AG1019" s="73"/>
    </row>
    <row r="1020" spans="2:33" x14ac:dyDescent="0.2">
      <c r="B1020" s="73" t="s">
        <v>1451</v>
      </c>
      <c r="AF1020" s="73"/>
      <c r="AG1020" s="73"/>
    </row>
    <row r="1021" spans="2:33" x14ac:dyDescent="0.2">
      <c r="B1021" s="73" t="s">
        <v>1450</v>
      </c>
      <c r="C1021" s="74" t="s">
        <v>2141</v>
      </c>
      <c r="AF1021" s="73"/>
      <c r="AG1021" s="73"/>
    </row>
    <row r="1022" spans="2:33" x14ac:dyDescent="0.2">
      <c r="B1022" s="73" t="s">
        <v>1449</v>
      </c>
      <c r="AF1022" s="73"/>
      <c r="AG1022" s="73"/>
    </row>
    <row r="1023" spans="2:33" x14ac:dyDescent="0.2">
      <c r="B1023" s="73" t="s">
        <v>1448</v>
      </c>
      <c r="AF1023" s="73"/>
      <c r="AG1023" s="73"/>
    </row>
    <row r="1024" spans="2:33" x14ac:dyDescent="0.2">
      <c r="B1024" s="73" t="s">
        <v>1447</v>
      </c>
      <c r="AF1024" s="73"/>
      <c r="AG1024" s="73"/>
    </row>
    <row r="1025" spans="2:33" x14ac:dyDescent="0.2">
      <c r="B1025" s="73" t="s">
        <v>1446</v>
      </c>
      <c r="AF1025" s="73"/>
      <c r="AG1025" s="73"/>
    </row>
    <row r="1026" spans="2:33" x14ac:dyDescent="0.2">
      <c r="B1026" s="73" t="s">
        <v>1445</v>
      </c>
      <c r="C1026" s="73"/>
      <c r="D1026" s="73"/>
      <c r="F1026" s="73"/>
      <c r="G1026" s="73"/>
      <c r="H1026" s="73"/>
      <c r="P1026" s="73"/>
      <c r="Q1026" s="73"/>
      <c r="R1026" s="73"/>
      <c r="S1026" s="73"/>
      <c r="T1026" s="73"/>
      <c r="U1026" s="73"/>
      <c r="V1026" s="73"/>
      <c r="W1026" s="73"/>
      <c r="X1026" s="73"/>
      <c r="Y1026" s="73"/>
      <c r="Z1026" s="73"/>
      <c r="AA1026" s="73"/>
      <c r="AF1026" s="73"/>
      <c r="AG1026" s="73"/>
    </row>
    <row r="1027" spans="2:33" x14ac:dyDescent="0.2">
      <c r="B1027" s="73" t="s">
        <v>1444</v>
      </c>
      <c r="C1027" s="73"/>
      <c r="D1027" s="73"/>
      <c r="F1027" s="73"/>
      <c r="G1027" s="73"/>
      <c r="H1027" s="73"/>
      <c r="P1027" s="73"/>
      <c r="Q1027" s="73"/>
      <c r="R1027" s="73"/>
      <c r="S1027" s="73"/>
      <c r="T1027" s="73"/>
      <c r="U1027" s="73"/>
      <c r="V1027" s="73"/>
      <c r="W1027" s="73"/>
      <c r="X1027" s="73"/>
      <c r="Y1027" s="73"/>
      <c r="Z1027" s="73"/>
      <c r="AA1027" s="73"/>
      <c r="AF1027" s="73"/>
      <c r="AG1027" s="73"/>
    </row>
    <row r="1028" spans="2:33" x14ac:dyDescent="0.2">
      <c r="B1028" s="73" t="s">
        <v>1443</v>
      </c>
      <c r="C1028" s="73"/>
      <c r="D1028" s="73"/>
      <c r="F1028" s="73"/>
      <c r="G1028" s="73"/>
      <c r="H1028" s="73"/>
      <c r="P1028" s="73"/>
      <c r="Q1028" s="73"/>
      <c r="R1028" s="73"/>
      <c r="S1028" s="73"/>
      <c r="T1028" s="73"/>
      <c r="U1028" s="73"/>
      <c r="V1028" s="73"/>
      <c r="W1028" s="73"/>
      <c r="X1028" s="73"/>
      <c r="Y1028" s="73"/>
      <c r="Z1028" s="73"/>
      <c r="AA1028" s="73"/>
      <c r="AF1028" s="73"/>
      <c r="AG1028" s="73"/>
    </row>
    <row r="1029" spans="2:33" x14ac:dyDescent="0.2">
      <c r="B1029" s="73" t="s">
        <v>1442</v>
      </c>
      <c r="C1029" s="73"/>
      <c r="D1029" s="73"/>
      <c r="F1029" s="73"/>
      <c r="G1029" s="73"/>
      <c r="H1029" s="73"/>
      <c r="P1029" s="73"/>
      <c r="Q1029" s="73"/>
      <c r="R1029" s="73"/>
      <c r="S1029" s="73"/>
      <c r="T1029" s="73"/>
      <c r="U1029" s="73"/>
      <c r="V1029" s="73"/>
      <c r="W1029" s="73"/>
      <c r="X1029" s="73"/>
      <c r="Y1029" s="73"/>
      <c r="Z1029" s="73"/>
      <c r="AA1029" s="73"/>
      <c r="AF1029" s="73"/>
      <c r="AG1029" s="73"/>
    </row>
    <row r="1030" spans="2:33" x14ac:dyDescent="0.2">
      <c r="B1030" s="73" t="s">
        <v>1441</v>
      </c>
      <c r="C1030" s="73"/>
      <c r="D1030" s="73"/>
      <c r="F1030" s="73"/>
      <c r="G1030" s="73"/>
      <c r="H1030" s="73"/>
      <c r="P1030" s="73"/>
      <c r="Q1030" s="73"/>
      <c r="R1030" s="73"/>
      <c r="S1030" s="73"/>
      <c r="T1030" s="73"/>
      <c r="U1030" s="73"/>
      <c r="V1030" s="73"/>
      <c r="W1030" s="73"/>
      <c r="X1030" s="73"/>
      <c r="Y1030" s="73"/>
      <c r="Z1030" s="73"/>
      <c r="AA1030" s="73"/>
      <c r="AF1030" s="73"/>
      <c r="AG1030" s="73"/>
    </row>
    <row r="1031" spans="2:33" x14ac:dyDescent="0.2">
      <c r="B1031" s="73" t="s">
        <v>1440</v>
      </c>
      <c r="C1031" s="73"/>
      <c r="D1031" s="73"/>
      <c r="F1031" s="73"/>
      <c r="G1031" s="73"/>
      <c r="H1031" s="73"/>
      <c r="P1031" s="73"/>
      <c r="Q1031" s="73"/>
      <c r="R1031" s="73"/>
      <c r="S1031" s="73"/>
      <c r="T1031" s="73"/>
      <c r="U1031" s="73"/>
      <c r="V1031" s="73"/>
      <c r="W1031" s="73"/>
      <c r="X1031" s="73"/>
      <c r="Y1031" s="73"/>
      <c r="Z1031" s="73"/>
      <c r="AA1031" s="73"/>
      <c r="AF1031" s="73"/>
      <c r="AG1031" s="73"/>
    </row>
    <row r="1032" spans="2:33" x14ac:dyDescent="0.2">
      <c r="B1032" s="73" t="s">
        <v>1439</v>
      </c>
      <c r="C1032" s="73"/>
      <c r="D1032" s="73"/>
      <c r="F1032" s="73"/>
      <c r="G1032" s="73"/>
      <c r="H1032" s="73"/>
      <c r="P1032" s="73"/>
      <c r="Q1032" s="73"/>
      <c r="R1032" s="73"/>
      <c r="S1032" s="73"/>
      <c r="T1032" s="73"/>
      <c r="U1032" s="73"/>
      <c r="V1032" s="73"/>
      <c r="W1032" s="73"/>
      <c r="X1032" s="73"/>
      <c r="Y1032" s="73"/>
      <c r="Z1032" s="73"/>
      <c r="AA1032" s="73"/>
      <c r="AF1032" s="73"/>
      <c r="AG1032" s="73"/>
    </row>
    <row r="1033" spans="2:33" x14ac:dyDescent="0.2">
      <c r="B1033" s="73" t="s">
        <v>1438</v>
      </c>
      <c r="C1033" s="73"/>
      <c r="D1033" s="73"/>
      <c r="F1033" s="73"/>
      <c r="G1033" s="73"/>
      <c r="H1033" s="73"/>
      <c r="P1033" s="73"/>
      <c r="Q1033" s="73"/>
      <c r="R1033" s="73"/>
      <c r="S1033" s="73"/>
      <c r="T1033" s="73"/>
      <c r="U1033" s="73"/>
      <c r="V1033" s="73"/>
      <c r="W1033" s="73"/>
      <c r="X1033" s="73"/>
      <c r="Y1033" s="73"/>
      <c r="Z1033" s="73"/>
      <c r="AA1033" s="73"/>
      <c r="AF1033" s="73"/>
      <c r="AG1033" s="73"/>
    </row>
    <row r="1034" spans="2:33" x14ac:dyDescent="0.2">
      <c r="B1034" s="73" t="s">
        <v>1437</v>
      </c>
      <c r="C1034" s="73"/>
      <c r="D1034" s="73"/>
      <c r="F1034" s="73"/>
      <c r="G1034" s="73"/>
      <c r="H1034" s="73"/>
      <c r="P1034" s="73"/>
      <c r="Q1034" s="73"/>
      <c r="R1034" s="73"/>
      <c r="S1034" s="73"/>
      <c r="T1034" s="73"/>
      <c r="U1034" s="73"/>
      <c r="V1034" s="73"/>
      <c r="W1034" s="73"/>
      <c r="X1034" s="73"/>
      <c r="Y1034" s="73"/>
      <c r="Z1034" s="73"/>
      <c r="AA1034" s="73"/>
      <c r="AF1034" s="73"/>
      <c r="AG1034" s="73"/>
    </row>
    <row r="1035" spans="2:33" x14ac:dyDescent="0.2">
      <c r="B1035" s="73" t="s">
        <v>490</v>
      </c>
      <c r="C1035" s="73"/>
      <c r="D1035" s="73"/>
      <c r="F1035" s="73"/>
      <c r="G1035" s="73"/>
      <c r="H1035" s="73"/>
      <c r="P1035" s="73"/>
      <c r="Q1035" s="73"/>
      <c r="R1035" s="73"/>
      <c r="S1035" s="73"/>
      <c r="T1035" s="73"/>
      <c r="U1035" s="73"/>
      <c r="V1035" s="73"/>
      <c r="W1035" s="73"/>
      <c r="X1035" s="73"/>
      <c r="Y1035" s="73"/>
      <c r="Z1035" s="73"/>
      <c r="AA1035" s="73"/>
      <c r="AF1035" s="73"/>
      <c r="AG1035" s="73"/>
    </row>
    <row r="1036" spans="2:33" x14ac:dyDescent="0.2">
      <c r="B1036" s="73" t="s">
        <v>1436</v>
      </c>
      <c r="C1036" s="73"/>
      <c r="D1036" s="73"/>
      <c r="F1036" s="73"/>
      <c r="G1036" s="73"/>
      <c r="H1036" s="73"/>
      <c r="P1036" s="73"/>
      <c r="Q1036" s="73"/>
      <c r="R1036" s="73"/>
      <c r="S1036" s="73"/>
      <c r="T1036" s="73"/>
      <c r="U1036" s="73"/>
      <c r="V1036" s="73"/>
      <c r="W1036" s="73"/>
      <c r="X1036" s="73"/>
      <c r="Y1036" s="73"/>
      <c r="Z1036" s="73"/>
      <c r="AA1036" s="73"/>
      <c r="AF1036" s="73"/>
      <c r="AG1036" s="73"/>
    </row>
    <row r="1037" spans="2:33" x14ac:dyDescent="0.2">
      <c r="B1037" s="73" t="s">
        <v>1435</v>
      </c>
      <c r="C1037" s="73"/>
      <c r="D1037" s="73"/>
      <c r="F1037" s="73"/>
      <c r="G1037" s="73"/>
      <c r="H1037" s="73"/>
      <c r="P1037" s="73"/>
      <c r="Q1037" s="73"/>
      <c r="R1037" s="73"/>
      <c r="S1037" s="73"/>
      <c r="T1037" s="73"/>
      <c r="U1037" s="73"/>
      <c r="V1037" s="73"/>
      <c r="W1037" s="73"/>
      <c r="X1037" s="73"/>
      <c r="Y1037" s="73"/>
      <c r="Z1037" s="73"/>
      <c r="AA1037" s="73"/>
      <c r="AF1037" s="73"/>
      <c r="AG1037" s="73"/>
    </row>
    <row r="1038" spans="2:33" x14ac:dyDescent="0.2">
      <c r="B1038" s="73" t="s">
        <v>1434</v>
      </c>
      <c r="C1038" s="73"/>
      <c r="D1038" s="73"/>
      <c r="F1038" s="73"/>
      <c r="G1038" s="73"/>
      <c r="H1038" s="73"/>
      <c r="P1038" s="73"/>
      <c r="Q1038" s="73"/>
      <c r="R1038" s="73"/>
      <c r="S1038" s="73"/>
      <c r="T1038" s="73"/>
      <c r="U1038" s="73"/>
      <c r="V1038" s="73"/>
      <c r="W1038" s="73"/>
      <c r="X1038" s="73"/>
      <c r="Y1038" s="73"/>
      <c r="Z1038" s="73"/>
      <c r="AA1038" s="73"/>
      <c r="AF1038" s="73"/>
      <c r="AG1038" s="73"/>
    </row>
    <row r="1039" spans="2:33" x14ac:dyDescent="0.2">
      <c r="B1039" s="73" t="s">
        <v>1433</v>
      </c>
      <c r="C1039" s="73"/>
      <c r="D1039" s="73"/>
      <c r="F1039" s="73"/>
      <c r="G1039" s="73"/>
      <c r="H1039" s="73"/>
      <c r="P1039" s="73"/>
      <c r="Q1039" s="73"/>
      <c r="R1039" s="73"/>
      <c r="S1039" s="73"/>
      <c r="T1039" s="73"/>
      <c r="U1039" s="73"/>
      <c r="V1039" s="73"/>
      <c r="W1039" s="73"/>
      <c r="X1039" s="73"/>
      <c r="Y1039" s="73"/>
      <c r="Z1039" s="73"/>
      <c r="AA1039" s="73"/>
      <c r="AF1039" s="73"/>
      <c r="AG1039" s="73"/>
    </row>
    <row r="1040" spans="2:33" x14ac:dyDescent="0.2">
      <c r="B1040" s="73" t="s">
        <v>1432</v>
      </c>
      <c r="C1040" s="73"/>
      <c r="D1040" s="73"/>
      <c r="F1040" s="73"/>
      <c r="G1040" s="73"/>
      <c r="H1040" s="73"/>
      <c r="P1040" s="73"/>
      <c r="Q1040" s="73"/>
      <c r="R1040" s="73"/>
      <c r="S1040" s="73"/>
      <c r="T1040" s="73"/>
      <c r="U1040" s="73"/>
      <c r="V1040" s="73"/>
      <c r="W1040" s="73"/>
      <c r="X1040" s="73"/>
      <c r="Y1040" s="73"/>
      <c r="Z1040" s="73"/>
      <c r="AA1040" s="73"/>
      <c r="AF1040" s="73"/>
      <c r="AG1040" s="73"/>
    </row>
    <row r="1041" spans="2:33" x14ac:dyDescent="0.2">
      <c r="B1041" s="73" t="s">
        <v>1431</v>
      </c>
      <c r="C1041" s="73"/>
      <c r="D1041" s="73"/>
      <c r="F1041" s="73"/>
      <c r="G1041" s="73"/>
      <c r="H1041" s="73"/>
      <c r="P1041" s="73"/>
      <c r="Q1041" s="73"/>
      <c r="R1041" s="73"/>
      <c r="S1041" s="73"/>
      <c r="T1041" s="73"/>
      <c r="U1041" s="73"/>
      <c r="V1041" s="73"/>
      <c r="W1041" s="73"/>
      <c r="X1041" s="73"/>
      <c r="Y1041" s="73"/>
      <c r="Z1041" s="73"/>
      <c r="AA1041" s="73"/>
      <c r="AF1041" s="73"/>
      <c r="AG1041" s="73"/>
    </row>
    <row r="1042" spans="2:33" x14ac:dyDescent="0.2">
      <c r="B1042" s="73" t="s">
        <v>1430</v>
      </c>
      <c r="C1042" s="73"/>
      <c r="D1042" s="73"/>
      <c r="F1042" s="73"/>
      <c r="G1042" s="73"/>
      <c r="H1042" s="73"/>
      <c r="P1042" s="73"/>
      <c r="Q1042" s="73"/>
      <c r="R1042" s="73"/>
      <c r="S1042" s="73"/>
      <c r="T1042" s="73"/>
      <c r="U1042" s="73"/>
      <c r="V1042" s="73"/>
      <c r="W1042" s="73"/>
      <c r="X1042" s="73"/>
      <c r="Y1042" s="73"/>
      <c r="Z1042" s="73"/>
      <c r="AA1042" s="73"/>
      <c r="AF1042" s="73"/>
      <c r="AG1042" s="73"/>
    </row>
    <row r="1043" spans="2:33" x14ac:dyDescent="0.2">
      <c r="B1043" s="73" t="s">
        <v>1429</v>
      </c>
      <c r="C1043" s="73"/>
      <c r="D1043" s="73"/>
      <c r="F1043" s="73"/>
      <c r="G1043" s="73"/>
      <c r="H1043" s="73"/>
      <c r="P1043" s="73"/>
      <c r="Q1043" s="73"/>
      <c r="R1043" s="73"/>
      <c r="S1043" s="73"/>
      <c r="T1043" s="73"/>
      <c r="U1043" s="73"/>
      <c r="V1043" s="73"/>
      <c r="W1043" s="73"/>
      <c r="X1043" s="73"/>
      <c r="Y1043" s="73"/>
      <c r="Z1043" s="73"/>
      <c r="AA1043" s="73"/>
      <c r="AF1043" s="73"/>
      <c r="AG1043" s="73"/>
    </row>
    <row r="1044" spans="2:33" x14ac:dyDescent="0.2">
      <c r="B1044" s="73" t="s">
        <v>1428</v>
      </c>
      <c r="C1044" s="73"/>
      <c r="D1044" s="73"/>
      <c r="F1044" s="73"/>
      <c r="G1044" s="73"/>
      <c r="H1044" s="73"/>
      <c r="P1044" s="73"/>
      <c r="Q1044" s="73"/>
      <c r="R1044" s="73"/>
      <c r="S1044" s="73"/>
      <c r="T1044" s="73"/>
      <c r="U1044" s="73"/>
      <c r="V1044" s="73"/>
      <c r="W1044" s="73"/>
      <c r="X1044" s="73"/>
      <c r="Y1044" s="73"/>
      <c r="Z1044" s="73"/>
      <c r="AA1044" s="73"/>
      <c r="AF1044" s="73"/>
      <c r="AG1044" s="73"/>
    </row>
    <row r="1045" spans="2:33" x14ac:dyDescent="0.2">
      <c r="B1045" s="73" t="s">
        <v>1427</v>
      </c>
      <c r="C1045" s="73"/>
      <c r="D1045" s="73"/>
      <c r="F1045" s="73"/>
      <c r="G1045" s="73"/>
      <c r="H1045" s="73"/>
      <c r="P1045" s="73"/>
      <c r="Q1045" s="73"/>
      <c r="R1045" s="73"/>
      <c r="S1045" s="73"/>
      <c r="T1045" s="73"/>
      <c r="U1045" s="73"/>
      <c r="V1045" s="73"/>
      <c r="W1045" s="73"/>
      <c r="X1045" s="73"/>
      <c r="Y1045" s="73"/>
      <c r="Z1045" s="73"/>
      <c r="AA1045" s="73"/>
      <c r="AF1045" s="73"/>
      <c r="AG1045" s="73"/>
    </row>
    <row r="1046" spans="2:33" x14ac:dyDescent="0.2">
      <c r="B1046" s="73" t="s">
        <v>1426</v>
      </c>
      <c r="C1046" s="73"/>
      <c r="D1046" s="73"/>
      <c r="F1046" s="73"/>
      <c r="G1046" s="73"/>
      <c r="H1046" s="73"/>
      <c r="P1046" s="73"/>
      <c r="Q1046" s="73"/>
      <c r="R1046" s="73"/>
      <c r="S1046" s="73"/>
      <c r="T1046" s="73"/>
      <c r="U1046" s="73"/>
      <c r="V1046" s="73"/>
      <c r="W1046" s="73"/>
      <c r="X1046" s="73"/>
      <c r="Y1046" s="73"/>
      <c r="Z1046" s="73"/>
      <c r="AA1046" s="73"/>
      <c r="AF1046" s="73"/>
      <c r="AG1046" s="73"/>
    </row>
    <row r="1047" spans="2:33" x14ac:dyDescent="0.2">
      <c r="B1047" s="73" t="s">
        <v>1425</v>
      </c>
      <c r="C1047" s="73"/>
      <c r="D1047" s="73"/>
      <c r="F1047" s="73"/>
      <c r="G1047" s="73"/>
      <c r="H1047" s="73"/>
      <c r="P1047" s="73"/>
      <c r="Q1047" s="73"/>
      <c r="R1047" s="73"/>
      <c r="S1047" s="73"/>
      <c r="T1047" s="73"/>
      <c r="U1047" s="73"/>
      <c r="V1047" s="73"/>
      <c r="W1047" s="73"/>
      <c r="X1047" s="73"/>
      <c r="Y1047" s="73"/>
      <c r="Z1047" s="73"/>
      <c r="AA1047" s="73"/>
      <c r="AF1047" s="73"/>
      <c r="AG1047" s="73"/>
    </row>
    <row r="1048" spans="2:33" x14ac:dyDescent="0.2">
      <c r="B1048" s="73" t="s">
        <v>1424</v>
      </c>
      <c r="C1048" s="73"/>
      <c r="D1048" s="73"/>
      <c r="F1048" s="73"/>
      <c r="G1048" s="73"/>
      <c r="H1048" s="73"/>
      <c r="P1048" s="73"/>
      <c r="Q1048" s="73"/>
      <c r="R1048" s="73"/>
      <c r="S1048" s="73"/>
      <c r="T1048" s="73"/>
      <c r="U1048" s="73"/>
      <c r="V1048" s="73"/>
      <c r="W1048" s="73"/>
      <c r="X1048" s="73"/>
      <c r="Y1048" s="73"/>
      <c r="Z1048" s="73"/>
      <c r="AA1048" s="73"/>
      <c r="AF1048" s="73"/>
      <c r="AG1048" s="73"/>
    </row>
    <row r="1049" spans="2:33" x14ac:dyDescent="0.2">
      <c r="B1049" s="73" t="s">
        <v>1423</v>
      </c>
      <c r="C1049" s="73"/>
      <c r="D1049" s="73"/>
      <c r="F1049" s="73"/>
      <c r="G1049" s="73"/>
      <c r="H1049" s="73"/>
      <c r="P1049" s="73"/>
      <c r="Q1049" s="73"/>
      <c r="R1049" s="73"/>
      <c r="S1049" s="73"/>
      <c r="T1049" s="73"/>
      <c r="U1049" s="73"/>
      <c r="V1049" s="73"/>
      <c r="W1049" s="73"/>
      <c r="X1049" s="73"/>
      <c r="Y1049" s="73"/>
      <c r="Z1049" s="73"/>
      <c r="AA1049" s="73"/>
      <c r="AF1049" s="73"/>
      <c r="AG1049" s="73"/>
    </row>
    <row r="1050" spans="2:33" x14ac:dyDescent="0.2">
      <c r="B1050" s="73" t="s">
        <v>1422</v>
      </c>
      <c r="C1050" s="73"/>
      <c r="D1050" s="73"/>
      <c r="F1050" s="73"/>
      <c r="G1050" s="73"/>
      <c r="H1050" s="73"/>
      <c r="P1050" s="73"/>
      <c r="Q1050" s="73"/>
      <c r="R1050" s="73"/>
      <c r="S1050" s="73"/>
      <c r="T1050" s="73"/>
      <c r="U1050" s="73"/>
      <c r="V1050" s="73"/>
      <c r="W1050" s="73"/>
      <c r="X1050" s="73"/>
      <c r="Y1050" s="73"/>
      <c r="Z1050" s="73"/>
      <c r="AA1050" s="73"/>
      <c r="AF1050" s="73"/>
      <c r="AG1050" s="73"/>
    </row>
    <row r="1051" spans="2:33" x14ac:dyDescent="0.2">
      <c r="B1051" s="73" t="s">
        <v>1421</v>
      </c>
      <c r="C1051" s="73"/>
      <c r="D1051" s="73"/>
      <c r="F1051" s="73"/>
      <c r="G1051" s="73"/>
      <c r="H1051" s="73"/>
      <c r="P1051" s="73"/>
      <c r="Q1051" s="73"/>
      <c r="R1051" s="73"/>
      <c r="S1051" s="73"/>
      <c r="T1051" s="73"/>
      <c r="U1051" s="73"/>
      <c r="V1051" s="73"/>
      <c r="W1051" s="73"/>
      <c r="X1051" s="73"/>
      <c r="Y1051" s="73"/>
      <c r="Z1051" s="73"/>
      <c r="AA1051" s="73"/>
      <c r="AF1051" s="73"/>
      <c r="AG1051" s="73"/>
    </row>
    <row r="1052" spans="2:33" x14ac:dyDescent="0.2">
      <c r="B1052" s="73" t="s">
        <v>1420</v>
      </c>
      <c r="C1052" s="73"/>
      <c r="D1052" s="73"/>
      <c r="F1052" s="73"/>
      <c r="G1052" s="73"/>
      <c r="H1052" s="73"/>
      <c r="P1052" s="73"/>
      <c r="Q1052" s="73"/>
      <c r="R1052" s="73"/>
      <c r="S1052" s="73"/>
      <c r="T1052" s="73"/>
      <c r="U1052" s="73"/>
      <c r="V1052" s="73"/>
      <c r="W1052" s="73"/>
      <c r="X1052" s="73"/>
      <c r="Y1052" s="73"/>
      <c r="Z1052" s="73"/>
      <c r="AA1052" s="73"/>
      <c r="AF1052" s="73"/>
      <c r="AG1052" s="73"/>
    </row>
    <row r="1053" spans="2:33" x14ac:dyDescent="0.2">
      <c r="B1053" s="73" t="s">
        <v>1419</v>
      </c>
      <c r="C1053" s="73"/>
      <c r="D1053" s="73"/>
      <c r="F1053" s="73"/>
      <c r="G1053" s="73"/>
      <c r="H1053" s="73"/>
      <c r="P1053" s="73"/>
      <c r="Q1053" s="73"/>
      <c r="R1053" s="73"/>
      <c r="S1053" s="73"/>
      <c r="T1053" s="73"/>
      <c r="U1053" s="73"/>
      <c r="V1053" s="73"/>
      <c r="W1053" s="73"/>
      <c r="X1053" s="73"/>
      <c r="Y1053" s="73"/>
      <c r="Z1053" s="73"/>
      <c r="AA1053" s="73"/>
      <c r="AF1053" s="73"/>
      <c r="AG1053" s="73"/>
    </row>
    <row r="1054" spans="2:33" x14ac:dyDescent="0.2">
      <c r="B1054" s="73" t="s">
        <v>1418</v>
      </c>
      <c r="C1054" s="73"/>
      <c r="D1054" s="73"/>
      <c r="F1054" s="73"/>
      <c r="G1054" s="73"/>
      <c r="H1054" s="73"/>
      <c r="P1054" s="73"/>
      <c r="Q1054" s="73"/>
      <c r="R1054" s="73"/>
      <c r="S1054" s="73"/>
      <c r="T1054" s="73"/>
      <c r="U1054" s="73"/>
      <c r="V1054" s="73"/>
      <c r="W1054" s="73"/>
      <c r="X1054" s="73"/>
      <c r="Y1054" s="73"/>
      <c r="Z1054" s="73"/>
      <c r="AA1054" s="73"/>
      <c r="AF1054" s="73"/>
      <c r="AG1054" s="73"/>
    </row>
    <row r="1055" spans="2:33" x14ac:dyDescent="0.2">
      <c r="B1055" s="73" t="s">
        <v>1417</v>
      </c>
      <c r="C1055" s="73"/>
      <c r="D1055" s="73"/>
      <c r="F1055" s="73"/>
      <c r="G1055" s="73"/>
      <c r="H1055" s="73"/>
      <c r="P1055" s="73"/>
      <c r="Q1055" s="73"/>
      <c r="R1055" s="73"/>
      <c r="S1055" s="73"/>
      <c r="T1055" s="73"/>
      <c r="U1055" s="73"/>
      <c r="V1055" s="73"/>
      <c r="W1055" s="73"/>
      <c r="X1055" s="73"/>
      <c r="Y1055" s="73"/>
      <c r="Z1055" s="73"/>
      <c r="AA1055" s="73"/>
      <c r="AF1055" s="73"/>
      <c r="AG1055" s="73"/>
    </row>
    <row r="1056" spans="2:33" x14ac:dyDescent="0.2">
      <c r="B1056" s="73" t="s">
        <v>1416</v>
      </c>
      <c r="C1056" s="73"/>
      <c r="D1056" s="73"/>
      <c r="F1056" s="73"/>
      <c r="G1056" s="73"/>
      <c r="H1056" s="73"/>
      <c r="P1056" s="73"/>
      <c r="Q1056" s="73"/>
      <c r="R1056" s="73"/>
      <c r="S1056" s="73"/>
      <c r="T1056" s="73"/>
      <c r="U1056" s="73"/>
      <c r="V1056" s="73"/>
      <c r="W1056" s="73"/>
      <c r="X1056" s="73"/>
      <c r="Y1056" s="73"/>
      <c r="Z1056" s="73"/>
      <c r="AA1056" s="73"/>
      <c r="AF1056" s="73"/>
      <c r="AG1056" s="73"/>
    </row>
    <row r="1057" spans="2:33" x14ac:dyDescent="0.2">
      <c r="B1057" s="73" t="s">
        <v>1415</v>
      </c>
      <c r="C1057" s="73"/>
      <c r="D1057" s="73"/>
      <c r="F1057" s="73"/>
      <c r="G1057" s="73"/>
      <c r="H1057" s="73"/>
      <c r="P1057" s="73"/>
      <c r="Q1057" s="73"/>
      <c r="R1057" s="73"/>
      <c r="S1057" s="73"/>
      <c r="T1057" s="73"/>
      <c r="U1057" s="73"/>
      <c r="V1057" s="73"/>
      <c r="W1057" s="73"/>
      <c r="X1057" s="73"/>
      <c r="Y1057" s="73"/>
      <c r="Z1057" s="73"/>
      <c r="AA1057" s="73"/>
      <c r="AF1057" s="73"/>
      <c r="AG1057" s="73"/>
    </row>
    <row r="1058" spans="2:33" x14ac:dyDescent="0.2">
      <c r="B1058" s="73" t="s">
        <v>1414</v>
      </c>
      <c r="C1058" s="73"/>
      <c r="D1058" s="73"/>
      <c r="F1058" s="73"/>
      <c r="G1058" s="73"/>
      <c r="H1058" s="73"/>
      <c r="P1058" s="73"/>
      <c r="Q1058" s="73"/>
      <c r="R1058" s="73"/>
      <c r="S1058" s="73"/>
      <c r="T1058" s="73"/>
      <c r="U1058" s="73"/>
      <c r="V1058" s="73"/>
      <c r="W1058" s="73"/>
      <c r="X1058" s="73"/>
      <c r="Y1058" s="73"/>
      <c r="Z1058" s="73"/>
      <c r="AA1058" s="73"/>
      <c r="AF1058" s="73"/>
      <c r="AG1058" s="73"/>
    </row>
    <row r="1059" spans="2:33" x14ac:dyDescent="0.2">
      <c r="B1059" s="73" t="s">
        <v>1413</v>
      </c>
      <c r="C1059" s="73"/>
      <c r="D1059" s="73"/>
      <c r="F1059" s="73"/>
      <c r="G1059" s="73"/>
      <c r="H1059" s="73"/>
      <c r="P1059" s="73"/>
      <c r="Q1059" s="73"/>
      <c r="R1059" s="73"/>
      <c r="S1059" s="73"/>
      <c r="T1059" s="73"/>
      <c r="U1059" s="73"/>
      <c r="V1059" s="73"/>
      <c r="W1059" s="73"/>
      <c r="X1059" s="73"/>
      <c r="Y1059" s="73"/>
      <c r="Z1059" s="73"/>
      <c r="AA1059" s="73"/>
      <c r="AF1059" s="73"/>
      <c r="AG1059" s="73"/>
    </row>
    <row r="1060" spans="2:33" x14ac:dyDescent="0.2">
      <c r="B1060" s="73" t="s">
        <v>1412</v>
      </c>
      <c r="C1060" s="73"/>
      <c r="D1060" s="73"/>
      <c r="F1060" s="73"/>
      <c r="G1060" s="73"/>
      <c r="H1060" s="73"/>
      <c r="P1060" s="73"/>
      <c r="Q1060" s="73"/>
      <c r="R1060" s="73"/>
      <c r="S1060" s="73"/>
      <c r="T1060" s="73"/>
      <c r="U1060" s="73"/>
      <c r="V1060" s="73"/>
      <c r="W1060" s="73"/>
      <c r="X1060" s="73"/>
      <c r="Y1060" s="73"/>
      <c r="Z1060" s="73"/>
      <c r="AA1060" s="73"/>
      <c r="AF1060" s="73"/>
      <c r="AG1060" s="73"/>
    </row>
    <row r="1061" spans="2:33" x14ac:dyDescent="0.2">
      <c r="B1061" s="73" t="s">
        <v>1411</v>
      </c>
      <c r="C1061" s="73"/>
      <c r="D1061" s="73"/>
      <c r="F1061" s="73"/>
      <c r="G1061" s="73"/>
      <c r="H1061" s="73"/>
      <c r="P1061" s="73"/>
      <c r="Q1061" s="73"/>
      <c r="R1061" s="73"/>
      <c r="S1061" s="73"/>
      <c r="T1061" s="73"/>
      <c r="U1061" s="73"/>
      <c r="V1061" s="73"/>
      <c r="W1061" s="73"/>
      <c r="X1061" s="73"/>
      <c r="Y1061" s="73"/>
      <c r="Z1061" s="73"/>
      <c r="AA1061" s="73"/>
      <c r="AF1061" s="73"/>
      <c r="AG1061" s="73"/>
    </row>
    <row r="1062" spans="2:33" x14ac:dyDescent="0.2">
      <c r="B1062" s="73" t="s">
        <v>1410</v>
      </c>
      <c r="C1062" s="73"/>
      <c r="D1062" s="73"/>
      <c r="F1062" s="73"/>
      <c r="G1062" s="73"/>
      <c r="H1062" s="73"/>
      <c r="P1062" s="73"/>
      <c r="Q1062" s="73"/>
      <c r="R1062" s="73"/>
      <c r="S1062" s="73"/>
      <c r="T1062" s="73"/>
      <c r="U1062" s="73"/>
      <c r="V1062" s="73"/>
      <c r="W1062" s="73"/>
      <c r="X1062" s="73"/>
      <c r="Y1062" s="73"/>
      <c r="Z1062" s="73"/>
      <c r="AA1062" s="73"/>
      <c r="AF1062" s="73"/>
      <c r="AG1062" s="73"/>
    </row>
    <row r="1063" spans="2:33" x14ac:dyDescent="0.2">
      <c r="B1063" s="73" t="s">
        <v>1409</v>
      </c>
      <c r="C1063" s="73"/>
      <c r="D1063" s="73"/>
      <c r="F1063" s="73"/>
      <c r="G1063" s="73"/>
      <c r="H1063" s="73"/>
      <c r="P1063" s="73"/>
      <c r="Q1063" s="73"/>
      <c r="R1063" s="73"/>
      <c r="S1063" s="73"/>
      <c r="T1063" s="73"/>
      <c r="U1063" s="73"/>
      <c r="V1063" s="73"/>
      <c r="W1063" s="73"/>
      <c r="X1063" s="73"/>
      <c r="Y1063" s="73"/>
      <c r="Z1063" s="73"/>
      <c r="AA1063" s="73"/>
      <c r="AF1063" s="73"/>
      <c r="AG1063" s="73"/>
    </row>
    <row r="1064" spans="2:33" x14ac:dyDescent="0.2">
      <c r="B1064" s="73" t="s">
        <v>1408</v>
      </c>
      <c r="C1064" s="73"/>
      <c r="D1064" s="73"/>
      <c r="F1064" s="73"/>
      <c r="G1064" s="73"/>
      <c r="H1064" s="73"/>
      <c r="P1064" s="73"/>
      <c r="Q1064" s="73"/>
      <c r="R1064" s="73"/>
      <c r="S1064" s="73"/>
      <c r="T1064" s="73"/>
      <c r="U1064" s="73"/>
      <c r="V1064" s="73"/>
      <c r="W1064" s="73"/>
      <c r="X1064" s="73"/>
      <c r="Y1064" s="73"/>
      <c r="Z1064" s="73"/>
      <c r="AA1064" s="73"/>
      <c r="AF1064" s="73"/>
      <c r="AG1064" s="73"/>
    </row>
    <row r="1065" spans="2:33" x14ac:dyDescent="0.2">
      <c r="B1065" s="73" t="s">
        <v>1407</v>
      </c>
      <c r="C1065" s="73"/>
      <c r="D1065" s="73"/>
      <c r="F1065" s="73"/>
      <c r="G1065" s="73"/>
      <c r="H1065" s="73"/>
      <c r="P1065" s="73"/>
      <c r="Q1065" s="73"/>
      <c r="R1065" s="73"/>
      <c r="S1065" s="73"/>
      <c r="T1065" s="73"/>
      <c r="U1065" s="73"/>
      <c r="V1065" s="73"/>
      <c r="W1065" s="73"/>
      <c r="X1065" s="73"/>
      <c r="Y1065" s="73"/>
      <c r="Z1065" s="73"/>
      <c r="AA1065" s="73"/>
      <c r="AF1065" s="73"/>
      <c r="AG1065" s="73"/>
    </row>
    <row r="1066" spans="2:33" x14ac:dyDescent="0.2">
      <c r="B1066" s="73" t="s">
        <v>1406</v>
      </c>
      <c r="C1066" s="73"/>
      <c r="D1066" s="73"/>
      <c r="F1066" s="73"/>
      <c r="G1066" s="73"/>
      <c r="H1066" s="73"/>
      <c r="P1066" s="73"/>
      <c r="Q1066" s="73"/>
      <c r="R1066" s="73"/>
      <c r="S1066" s="73"/>
      <c r="T1066" s="73"/>
      <c r="U1066" s="73"/>
      <c r="V1066" s="73"/>
      <c r="W1066" s="73"/>
      <c r="X1066" s="73"/>
      <c r="Y1066" s="73"/>
      <c r="Z1066" s="73"/>
      <c r="AA1066" s="73"/>
      <c r="AF1066" s="73"/>
      <c r="AG1066" s="73"/>
    </row>
    <row r="1067" spans="2:33" x14ac:dyDescent="0.2">
      <c r="B1067" s="73" t="s">
        <v>1405</v>
      </c>
      <c r="C1067" s="73"/>
      <c r="D1067" s="73"/>
      <c r="F1067" s="73"/>
      <c r="G1067" s="73"/>
      <c r="H1067" s="73"/>
      <c r="P1067" s="73"/>
      <c r="Q1067" s="73"/>
      <c r="R1067" s="73"/>
      <c r="S1067" s="73"/>
      <c r="T1067" s="73"/>
      <c r="U1067" s="73"/>
      <c r="V1067" s="73"/>
      <c r="W1067" s="73"/>
      <c r="X1067" s="73"/>
      <c r="Y1067" s="73"/>
      <c r="Z1067" s="73"/>
      <c r="AA1067" s="73"/>
      <c r="AF1067" s="73"/>
      <c r="AG1067" s="73"/>
    </row>
    <row r="1068" spans="2:33" x14ac:dyDescent="0.2">
      <c r="B1068" s="73" t="s">
        <v>1404</v>
      </c>
      <c r="C1068" s="73"/>
      <c r="D1068" s="73"/>
      <c r="F1068" s="73"/>
      <c r="G1068" s="73"/>
      <c r="H1068" s="73"/>
      <c r="P1068" s="73"/>
      <c r="Q1068" s="73"/>
      <c r="R1068" s="73"/>
      <c r="S1068" s="73"/>
      <c r="T1068" s="73"/>
      <c r="U1068" s="73"/>
      <c r="V1068" s="73"/>
      <c r="W1068" s="73"/>
      <c r="X1068" s="73"/>
      <c r="Y1068" s="73"/>
      <c r="Z1068" s="73"/>
      <c r="AA1068" s="73"/>
      <c r="AF1068" s="73"/>
      <c r="AG1068" s="73"/>
    </row>
    <row r="1069" spans="2:33" x14ac:dyDescent="0.2">
      <c r="B1069" s="73" t="s">
        <v>1403</v>
      </c>
      <c r="C1069" s="73"/>
      <c r="D1069" s="73"/>
      <c r="F1069" s="73"/>
      <c r="G1069" s="73"/>
      <c r="H1069" s="73"/>
      <c r="P1069" s="73"/>
      <c r="Q1069" s="73"/>
      <c r="R1069" s="73"/>
      <c r="S1069" s="73"/>
      <c r="T1069" s="73"/>
      <c r="U1069" s="73"/>
      <c r="V1069" s="73"/>
      <c r="W1069" s="73"/>
      <c r="X1069" s="73"/>
      <c r="Y1069" s="73"/>
      <c r="Z1069" s="73"/>
      <c r="AA1069" s="73"/>
      <c r="AF1069" s="73"/>
      <c r="AG1069" s="73"/>
    </row>
    <row r="1070" spans="2:33" x14ac:dyDescent="0.2">
      <c r="B1070" s="73" t="s">
        <v>1402</v>
      </c>
      <c r="C1070" s="73"/>
      <c r="D1070" s="73"/>
      <c r="F1070" s="73"/>
      <c r="G1070" s="73"/>
      <c r="H1070" s="73"/>
      <c r="P1070" s="73"/>
      <c r="Q1070" s="73"/>
      <c r="R1070" s="73"/>
      <c r="S1070" s="73"/>
      <c r="T1070" s="73"/>
      <c r="U1070" s="73"/>
      <c r="V1070" s="73"/>
      <c r="W1070" s="73"/>
      <c r="X1070" s="73"/>
      <c r="Y1070" s="73"/>
      <c r="Z1070" s="73"/>
      <c r="AA1070" s="73"/>
      <c r="AF1070" s="73"/>
      <c r="AG1070" s="73"/>
    </row>
    <row r="1071" spans="2:33" x14ac:dyDescent="0.2">
      <c r="B1071" s="73" t="s">
        <v>1401</v>
      </c>
      <c r="C1071" s="73"/>
      <c r="D1071" s="73"/>
      <c r="F1071" s="73"/>
      <c r="G1071" s="73"/>
      <c r="H1071" s="73"/>
      <c r="P1071" s="73"/>
      <c r="Q1071" s="73"/>
      <c r="R1071" s="73"/>
      <c r="S1071" s="73"/>
      <c r="T1071" s="73"/>
      <c r="U1071" s="73"/>
      <c r="V1071" s="73"/>
      <c r="W1071" s="73"/>
      <c r="X1071" s="73"/>
      <c r="Y1071" s="73"/>
      <c r="Z1071" s="73"/>
      <c r="AA1071" s="73"/>
      <c r="AF1071" s="73"/>
      <c r="AG1071" s="73"/>
    </row>
    <row r="1072" spans="2:33" x14ac:dyDescent="0.2">
      <c r="B1072" s="73" t="s">
        <v>1400</v>
      </c>
      <c r="C1072" s="73"/>
      <c r="D1072" s="73"/>
      <c r="F1072" s="73"/>
      <c r="G1072" s="73"/>
      <c r="H1072" s="73"/>
      <c r="P1072" s="73"/>
      <c r="Q1072" s="73"/>
      <c r="R1072" s="73"/>
      <c r="S1072" s="73"/>
      <c r="T1072" s="73"/>
      <c r="U1072" s="73"/>
      <c r="V1072" s="73"/>
      <c r="W1072" s="73"/>
      <c r="X1072" s="73"/>
      <c r="Y1072" s="73"/>
      <c r="Z1072" s="73"/>
      <c r="AA1072" s="73"/>
      <c r="AF1072" s="73"/>
      <c r="AG1072" s="73"/>
    </row>
    <row r="1073" spans="2:33" x14ac:dyDescent="0.2">
      <c r="B1073" s="73" t="s">
        <v>1399</v>
      </c>
      <c r="C1073" s="73"/>
      <c r="D1073" s="73"/>
      <c r="F1073" s="73"/>
      <c r="G1073" s="73"/>
      <c r="H1073" s="73"/>
      <c r="P1073" s="73"/>
      <c r="Q1073" s="73"/>
      <c r="R1073" s="73"/>
      <c r="S1073" s="73"/>
      <c r="T1073" s="73"/>
      <c r="U1073" s="73"/>
      <c r="V1073" s="73"/>
      <c r="W1073" s="73"/>
      <c r="X1073" s="73"/>
      <c r="Y1073" s="73"/>
      <c r="Z1073" s="73"/>
      <c r="AA1073" s="73"/>
      <c r="AF1073" s="73"/>
      <c r="AG1073" s="73"/>
    </row>
    <row r="1074" spans="2:33" x14ac:dyDescent="0.2">
      <c r="B1074" s="73" t="s">
        <v>1398</v>
      </c>
      <c r="C1074" s="73"/>
      <c r="D1074" s="73"/>
      <c r="F1074" s="73"/>
      <c r="G1074" s="73"/>
      <c r="H1074" s="73"/>
      <c r="P1074" s="73"/>
      <c r="Q1074" s="73"/>
      <c r="R1074" s="73"/>
      <c r="S1074" s="73"/>
      <c r="T1074" s="73"/>
      <c r="U1074" s="73"/>
      <c r="V1074" s="73"/>
      <c r="W1074" s="73"/>
      <c r="X1074" s="73"/>
      <c r="Y1074" s="73"/>
      <c r="Z1074" s="73"/>
      <c r="AA1074" s="73"/>
      <c r="AF1074" s="73"/>
      <c r="AG1074" s="73"/>
    </row>
    <row r="1075" spans="2:33" x14ac:dyDescent="0.2">
      <c r="B1075" s="73" t="s">
        <v>1397</v>
      </c>
      <c r="C1075" s="73"/>
      <c r="D1075" s="73"/>
      <c r="F1075" s="73"/>
      <c r="G1075" s="73"/>
      <c r="H1075" s="73"/>
      <c r="P1075" s="73"/>
      <c r="Q1075" s="73"/>
      <c r="R1075" s="73"/>
      <c r="S1075" s="73"/>
      <c r="T1075" s="73"/>
      <c r="U1075" s="73"/>
      <c r="V1075" s="73"/>
      <c r="W1075" s="73"/>
      <c r="X1075" s="73"/>
      <c r="Y1075" s="73"/>
      <c r="Z1075" s="73"/>
      <c r="AA1075" s="73"/>
      <c r="AF1075" s="73"/>
      <c r="AG1075" s="73"/>
    </row>
    <row r="1076" spans="2:33" x14ac:dyDescent="0.2">
      <c r="B1076" s="73" t="s">
        <v>1396</v>
      </c>
      <c r="C1076" s="73"/>
      <c r="D1076" s="73"/>
      <c r="F1076" s="73"/>
      <c r="G1076" s="73"/>
      <c r="H1076" s="73"/>
      <c r="P1076" s="73"/>
      <c r="Q1076" s="73"/>
      <c r="R1076" s="73"/>
      <c r="S1076" s="73"/>
      <c r="T1076" s="73"/>
      <c r="U1076" s="73"/>
      <c r="V1076" s="73"/>
      <c r="W1076" s="73"/>
      <c r="X1076" s="73"/>
      <c r="Y1076" s="73"/>
      <c r="Z1076" s="73"/>
      <c r="AA1076" s="73"/>
      <c r="AF1076" s="73"/>
      <c r="AG1076" s="73"/>
    </row>
    <row r="1077" spans="2:33" x14ac:dyDescent="0.2">
      <c r="B1077" s="73" t="s">
        <v>1395</v>
      </c>
      <c r="C1077" s="73"/>
      <c r="D1077" s="73"/>
      <c r="F1077" s="73"/>
      <c r="G1077" s="73"/>
      <c r="H1077" s="73"/>
      <c r="P1077" s="73"/>
      <c r="Q1077" s="73"/>
      <c r="R1077" s="73"/>
      <c r="S1077" s="73"/>
      <c r="T1077" s="73"/>
      <c r="U1077" s="73"/>
      <c r="V1077" s="73"/>
      <c r="W1077" s="73"/>
      <c r="X1077" s="73"/>
      <c r="Y1077" s="73"/>
      <c r="Z1077" s="73"/>
      <c r="AA1077" s="73"/>
      <c r="AF1077" s="73"/>
      <c r="AG1077" s="73"/>
    </row>
    <row r="1078" spans="2:33" x14ac:dyDescent="0.2">
      <c r="B1078" s="73" t="s">
        <v>1394</v>
      </c>
      <c r="C1078" s="73"/>
      <c r="D1078" s="73"/>
      <c r="F1078" s="73"/>
      <c r="G1078" s="73"/>
      <c r="H1078" s="73"/>
      <c r="P1078" s="73"/>
      <c r="Q1078" s="73"/>
      <c r="R1078" s="73"/>
      <c r="S1078" s="73"/>
      <c r="T1078" s="73"/>
      <c r="U1078" s="73"/>
      <c r="V1078" s="73"/>
      <c r="W1078" s="73"/>
      <c r="X1078" s="73"/>
      <c r="Y1078" s="73"/>
      <c r="Z1078" s="73"/>
      <c r="AA1078" s="73"/>
      <c r="AF1078" s="73"/>
      <c r="AG1078" s="73"/>
    </row>
    <row r="1079" spans="2:33" x14ac:dyDescent="0.2">
      <c r="B1079" s="73" t="s">
        <v>1393</v>
      </c>
      <c r="C1079" s="73"/>
      <c r="D1079" s="73"/>
      <c r="F1079" s="73"/>
      <c r="G1079" s="73"/>
      <c r="H1079" s="73"/>
      <c r="P1079" s="73"/>
      <c r="Q1079" s="73"/>
      <c r="R1079" s="73"/>
      <c r="S1079" s="73"/>
      <c r="T1079" s="73"/>
      <c r="U1079" s="73"/>
      <c r="V1079" s="73"/>
      <c r="W1079" s="73"/>
      <c r="X1079" s="73"/>
      <c r="Y1079" s="73"/>
      <c r="Z1079" s="73"/>
      <c r="AA1079" s="73"/>
      <c r="AF1079" s="73"/>
      <c r="AG1079" s="73"/>
    </row>
    <row r="1080" spans="2:33" x14ac:dyDescent="0.2">
      <c r="B1080" s="73" t="s">
        <v>1392</v>
      </c>
      <c r="C1080" s="73"/>
      <c r="D1080" s="73"/>
      <c r="F1080" s="73"/>
      <c r="G1080" s="73"/>
      <c r="H1080" s="73"/>
      <c r="P1080" s="73"/>
      <c r="Q1080" s="73"/>
      <c r="R1080" s="73"/>
      <c r="S1080" s="73"/>
      <c r="T1080" s="73"/>
      <c r="U1080" s="73"/>
      <c r="V1080" s="73"/>
      <c r="W1080" s="73"/>
      <c r="X1080" s="73"/>
      <c r="Y1080" s="73"/>
      <c r="Z1080" s="73"/>
      <c r="AA1080" s="73"/>
      <c r="AF1080" s="73"/>
      <c r="AG1080" s="73"/>
    </row>
    <row r="1081" spans="2:33" x14ac:dyDescent="0.2">
      <c r="B1081" s="73" t="s">
        <v>1391</v>
      </c>
      <c r="C1081" s="73"/>
      <c r="D1081" s="73"/>
      <c r="F1081" s="73"/>
      <c r="G1081" s="73"/>
      <c r="H1081" s="73"/>
      <c r="P1081" s="73"/>
      <c r="Q1081" s="73"/>
      <c r="R1081" s="73"/>
      <c r="S1081" s="73"/>
      <c r="T1081" s="73"/>
      <c r="U1081" s="73"/>
      <c r="V1081" s="73"/>
      <c r="W1081" s="73"/>
      <c r="X1081" s="73"/>
      <c r="Y1081" s="73"/>
      <c r="Z1081" s="73"/>
      <c r="AA1081" s="73"/>
      <c r="AF1081" s="73"/>
      <c r="AG1081" s="73"/>
    </row>
    <row r="1082" spans="2:33" x14ac:dyDescent="0.2">
      <c r="B1082" s="73" t="s">
        <v>1390</v>
      </c>
      <c r="C1082" s="73"/>
      <c r="D1082" s="73"/>
      <c r="F1082" s="73"/>
      <c r="G1082" s="73"/>
      <c r="H1082" s="73"/>
      <c r="P1082" s="73"/>
      <c r="Q1082" s="73"/>
      <c r="R1082" s="73"/>
      <c r="S1082" s="73"/>
      <c r="T1082" s="73"/>
      <c r="U1082" s="73"/>
      <c r="V1082" s="73"/>
      <c r="W1082" s="73"/>
      <c r="X1082" s="73"/>
      <c r="Y1082" s="73"/>
      <c r="Z1082" s="73"/>
      <c r="AA1082" s="73"/>
      <c r="AF1082" s="73"/>
      <c r="AG1082" s="73"/>
    </row>
    <row r="1083" spans="2:33" x14ac:dyDescent="0.2">
      <c r="B1083" s="73" t="s">
        <v>1389</v>
      </c>
      <c r="C1083" s="73"/>
      <c r="D1083" s="73"/>
      <c r="F1083" s="73"/>
      <c r="G1083" s="73"/>
      <c r="H1083" s="73"/>
      <c r="P1083" s="73"/>
      <c r="Q1083" s="73"/>
      <c r="R1083" s="73"/>
      <c r="S1083" s="73"/>
      <c r="T1083" s="73"/>
      <c r="U1083" s="73"/>
      <c r="V1083" s="73"/>
      <c r="W1083" s="73"/>
      <c r="X1083" s="73"/>
      <c r="Y1083" s="73"/>
      <c r="Z1083" s="73"/>
      <c r="AA1083" s="73"/>
      <c r="AF1083" s="73"/>
      <c r="AG1083" s="73"/>
    </row>
    <row r="1084" spans="2:33" x14ac:dyDescent="0.2">
      <c r="B1084" s="73" t="s">
        <v>1388</v>
      </c>
      <c r="C1084" s="73"/>
      <c r="D1084" s="73"/>
      <c r="F1084" s="73"/>
      <c r="G1084" s="73"/>
      <c r="H1084" s="73"/>
      <c r="P1084" s="73"/>
      <c r="Q1084" s="73"/>
      <c r="R1084" s="73"/>
      <c r="S1084" s="73"/>
      <c r="T1084" s="73"/>
      <c r="U1084" s="73"/>
      <c r="V1084" s="73"/>
      <c r="W1084" s="73"/>
      <c r="X1084" s="73"/>
      <c r="Y1084" s="73"/>
      <c r="Z1084" s="73"/>
      <c r="AA1084" s="73"/>
      <c r="AF1084" s="73"/>
      <c r="AG1084" s="73"/>
    </row>
    <row r="1085" spans="2:33" x14ac:dyDescent="0.2">
      <c r="B1085" s="73" t="s">
        <v>1387</v>
      </c>
      <c r="C1085" s="73"/>
      <c r="D1085" s="73"/>
      <c r="F1085" s="73"/>
      <c r="G1085" s="73"/>
      <c r="H1085" s="73"/>
      <c r="P1085" s="73"/>
      <c r="Q1085" s="73"/>
      <c r="R1085" s="73"/>
      <c r="S1085" s="73"/>
      <c r="T1085" s="73"/>
      <c r="U1085" s="73"/>
      <c r="V1085" s="73"/>
      <c r="W1085" s="73"/>
      <c r="X1085" s="73"/>
      <c r="Y1085" s="73"/>
      <c r="Z1085" s="73"/>
      <c r="AA1085" s="73"/>
      <c r="AF1085" s="73"/>
      <c r="AG1085" s="73"/>
    </row>
    <row r="1086" spans="2:33" x14ac:dyDescent="0.2">
      <c r="B1086" s="73" t="s">
        <v>1386</v>
      </c>
      <c r="C1086" s="73"/>
      <c r="D1086" s="73"/>
      <c r="F1086" s="73"/>
      <c r="G1086" s="73"/>
      <c r="H1086" s="73"/>
      <c r="P1086" s="73"/>
      <c r="Q1086" s="73"/>
      <c r="R1086" s="73"/>
      <c r="S1086" s="73"/>
      <c r="T1086" s="73"/>
      <c r="U1086" s="73"/>
      <c r="V1086" s="73"/>
      <c r="W1086" s="73"/>
      <c r="X1086" s="73"/>
      <c r="Y1086" s="73"/>
      <c r="Z1086" s="73"/>
      <c r="AA1086" s="73"/>
      <c r="AF1086" s="73"/>
      <c r="AG1086" s="73"/>
    </row>
    <row r="1087" spans="2:33" x14ac:dyDescent="0.2">
      <c r="B1087" s="73" t="s">
        <v>1385</v>
      </c>
      <c r="C1087" s="73"/>
      <c r="D1087" s="73"/>
      <c r="F1087" s="73"/>
      <c r="G1087" s="73"/>
      <c r="H1087" s="73"/>
      <c r="P1087" s="73"/>
      <c r="Q1087" s="73"/>
      <c r="R1087" s="73"/>
      <c r="S1087" s="73"/>
      <c r="T1087" s="73"/>
      <c r="U1087" s="73"/>
      <c r="V1087" s="73"/>
      <c r="W1087" s="73"/>
      <c r="X1087" s="73"/>
      <c r="Y1087" s="73"/>
      <c r="Z1087" s="73"/>
      <c r="AA1087" s="73"/>
      <c r="AF1087" s="73"/>
      <c r="AG1087" s="73"/>
    </row>
    <row r="1088" spans="2:33" x14ac:dyDescent="0.2">
      <c r="B1088" s="73" t="s">
        <v>1384</v>
      </c>
      <c r="C1088" s="73"/>
      <c r="D1088" s="73"/>
      <c r="F1088" s="73"/>
      <c r="G1088" s="73"/>
      <c r="H1088" s="73"/>
      <c r="P1088" s="73"/>
      <c r="Q1088" s="73"/>
      <c r="R1088" s="73"/>
      <c r="S1088" s="73"/>
      <c r="T1088" s="73"/>
      <c r="U1088" s="73"/>
      <c r="V1088" s="73"/>
      <c r="W1088" s="73"/>
      <c r="X1088" s="73"/>
      <c r="Y1088" s="73"/>
      <c r="Z1088" s="73"/>
      <c r="AA1088" s="73"/>
      <c r="AF1088" s="73"/>
      <c r="AG1088" s="73"/>
    </row>
    <row r="1089" spans="2:33" x14ac:dyDescent="0.2">
      <c r="B1089" s="73" t="s">
        <v>1383</v>
      </c>
      <c r="C1089" s="73"/>
      <c r="D1089" s="73"/>
      <c r="F1089" s="73"/>
      <c r="G1089" s="73"/>
      <c r="H1089" s="73"/>
      <c r="P1089" s="73"/>
      <c r="Q1089" s="73"/>
      <c r="R1089" s="73"/>
      <c r="S1089" s="73"/>
      <c r="T1089" s="73"/>
      <c r="U1089" s="73"/>
      <c r="V1089" s="73"/>
      <c r="W1089" s="73"/>
      <c r="X1089" s="73"/>
      <c r="Y1089" s="73"/>
      <c r="Z1089" s="73"/>
      <c r="AA1089" s="73"/>
      <c r="AF1089" s="73"/>
      <c r="AG1089" s="73"/>
    </row>
    <row r="1090" spans="2:33" x14ac:dyDescent="0.2">
      <c r="B1090" s="73" t="s">
        <v>1382</v>
      </c>
      <c r="C1090" s="73"/>
      <c r="D1090" s="73"/>
      <c r="F1090" s="73"/>
      <c r="G1090" s="73"/>
      <c r="H1090" s="73"/>
      <c r="P1090" s="73"/>
      <c r="Q1090" s="73"/>
      <c r="R1090" s="73"/>
      <c r="S1090" s="73"/>
      <c r="T1090" s="73"/>
      <c r="U1090" s="73"/>
      <c r="V1090" s="73"/>
      <c r="W1090" s="73"/>
      <c r="X1090" s="73"/>
      <c r="Y1090" s="73"/>
      <c r="Z1090" s="73"/>
      <c r="AA1090" s="73"/>
      <c r="AF1090" s="73"/>
      <c r="AG1090" s="73"/>
    </row>
    <row r="1091" spans="2:33" x14ac:dyDescent="0.2">
      <c r="B1091" s="73" t="s">
        <v>1381</v>
      </c>
      <c r="C1091" s="73"/>
      <c r="D1091" s="73"/>
      <c r="F1091" s="73"/>
      <c r="G1091" s="73"/>
      <c r="H1091" s="73"/>
      <c r="P1091" s="73"/>
      <c r="Q1091" s="73"/>
      <c r="R1091" s="73"/>
      <c r="S1091" s="73"/>
      <c r="T1091" s="73"/>
      <c r="U1091" s="73"/>
      <c r="V1091" s="73"/>
      <c r="W1091" s="73"/>
      <c r="X1091" s="73"/>
      <c r="Y1091" s="73"/>
      <c r="Z1091" s="73"/>
      <c r="AA1091" s="73"/>
      <c r="AF1091" s="73"/>
      <c r="AG1091" s="73"/>
    </row>
    <row r="1092" spans="2:33" x14ac:dyDescent="0.2">
      <c r="B1092" s="73" t="s">
        <v>1380</v>
      </c>
      <c r="C1092" s="73"/>
      <c r="D1092" s="73"/>
      <c r="F1092" s="73"/>
      <c r="G1092" s="73"/>
      <c r="H1092" s="73"/>
      <c r="P1092" s="73"/>
      <c r="Q1092" s="73"/>
      <c r="R1092" s="73"/>
      <c r="S1092" s="73"/>
      <c r="T1092" s="73"/>
      <c r="U1092" s="73"/>
      <c r="V1092" s="73"/>
      <c r="W1092" s="73"/>
      <c r="X1092" s="73"/>
      <c r="Y1092" s="73"/>
      <c r="Z1092" s="73"/>
      <c r="AA1092" s="73"/>
      <c r="AF1092" s="73"/>
      <c r="AG1092" s="73"/>
    </row>
    <row r="1093" spans="2:33" x14ac:dyDescent="0.2">
      <c r="B1093" s="73" t="s">
        <v>1379</v>
      </c>
      <c r="C1093" s="73"/>
      <c r="D1093" s="73"/>
      <c r="F1093" s="73"/>
      <c r="G1093" s="73"/>
      <c r="H1093" s="73"/>
      <c r="P1093" s="73"/>
      <c r="Q1093" s="73"/>
      <c r="R1093" s="73"/>
      <c r="S1093" s="73"/>
      <c r="T1093" s="73"/>
      <c r="U1093" s="73"/>
      <c r="V1093" s="73"/>
      <c r="W1093" s="73"/>
      <c r="X1093" s="73"/>
      <c r="Y1093" s="73"/>
      <c r="Z1093" s="73"/>
      <c r="AA1093" s="73"/>
      <c r="AF1093" s="73"/>
      <c r="AG1093" s="73"/>
    </row>
    <row r="1094" spans="2:33" x14ac:dyDescent="0.2">
      <c r="B1094" s="73" t="s">
        <v>1378</v>
      </c>
      <c r="C1094" s="73"/>
      <c r="D1094" s="73"/>
      <c r="F1094" s="73"/>
      <c r="G1094" s="73"/>
      <c r="H1094" s="73"/>
      <c r="P1094" s="73"/>
      <c r="Q1094" s="73"/>
      <c r="R1094" s="73"/>
      <c r="S1094" s="73"/>
      <c r="T1094" s="73"/>
      <c r="U1094" s="73"/>
      <c r="V1094" s="73"/>
      <c r="W1094" s="73"/>
      <c r="X1094" s="73"/>
      <c r="Y1094" s="73"/>
      <c r="Z1094" s="73"/>
      <c r="AA1094" s="73"/>
      <c r="AF1094" s="73"/>
      <c r="AG1094" s="73"/>
    </row>
    <row r="1095" spans="2:33" x14ac:dyDescent="0.2">
      <c r="B1095" s="73" t="s">
        <v>1377</v>
      </c>
      <c r="C1095" s="73"/>
      <c r="D1095" s="73"/>
      <c r="F1095" s="73"/>
      <c r="G1095" s="73"/>
      <c r="H1095" s="73"/>
      <c r="P1095" s="73"/>
      <c r="Q1095" s="73"/>
      <c r="R1095" s="73"/>
      <c r="S1095" s="73"/>
      <c r="T1095" s="73"/>
      <c r="U1095" s="73"/>
      <c r="V1095" s="73"/>
      <c r="W1095" s="73"/>
      <c r="X1095" s="73"/>
      <c r="Y1095" s="73"/>
      <c r="Z1095" s="73"/>
      <c r="AA1095" s="73"/>
      <c r="AF1095" s="73"/>
      <c r="AG1095" s="73"/>
    </row>
    <row r="1096" spans="2:33" x14ac:dyDescent="0.2">
      <c r="B1096" s="73" t="s">
        <v>1376</v>
      </c>
      <c r="C1096" s="73"/>
      <c r="D1096" s="73"/>
      <c r="F1096" s="73"/>
      <c r="G1096" s="73"/>
      <c r="H1096" s="73"/>
      <c r="P1096" s="73"/>
      <c r="Q1096" s="73"/>
      <c r="R1096" s="73"/>
      <c r="S1096" s="73"/>
      <c r="T1096" s="73"/>
      <c r="U1096" s="73"/>
      <c r="V1096" s="73"/>
      <c r="W1096" s="73"/>
      <c r="X1096" s="73"/>
      <c r="Y1096" s="73"/>
      <c r="Z1096" s="73"/>
      <c r="AA1096" s="73"/>
      <c r="AF1096" s="73"/>
      <c r="AG1096" s="73"/>
    </row>
    <row r="1097" spans="2:33" x14ac:dyDescent="0.2">
      <c r="B1097" s="73" t="s">
        <v>1375</v>
      </c>
      <c r="C1097" s="73"/>
      <c r="D1097" s="73"/>
      <c r="F1097" s="73"/>
      <c r="G1097" s="73"/>
      <c r="H1097" s="73"/>
      <c r="P1097" s="73"/>
      <c r="Q1097" s="73"/>
      <c r="R1097" s="73"/>
      <c r="S1097" s="73"/>
      <c r="T1097" s="73"/>
      <c r="U1097" s="73"/>
      <c r="V1097" s="73"/>
      <c r="W1097" s="73"/>
      <c r="X1097" s="73"/>
      <c r="Y1097" s="73"/>
      <c r="Z1097" s="73"/>
      <c r="AA1097" s="73"/>
      <c r="AF1097" s="73"/>
      <c r="AG1097" s="73"/>
    </row>
    <row r="1098" spans="2:33" x14ac:dyDescent="0.2">
      <c r="B1098" s="73" t="s">
        <v>1374</v>
      </c>
      <c r="C1098" s="73"/>
      <c r="D1098" s="73"/>
      <c r="F1098" s="73"/>
      <c r="G1098" s="73"/>
      <c r="H1098" s="73"/>
      <c r="P1098" s="73"/>
      <c r="Q1098" s="73"/>
      <c r="R1098" s="73"/>
      <c r="S1098" s="73"/>
      <c r="T1098" s="73"/>
      <c r="U1098" s="73"/>
      <c r="V1098" s="73"/>
      <c r="W1098" s="73"/>
      <c r="X1098" s="73"/>
      <c r="Y1098" s="73"/>
      <c r="Z1098" s="73"/>
      <c r="AA1098" s="73"/>
      <c r="AF1098" s="73"/>
      <c r="AG1098" s="73"/>
    </row>
    <row r="1099" spans="2:33" x14ac:dyDescent="0.2">
      <c r="B1099" s="73" t="s">
        <v>1373</v>
      </c>
      <c r="C1099" s="73"/>
      <c r="D1099" s="73"/>
      <c r="F1099" s="73"/>
      <c r="G1099" s="73"/>
      <c r="H1099" s="73"/>
      <c r="P1099" s="73"/>
      <c r="Q1099" s="73"/>
      <c r="R1099" s="73"/>
      <c r="S1099" s="73"/>
      <c r="T1099" s="73"/>
      <c r="U1099" s="73"/>
      <c r="V1099" s="73"/>
      <c r="W1099" s="73"/>
      <c r="X1099" s="73"/>
      <c r="Y1099" s="73"/>
      <c r="Z1099" s="73"/>
      <c r="AA1099" s="73"/>
      <c r="AF1099" s="73"/>
      <c r="AG1099" s="73"/>
    </row>
    <row r="1100" spans="2:33" x14ac:dyDescent="0.2">
      <c r="B1100" s="73" t="s">
        <v>1372</v>
      </c>
      <c r="C1100" s="73"/>
      <c r="D1100" s="73"/>
      <c r="F1100" s="73"/>
      <c r="G1100" s="73"/>
      <c r="H1100" s="73"/>
      <c r="P1100" s="73"/>
      <c r="Q1100" s="73"/>
      <c r="R1100" s="73"/>
      <c r="S1100" s="73"/>
      <c r="T1100" s="73"/>
      <c r="U1100" s="73"/>
      <c r="V1100" s="73"/>
      <c r="W1100" s="73"/>
      <c r="X1100" s="73"/>
      <c r="Y1100" s="73"/>
      <c r="Z1100" s="73"/>
      <c r="AA1100" s="73"/>
      <c r="AF1100" s="73"/>
      <c r="AG1100" s="73"/>
    </row>
    <row r="1101" spans="2:33" x14ac:dyDescent="0.2">
      <c r="B1101" s="73" t="s">
        <v>1371</v>
      </c>
      <c r="C1101" s="73"/>
      <c r="D1101" s="73"/>
      <c r="F1101" s="73"/>
      <c r="G1101" s="73"/>
      <c r="H1101" s="73"/>
      <c r="P1101" s="73"/>
      <c r="Q1101" s="73"/>
      <c r="R1101" s="73"/>
      <c r="S1101" s="73"/>
      <c r="T1101" s="73"/>
      <c r="U1101" s="73"/>
      <c r="V1101" s="73"/>
      <c r="W1101" s="73"/>
      <c r="X1101" s="73"/>
      <c r="Y1101" s="73"/>
      <c r="Z1101" s="73"/>
      <c r="AA1101" s="73"/>
      <c r="AF1101" s="73"/>
      <c r="AG1101" s="73"/>
    </row>
    <row r="1102" spans="2:33" x14ac:dyDescent="0.2">
      <c r="B1102" s="73" t="s">
        <v>1370</v>
      </c>
      <c r="C1102" s="73"/>
      <c r="D1102" s="73"/>
      <c r="F1102" s="73"/>
      <c r="G1102" s="73"/>
      <c r="H1102" s="73"/>
      <c r="P1102" s="73"/>
      <c r="Q1102" s="73"/>
      <c r="R1102" s="73"/>
      <c r="S1102" s="73"/>
      <c r="T1102" s="73"/>
      <c r="U1102" s="73"/>
      <c r="V1102" s="73"/>
      <c r="W1102" s="73"/>
      <c r="X1102" s="73"/>
      <c r="Y1102" s="73"/>
      <c r="Z1102" s="73"/>
      <c r="AA1102" s="73"/>
      <c r="AF1102" s="73"/>
      <c r="AG1102" s="73"/>
    </row>
    <row r="1103" spans="2:33" x14ac:dyDescent="0.2">
      <c r="B1103" s="73" t="s">
        <v>1369</v>
      </c>
      <c r="C1103" s="73"/>
      <c r="D1103" s="73"/>
      <c r="F1103" s="73"/>
      <c r="G1103" s="73"/>
      <c r="H1103" s="73"/>
      <c r="P1103" s="73"/>
      <c r="Q1103" s="73"/>
      <c r="R1103" s="73"/>
      <c r="S1103" s="73"/>
      <c r="T1103" s="73"/>
      <c r="U1103" s="73"/>
      <c r="V1103" s="73"/>
      <c r="W1103" s="73"/>
      <c r="X1103" s="73"/>
      <c r="Y1103" s="73"/>
      <c r="Z1103" s="73"/>
      <c r="AA1103" s="73"/>
      <c r="AF1103" s="73"/>
      <c r="AG1103" s="73"/>
    </row>
    <row r="1104" spans="2:33" x14ac:dyDescent="0.2">
      <c r="B1104" s="73" t="s">
        <v>1368</v>
      </c>
      <c r="C1104" s="73"/>
      <c r="D1104" s="73"/>
      <c r="F1104" s="73"/>
      <c r="G1104" s="73"/>
      <c r="H1104" s="73"/>
      <c r="P1104" s="73"/>
      <c r="Q1104" s="73"/>
      <c r="R1104" s="73"/>
      <c r="S1104" s="73"/>
      <c r="T1104" s="73"/>
      <c r="U1104" s="73"/>
      <c r="V1104" s="73"/>
      <c r="W1104" s="73"/>
      <c r="X1104" s="73"/>
      <c r="Y1104" s="73"/>
      <c r="Z1104" s="73"/>
      <c r="AA1104" s="73"/>
      <c r="AF1104" s="73"/>
      <c r="AG1104" s="73"/>
    </row>
    <row r="1105" spans="2:33" x14ac:dyDescent="0.2">
      <c r="B1105" s="73" t="s">
        <v>1367</v>
      </c>
      <c r="C1105" s="73"/>
      <c r="D1105" s="73"/>
      <c r="F1105" s="73"/>
      <c r="G1105" s="73"/>
      <c r="H1105" s="73"/>
      <c r="P1105" s="73"/>
      <c r="Q1105" s="73"/>
      <c r="R1105" s="73"/>
      <c r="S1105" s="73"/>
      <c r="T1105" s="73"/>
      <c r="U1105" s="73"/>
      <c r="V1105" s="73"/>
      <c r="W1105" s="73"/>
      <c r="X1105" s="73"/>
      <c r="Y1105" s="73"/>
      <c r="Z1105" s="73"/>
      <c r="AA1105" s="73"/>
      <c r="AF1105" s="73"/>
      <c r="AG1105" s="73"/>
    </row>
    <row r="1106" spans="2:33" x14ac:dyDescent="0.2">
      <c r="B1106" s="73" t="s">
        <v>1366</v>
      </c>
      <c r="C1106" s="73"/>
      <c r="D1106" s="73"/>
      <c r="F1106" s="73"/>
      <c r="G1106" s="73"/>
      <c r="H1106" s="73"/>
      <c r="P1106" s="73"/>
      <c r="Q1106" s="73"/>
      <c r="R1106" s="73"/>
      <c r="S1106" s="73"/>
      <c r="T1106" s="73"/>
      <c r="U1106" s="73"/>
      <c r="V1106" s="73"/>
      <c r="W1106" s="73"/>
      <c r="X1106" s="73"/>
      <c r="Y1106" s="73"/>
      <c r="Z1106" s="73"/>
      <c r="AA1106" s="73"/>
      <c r="AF1106" s="73"/>
      <c r="AG1106" s="73"/>
    </row>
    <row r="1107" spans="2:33" x14ac:dyDescent="0.2">
      <c r="B1107" s="73" t="s">
        <v>1365</v>
      </c>
      <c r="C1107" s="73"/>
      <c r="D1107" s="73"/>
      <c r="F1107" s="73"/>
      <c r="G1107" s="73"/>
      <c r="H1107" s="73"/>
      <c r="P1107" s="73"/>
      <c r="Q1107" s="73"/>
      <c r="R1107" s="73"/>
      <c r="S1107" s="73"/>
      <c r="T1107" s="73"/>
      <c r="U1107" s="73"/>
      <c r="V1107" s="73"/>
      <c r="W1107" s="73"/>
      <c r="X1107" s="73"/>
      <c r="Y1107" s="73"/>
      <c r="Z1107" s="73"/>
      <c r="AA1107" s="73"/>
      <c r="AF1107" s="73"/>
      <c r="AG1107" s="73"/>
    </row>
    <row r="1108" spans="2:33" x14ac:dyDescent="0.2">
      <c r="B1108" s="73" t="s">
        <v>1364</v>
      </c>
      <c r="C1108" s="73"/>
      <c r="D1108" s="73"/>
      <c r="F1108" s="73"/>
      <c r="G1108" s="73"/>
      <c r="H1108" s="73"/>
      <c r="P1108" s="73"/>
      <c r="Q1108" s="73"/>
      <c r="R1108" s="73"/>
      <c r="S1108" s="73"/>
      <c r="T1108" s="73"/>
      <c r="U1108" s="73"/>
      <c r="V1108" s="73"/>
      <c r="W1108" s="73"/>
      <c r="X1108" s="73"/>
      <c r="Y1108" s="73"/>
      <c r="Z1108" s="73"/>
      <c r="AA1108" s="73"/>
      <c r="AF1108" s="73"/>
      <c r="AG1108" s="73"/>
    </row>
    <row r="1109" spans="2:33" x14ac:dyDescent="0.2">
      <c r="B1109" s="73" t="s">
        <v>1363</v>
      </c>
      <c r="C1109" s="73"/>
      <c r="D1109" s="73"/>
      <c r="F1109" s="73"/>
      <c r="G1109" s="73"/>
      <c r="H1109" s="73"/>
      <c r="P1109" s="73"/>
      <c r="Q1109" s="73"/>
      <c r="R1109" s="73"/>
      <c r="S1109" s="73"/>
      <c r="T1109" s="73"/>
      <c r="U1109" s="73"/>
      <c r="V1109" s="73"/>
      <c r="W1109" s="73"/>
      <c r="X1109" s="73"/>
      <c r="Y1109" s="73"/>
      <c r="Z1109" s="73"/>
      <c r="AA1109" s="73"/>
      <c r="AF1109" s="73"/>
      <c r="AG1109" s="73"/>
    </row>
    <row r="1110" spans="2:33" x14ac:dyDescent="0.2">
      <c r="B1110" s="73" t="s">
        <v>1362</v>
      </c>
      <c r="C1110" s="73"/>
      <c r="D1110" s="73"/>
      <c r="F1110" s="73"/>
      <c r="G1110" s="73"/>
      <c r="H1110" s="73"/>
      <c r="P1110" s="73"/>
      <c r="Q1110" s="73"/>
      <c r="R1110" s="73"/>
      <c r="S1110" s="73"/>
      <c r="T1110" s="73"/>
      <c r="U1110" s="73"/>
      <c r="V1110" s="73"/>
      <c r="W1110" s="73"/>
      <c r="X1110" s="73"/>
      <c r="Y1110" s="73"/>
      <c r="Z1110" s="73"/>
      <c r="AA1110" s="73"/>
      <c r="AF1110" s="73"/>
      <c r="AG1110" s="73"/>
    </row>
    <row r="1111" spans="2:33" x14ac:dyDescent="0.2">
      <c r="B1111" s="73" t="s">
        <v>1361</v>
      </c>
      <c r="C1111" s="73"/>
      <c r="D1111" s="73"/>
      <c r="F1111" s="73"/>
      <c r="G1111" s="73"/>
      <c r="H1111" s="73"/>
      <c r="P1111" s="73"/>
      <c r="Q1111" s="73"/>
      <c r="R1111" s="73"/>
      <c r="S1111" s="73"/>
      <c r="T1111" s="73"/>
      <c r="U1111" s="73"/>
      <c r="V1111" s="73"/>
      <c r="W1111" s="73"/>
      <c r="X1111" s="73"/>
      <c r="Y1111" s="73"/>
      <c r="Z1111" s="73"/>
      <c r="AA1111" s="73"/>
      <c r="AF1111" s="73"/>
      <c r="AG1111" s="73"/>
    </row>
    <row r="1112" spans="2:33" x14ac:dyDescent="0.2">
      <c r="B1112" s="73" t="s">
        <v>1360</v>
      </c>
      <c r="C1112" s="73"/>
      <c r="D1112" s="73"/>
      <c r="F1112" s="73"/>
      <c r="G1112" s="73"/>
      <c r="H1112" s="73"/>
      <c r="P1112" s="73"/>
      <c r="Q1112" s="73"/>
      <c r="R1112" s="73"/>
      <c r="S1112" s="73"/>
      <c r="T1112" s="73"/>
      <c r="U1112" s="73"/>
      <c r="V1112" s="73"/>
      <c r="W1112" s="73"/>
      <c r="X1112" s="73"/>
      <c r="Y1112" s="73"/>
      <c r="Z1112" s="73"/>
      <c r="AA1112" s="73"/>
      <c r="AF1112" s="73"/>
      <c r="AG1112" s="73"/>
    </row>
    <row r="1113" spans="2:33" x14ac:dyDescent="0.2">
      <c r="B1113" s="73" t="s">
        <v>1359</v>
      </c>
      <c r="C1113" s="73"/>
      <c r="D1113" s="73"/>
      <c r="F1113" s="73"/>
      <c r="G1113" s="73"/>
      <c r="H1113" s="73"/>
      <c r="P1113" s="73"/>
      <c r="Q1113" s="73"/>
      <c r="R1113" s="73"/>
      <c r="S1113" s="73"/>
      <c r="T1113" s="73"/>
      <c r="U1113" s="73"/>
      <c r="V1113" s="73"/>
      <c r="W1113" s="73"/>
      <c r="X1113" s="73"/>
      <c r="Y1113" s="73"/>
      <c r="Z1113" s="73"/>
      <c r="AA1113" s="73"/>
      <c r="AF1113" s="73"/>
      <c r="AG1113" s="73"/>
    </row>
    <row r="1114" spans="2:33" x14ac:dyDescent="0.2">
      <c r="B1114" s="73" t="s">
        <v>1358</v>
      </c>
      <c r="C1114" s="73"/>
      <c r="D1114" s="73"/>
      <c r="F1114" s="73"/>
      <c r="G1114" s="73"/>
      <c r="H1114" s="73"/>
      <c r="P1114" s="73"/>
      <c r="Q1114" s="73"/>
      <c r="R1114" s="73"/>
      <c r="S1114" s="73"/>
      <c r="T1114" s="73"/>
      <c r="U1114" s="73"/>
      <c r="V1114" s="73"/>
      <c r="W1114" s="73"/>
      <c r="X1114" s="73"/>
      <c r="Y1114" s="73"/>
      <c r="Z1114" s="73"/>
      <c r="AA1114" s="73"/>
      <c r="AF1114" s="73"/>
      <c r="AG1114" s="73"/>
    </row>
    <row r="1115" spans="2:33" x14ac:dyDescent="0.2">
      <c r="B1115" s="73" t="s">
        <v>1357</v>
      </c>
      <c r="C1115" s="73"/>
      <c r="D1115" s="73"/>
      <c r="F1115" s="73"/>
      <c r="G1115" s="73"/>
      <c r="H1115" s="73"/>
      <c r="P1115" s="73"/>
      <c r="Q1115" s="73"/>
      <c r="R1115" s="73"/>
      <c r="S1115" s="73"/>
      <c r="T1115" s="73"/>
      <c r="U1115" s="73"/>
      <c r="V1115" s="73"/>
      <c r="W1115" s="73"/>
      <c r="X1115" s="73"/>
      <c r="Y1115" s="73"/>
      <c r="Z1115" s="73"/>
      <c r="AA1115" s="73"/>
      <c r="AF1115" s="73"/>
      <c r="AG1115" s="73"/>
    </row>
    <row r="1116" spans="2:33" x14ac:dyDescent="0.2">
      <c r="B1116" s="73" t="s">
        <v>1356</v>
      </c>
      <c r="C1116" s="73"/>
      <c r="D1116" s="73"/>
      <c r="F1116" s="73"/>
      <c r="G1116" s="73"/>
      <c r="H1116" s="73"/>
      <c r="P1116" s="73"/>
      <c r="Q1116" s="73"/>
      <c r="R1116" s="73"/>
      <c r="S1116" s="73"/>
      <c r="T1116" s="73"/>
      <c r="U1116" s="73"/>
      <c r="V1116" s="73"/>
      <c r="W1116" s="73"/>
      <c r="X1116" s="73"/>
      <c r="Y1116" s="73"/>
      <c r="Z1116" s="73"/>
      <c r="AA1116" s="73"/>
      <c r="AF1116" s="73"/>
      <c r="AG1116" s="73"/>
    </row>
    <row r="1117" spans="2:33" x14ac:dyDescent="0.2">
      <c r="B1117" s="73" t="s">
        <v>1355</v>
      </c>
      <c r="C1117" s="73"/>
      <c r="D1117" s="73"/>
      <c r="F1117" s="73"/>
      <c r="G1117" s="73"/>
      <c r="H1117" s="73"/>
      <c r="P1117" s="73"/>
      <c r="Q1117" s="73"/>
      <c r="R1117" s="73"/>
      <c r="S1117" s="73"/>
      <c r="T1117" s="73"/>
      <c r="U1117" s="73"/>
      <c r="V1117" s="73"/>
      <c r="W1117" s="73"/>
      <c r="X1117" s="73"/>
      <c r="Y1117" s="73"/>
      <c r="Z1117" s="73"/>
      <c r="AA1117" s="73"/>
      <c r="AF1117" s="73"/>
      <c r="AG1117" s="73"/>
    </row>
    <row r="1118" spans="2:33" x14ac:dyDescent="0.2">
      <c r="B1118" s="73" t="s">
        <v>1354</v>
      </c>
      <c r="C1118" s="73"/>
      <c r="D1118" s="73"/>
      <c r="F1118" s="73"/>
      <c r="G1118" s="73"/>
      <c r="H1118" s="73"/>
      <c r="P1118" s="73"/>
      <c r="Q1118" s="73"/>
      <c r="R1118" s="73"/>
      <c r="S1118" s="73"/>
      <c r="T1118" s="73"/>
      <c r="U1118" s="73"/>
      <c r="V1118" s="73"/>
      <c r="W1118" s="73"/>
      <c r="X1118" s="73"/>
      <c r="Y1118" s="73"/>
      <c r="Z1118" s="73"/>
      <c r="AA1118" s="73"/>
      <c r="AF1118" s="73"/>
      <c r="AG1118" s="73"/>
    </row>
    <row r="1119" spans="2:33" x14ac:dyDescent="0.2">
      <c r="B1119" s="73" t="s">
        <v>1353</v>
      </c>
      <c r="C1119" s="73"/>
      <c r="D1119" s="73"/>
      <c r="F1119" s="73"/>
      <c r="G1119" s="73"/>
      <c r="H1119" s="73"/>
      <c r="P1119" s="73"/>
      <c r="Q1119" s="73"/>
      <c r="R1119" s="73"/>
      <c r="S1119" s="73"/>
      <c r="T1119" s="73"/>
      <c r="U1119" s="73"/>
      <c r="V1119" s="73"/>
      <c r="W1119" s="73"/>
      <c r="X1119" s="73"/>
      <c r="Y1119" s="73"/>
      <c r="Z1119" s="73"/>
      <c r="AA1119" s="73"/>
      <c r="AF1119" s="73"/>
      <c r="AG1119" s="73"/>
    </row>
    <row r="1120" spans="2:33" x14ac:dyDescent="0.2">
      <c r="B1120" s="73" t="s">
        <v>1352</v>
      </c>
      <c r="C1120" s="73"/>
      <c r="D1120" s="73"/>
      <c r="F1120" s="73"/>
      <c r="G1120" s="73"/>
      <c r="H1120" s="73"/>
      <c r="P1120" s="73"/>
      <c r="Q1120" s="73"/>
      <c r="R1120" s="73"/>
      <c r="S1120" s="73"/>
      <c r="T1120" s="73"/>
      <c r="U1120" s="73"/>
      <c r="V1120" s="73"/>
      <c r="W1120" s="73"/>
      <c r="X1120" s="73"/>
      <c r="Y1120" s="73"/>
      <c r="Z1120" s="73"/>
      <c r="AA1120" s="73"/>
      <c r="AF1120" s="73"/>
      <c r="AG1120" s="73"/>
    </row>
    <row r="1121" spans="2:33" x14ac:dyDescent="0.2">
      <c r="B1121" s="73" t="s">
        <v>1351</v>
      </c>
      <c r="C1121" s="73"/>
      <c r="D1121" s="73"/>
      <c r="F1121" s="73"/>
      <c r="G1121" s="73"/>
      <c r="H1121" s="73"/>
      <c r="P1121" s="73"/>
      <c r="Q1121" s="73"/>
      <c r="R1121" s="73"/>
      <c r="S1121" s="73"/>
      <c r="T1121" s="73"/>
      <c r="U1121" s="73"/>
      <c r="V1121" s="73"/>
      <c r="W1121" s="73"/>
      <c r="X1121" s="73"/>
      <c r="Y1121" s="73"/>
      <c r="Z1121" s="73"/>
      <c r="AA1121" s="73"/>
      <c r="AF1121" s="73"/>
      <c r="AG1121" s="73"/>
    </row>
    <row r="1122" spans="2:33" x14ac:dyDescent="0.2">
      <c r="B1122" s="73" t="s">
        <v>1350</v>
      </c>
      <c r="C1122" s="73"/>
      <c r="D1122" s="73"/>
      <c r="F1122" s="73"/>
      <c r="G1122" s="73"/>
      <c r="H1122" s="73"/>
      <c r="P1122" s="73"/>
      <c r="Q1122" s="73"/>
      <c r="R1122" s="73"/>
      <c r="S1122" s="73"/>
      <c r="T1122" s="73"/>
      <c r="U1122" s="73"/>
      <c r="V1122" s="73"/>
      <c r="W1122" s="73"/>
      <c r="X1122" s="73"/>
      <c r="Y1122" s="73"/>
      <c r="Z1122" s="73"/>
      <c r="AA1122" s="73"/>
      <c r="AF1122" s="73"/>
      <c r="AG1122" s="73"/>
    </row>
    <row r="1123" spans="2:33" x14ac:dyDescent="0.2">
      <c r="B1123" s="73" t="s">
        <v>1349</v>
      </c>
      <c r="C1123" s="73"/>
      <c r="D1123" s="73"/>
      <c r="F1123" s="73"/>
      <c r="G1123" s="73"/>
      <c r="H1123" s="73"/>
      <c r="P1123" s="73"/>
      <c r="Q1123" s="73"/>
      <c r="R1123" s="73"/>
      <c r="S1123" s="73"/>
      <c r="T1123" s="73"/>
      <c r="U1123" s="73"/>
      <c r="V1123" s="73"/>
      <c r="W1123" s="73"/>
      <c r="X1123" s="73"/>
      <c r="Y1123" s="73"/>
      <c r="Z1123" s="73"/>
      <c r="AA1123" s="73"/>
      <c r="AF1123" s="73"/>
      <c r="AG1123" s="73"/>
    </row>
    <row r="1124" spans="2:33" x14ac:dyDescent="0.2">
      <c r="B1124" s="73" t="s">
        <v>1348</v>
      </c>
      <c r="C1124" s="73"/>
      <c r="D1124" s="73"/>
      <c r="F1124" s="73"/>
      <c r="G1124" s="73"/>
      <c r="H1124" s="73"/>
      <c r="P1124" s="73"/>
      <c r="Q1124" s="73"/>
      <c r="R1124" s="73"/>
      <c r="S1124" s="73"/>
      <c r="T1124" s="73"/>
      <c r="U1124" s="73"/>
      <c r="V1124" s="73"/>
      <c r="W1124" s="73"/>
      <c r="X1124" s="73"/>
      <c r="Y1124" s="73"/>
      <c r="Z1124" s="73"/>
      <c r="AA1124" s="73"/>
      <c r="AF1124" s="73"/>
      <c r="AG1124" s="73"/>
    </row>
    <row r="1125" spans="2:33" x14ac:dyDescent="0.2">
      <c r="B1125" s="73" t="s">
        <v>1347</v>
      </c>
      <c r="C1125" s="73"/>
      <c r="D1125" s="73"/>
      <c r="F1125" s="73"/>
      <c r="G1125" s="73"/>
      <c r="H1125" s="73"/>
      <c r="P1125" s="73"/>
      <c r="Q1125" s="73"/>
      <c r="R1125" s="73"/>
      <c r="S1125" s="73"/>
      <c r="T1125" s="73"/>
      <c r="U1125" s="73"/>
      <c r="V1125" s="73"/>
      <c r="W1125" s="73"/>
      <c r="X1125" s="73"/>
      <c r="Y1125" s="73"/>
      <c r="Z1125" s="73"/>
      <c r="AA1125" s="73"/>
      <c r="AF1125" s="73"/>
      <c r="AG1125" s="73"/>
    </row>
    <row r="1126" spans="2:33" x14ac:dyDescent="0.2">
      <c r="B1126" s="73" t="s">
        <v>1346</v>
      </c>
      <c r="C1126" s="73"/>
      <c r="D1126" s="73"/>
      <c r="F1126" s="73"/>
      <c r="G1126" s="73"/>
      <c r="H1126" s="73"/>
      <c r="P1126" s="73"/>
      <c r="Q1126" s="73"/>
      <c r="R1126" s="73"/>
      <c r="S1126" s="73"/>
      <c r="T1126" s="73"/>
      <c r="U1126" s="73"/>
      <c r="V1126" s="73"/>
      <c r="W1126" s="73"/>
      <c r="X1126" s="73"/>
      <c r="Y1126" s="73"/>
      <c r="Z1126" s="73"/>
      <c r="AA1126" s="73"/>
      <c r="AF1126" s="73"/>
      <c r="AG1126" s="73"/>
    </row>
    <row r="1127" spans="2:33" x14ac:dyDescent="0.2">
      <c r="B1127" s="73" t="s">
        <v>1345</v>
      </c>
      <c r="C1127" s="73"/>
      <c r="D1127" s="73"/>
      <c r="F1127" s="73"/>
      <c r="G1127" s="73"/>
      <c r="H1127" s="73"/>
      <c r="P1127" s="73"/>
      <c r="Q1127" s="73"/>
      <c r="R1127" s="73"/>
      <c r="S1127" s="73"/>
      <c r="T1127" s="73"/>
      <c r="U1127" s="73"/>
      <c r="V1127" s="73"/>
      <c r="W1127" s="73"/>
      <c r="X1127" s="73"/>
      <c r="Y1127" s="73"/>
      <c r="Z1127" s="73"/>
      <c r="AA1127" s="73"/>
      <c r="AF1127" s="73"/>
      <c r="AG1127" s="73"/>
    </row>
    <row r="1128" spans="2:33" x14ac:dyDescent="0.2">
      <c r="B1128" s="73" t="s">
        <v>1344</v>
      </c>
      <c r="C1128" s="73"/>
      <c r="D1128" s="73"/>
      <c r="F1128" s="73"/>
      <c r="G1128" s="73"/>
      <c r="H1128" s="73"/>
      <c r="P1128" s="73"/>
      <c r="Q1128" s="73"/>
      <c r="R1128" s="73"/>
      <c r="S1128" s="73"/>
      <c r="T1128" s="73"/>
      <c r="U1128" s="73"/>
      <c r="V1128" s="73"/>
      <c r="W1128" s="73"/>
      <c r="X1128" s="73"/>
      <c r="Y1128" s="73"/>
      <c r="Z1128" s="73"/>
      <c r="AA1128" s="73"/>
      <c r="AF1128" s="73"/>
      <c r="AG1128" s="73"/>
    </row>
    <row r="1129" spans="2:33" x14ac:dyDescent="0.2">
      <c r="B1129" s="73" t="s">
        <v>1343</v>
      </c>
      <c r="C1129" s="73"/>
      <c r="D1129" s="73"/>
      <c r="F1129" s="73"/>
      <c r="G1129" s="73"/>
      <c r="H1129" s="73"/>
      <c r="P1129" s="73"/>
      <c r="Q1129" s="73"/>
      <c r="R1129" s="73"/>
      <c r="S1129" s="73"/>
      <c r="T1129" s="73"/>
      <c r="U1129" s="73"/>
      <c r="V1129" s="73"/>
      <c r="W1129" s="73"/>
      <c r="X1129" s="73"/>
      <c r="Y1129" s="73"/>
      <c r="Z1129" s="73"/>
      <c r="AA1129" s="73"/>
      <c r="AF1129" s="73"/>
      <c r="AG1129" s="73"/>
    </row>
    <row r="1130" spans="2:33" x14ac:dyDescent="0.2">
      <c r="B1130" s="73" t="s">
        <v>1342</v>
      </c>
      <c r="C1130" s="73"/>
      <c r="D1130" s="73"/>
      <c r="F1130" s="73"/>
      <c r="G1130" s="73"/>
      <c r="H1130" s="73"/>
      <c r="P1130" s="73"/>
      <c r="Q1130" s="73"/>
      <c r="R1130" s="73"/>
      <c r="S1130" s="73"/>
      <c r="T1130" s="73"/>
      <c r="U1130" s="73"/>
      <c r="V1130" s="73"/>
      <c r="W1130" s="73"/>
      <c r="X1130" s="73"/>
      <c r="Y1130" s="73"/>
      <c r="Z1130" s="73"/>
      <c r="AA1130" s="73"/>
      <c r="AF1130" s="73"/>
      <c r="AG1130" s="73"/>
    </row>
    <row r="1131" spans="2:33" x14ac:dyDescent="0.2">
      <c r="B1131" s="73" t="s">
        <v>1341</v>
      </c>
      <c r="C1131" s="73"/>
      <c r="D1131" s="73"/>
      <c r="F1131" s="73"/>
      <c r="G1131" s="73"/>
      <c r="H1131" s="73"/>
      <c r="P1131" s="73"/>
      <c r="Q1131" s="73"/>
      <c r="R1131" s="73"/>
      <c r="S1131" s="73"/>
      <c r="T1131" s="73"/>
      <c r="U1131" s="73"/>
      <c r="V1131" s="73"/>
      <c r="W1131" s="73"/>
      <c r="X1131" s="73"/>
      <c r="Y1131" s="73"/>
      <c r="Z1131" s="73"/>
      <c r="AA1131" s="73"/>
      <c r="AF1131" s="73"/>
      <c r="AG1131" s="73"/>
    </row>
    <row r="1132" spans="2:33" x14ac:dyDescent="0.2">
      <c r="B1132" s="73" t="s">
        <v>1340</v>
      </c>
      <c r="C1132" s="73"/>
      <c r="D1132" s="73"/>
      <c r="F1132" s="73"/>
      <c r="G1132" s="73"/>
      <c r="H1132" s="73"/>
      <c r="P1132" s="73"/>
      <c r="Q1132" s="73"/>
      <c r="R1132" s="73"/>
      <c r="S1132" s="73"/>
      <c r="T1132" s="73"/>
      <c r="U1132" s="73"/>
      <c r="V1132" s="73"/>
      <c r="W1132" s="73"/>
      <c r="X1132" s="73"/>
      <c r="Y1132" s="73"/>
      <c r="Z1132" s="73"/>
      <c r="AA1132" s="73"/>
      <c r="AF1132" s="73"/>
      <c r="AG1132" s="73"/>
    </row>
    <row r="1133" spans="2:33" x14ac:dyDescent="0.2">
      <c r="B1133" s="73" t="s">
        <v>1339</v>
      </c>
      <c r="C1133" s="73"/>
      <c r="D1133" s="73"/>
      <c r="F1133" s="73"/>
      <c r="G1133" s="73"/>
      <c r="H1133" s="73"/>
      <c r="P1133" s="73"/>
      <c r="Q1133" s="73"/>
      <c r="R1133" s="73"/>
      <c r="S1133" s="73"/>
      <c r="T1133" s="73"/>
      <c r="U1133" s="73"/>
      <c r="V1133" s="73"/>
      <c r="W1133" s="73"/>
      <c r="X1133" s="73"/>
      <c r="Y1133" s="73"/>
      <c r="Z1133" s="73"/>
      <c r="AA1133" s="73"/>
      <c r="AF1133" s="73"/>
      <c r="AG1133" s="73"/>
    </row>
    <row r="1134" spans="2:33" x14ac:dyDescent="0.2">
      <c r="B1134" s="73" t="s">
        <v>1338</v>
      </c>
      <c r="C1134" s="73"/>
      <c r="D1134" s="73"/>
      <c r="F1134" s="73"/>
      <c r="G1134" s="73"/>
      <c r="H1134" s="73"/>
      <c r="P1134" s="73"/>
      <c r="Q1134" s="73"/>
      <c r="R1134" s="73"/>
      <c r="S1134" s="73"/>
      <c r="T1134" s="73"/>
      <c r="U1134" s="73"/>
      <c r="V1134" s="73"/>
      <c r="W1134" s="73"/>
      <c r="X1134" s="73"/>
      <c r="Y1134" s="73"/>
      <c r="Z1134" s="73"/>
      <c r="AA1134" s="73"/>
      <c r="AF1134" s="73"/>
      <c r="AG1134" s="73"/>
    </row>
    <row r="1135" spans="2:33" x14ac:dyDescent="0.2">
      <c r="B1135" s="73" t="s">
        <v>1337</v>
      </c>
      <c r="C1135" s="73"/>
      <c r="D1135" s="73"/>
      <c r="F1135" s="73"/>
      <c r="G1135" s="73"/>
      <c r="H1135" s="73"/>
      <c r="P1135" s="73"/>
      <c r="Q1135" s="73"/>
      <c r="R1135" s="73"/>
      <c r="S1135" s="73"/>
      <c r="T1135" s="73"/>
      <c r="U1135" s="73"/>
      <c r="V1135" s="73"/>
      <c r="W1135" s="73"/>
      <c r="X1135" s="73"/>
      <c r="Y1135" s="73"/>
      <c r="Z1135" s="73"/>
      <c r="AA1135" s="73"/>
      <c r="AF1135" s="73"/>
      <c r="AG1135" s="73"/>
    </row>
    <row r="1136" spans="2:33" x14ac:dyDescent="0.2">
      <c r="B1136" s="73" t="s">
        <v>1336</v>
      </c>
      <c r="C1136" s="73"/>
      <c r="D1136" s="73"/>
      <c r="F1136" s="73"/>
      <c r="G1136" s="73"/>
      <c r="H1136" s="73"/>
      <c r="P1136" s="73"/>
      <c r="Q1136" s="73"/>
      <c r="R1136" s="73"/>
      <c r="S1136" s="73"/>
      <c r="T1136" s="73"/>
      <c r="U1136" s="73"/>
      <c r="V1136" s="73"/>
      <c r="W1136" s="73"/>
      <c r="X1136" s="73"/>
      <c r="Y1136" s="73"/>
      <c r="Z1136" s="73"/>
      <c r="AA1136" s="73"/>
      <c r="AF1136" s="73"/>
      <c r="AG1136" s="73"/>
    </row>
    <row r="1137" spans="2:33" x14ac:dyDescent="0.2">
      <c r="B1137" s="73" t="s">
        <v>1335</v>
      </c>
      <c r="C1137" s="73"/>
      <c r="D1137" s="73"/>
      <c r="F1137" s="73"/>
      <c r="G1137" s="73"/>
      <c r="H1137" s="73"/>
      <c r="P1137" s="73"/>
      <c r="Q1137" s="73"/>
      <c r="R1137" s="73"/>
      <c r="S1137" s="73"/>
      <c r="T1137" s="73"/>
      <c r="U1137" s="73"/>
      <c r="V1137" s="73"/>
      <c r="W1137" s="73"/>
      <c r="X1137" s="73"/>
      <c r="Y1137" s="73"/>
      <c r="Z1137" s="73"/>
      <c r="AA1137" s="73"/>
      <c r="AF1137" s="73"/>
      <c r="AG1137" s="73"/>
    </row>
    <row r="1138" spans="2:33" x14ac:dyDescent="0.2">
      <c r="B1138" s="73" t="s">
        <v>1334</v>
      </c>
      <c r="P1138" s="73"/>
      <c r="Q1138" s="73"/>
      <c r="R1138" s="73"/>
      <c r="S1138" s="73"/>
      <c r="T1138" s="73"/>
      <c r="U1138" s="73"/>
      <c r="V1138" s="73"/>
      <c r="W1138" s="73"/>
      <c r="X1138" s="73"/>
      <c r="Y1138" s="73"/>
      <c r="Z1138" s="73"/>
      <c r="AA1138" s="73"/>
      <c r="AF1138" s="73"/>
      <c r="AG1138" s="73"/>
    </row>
    <row r="1139" spans="2:33" x14ac:dyDescent="0.2">
      <c r="B1139" s="73" t="s">
        <v>1333</v>
      </c>
      <c r="P1139" s="73"/>
      <c r="Q1139" s="73"/>
      <c r="R1139" s="73"/>
      <c r="S1139" s="73"/>
      <c r="T1139" s="73"/>
      <c r="U1139" s="73"/>
      <c r="V1139" s="73"/>
      <c r="W1139" s="73"/>
      <c r="X1139" s="73"/>
      <c r="Y1139" s="73"/>
      <c r="Z1139" s="73"/>
      <c r="AA1139" s="73"/>
      <c r="AF1139" s="73"/>
      <c r="AG1139" s="73"/>
    </row>
    <row r="1140" spans="2:33" x14ac:dyDescent="0.2">
      <c r="B1140" s="73" t="s">
        <v>1332</v>
      </c>
      <c r="P1140" s="73"/>
      <c r="Q1140" s="73"/>
      <c r="R1140" s="73"/>
      <c r="S1140" s="73"/>
      <c r="T1140" s="73"/>
      <c r="U1140" s="73"/>
      <c r="V1140" s="73"/>
      <c r="W1140" s="73"/>
      <c r="X1140" s="73"/>
      <c r="Y1140" s="73"/>
      <c r="Z1140" s="73"/>
      <c r="AA1140" s="73"/>
      <c r="AF1140" s="73"/>
      <c r="AG1140" s="73"/>
    </row>
    <row r="1141" spans="2:33" x14ac:dyDescent="0.2">
      <c r="B1141" s="73" t="s">
        <v>1331</v>
      </c>
      <c r="P1141" s="73"/>
      <c r="Q1141" s="73"/>
      <c r="R1141" s="73"/>
      <c r="S1141" s="73"/>
      <c r="T1141" s="73"/>
      <c r="U1141" s="73"/>
      <c r="V1141" s="73"/>
      <c r="W1141" s="73"/>
      <c r="X1141" s="73"/>
      <c r="Y1141" s="73"/>
      <c r="Z1141" s="73"/>
      <c r="AA1141" s="73"/>
      <c r="AF1141" s="73"/>
      <c r="AG1141" s="73"/>
    </row>
    <row r="1142" spans="2:33" x14ac:dyDescent="0.2">
      <c r="B1142" s="73" t="s">
        <v>1330</v>
      </c>
      <c r="P1142" s="73"/>
      <c r="Q1142" s="73"/>
      <c r="R1142" s="73"/>
      <c r="S1142" s="73"/>
      <c r="T1142" s="73"/>
      <c r="U1142" s="73"/>
      <c r="V1142" s="73"/>
      <c r="W1142" s="73"/>
      <c r="X1142" s="73"/>
      <c r="Y1142" s="73"/>
      <c r="Z1142" s="73"/>
      <c r="AA1142" s="73"/>
      <c r="AF1142" s="73"/>
      <c r="AG1142" s="73"/>
    </row>
    <row r="1143" spans="2:33" x14ac:dyDescent="0.2">
      <c r="B1143" s="73" t="s">
        <v>1329</v>
      </c>
      <c r="K1143" s="73" t="s">
        <v>3334</v>
      </c>
      <c r="L1143" s="73" t="s">
        <v>3334</v>
      </c>
      <c r="P1143" s="73"/>
      <c r="Q1143" s="73"/>
      <c r="R1143" s="73"/>
      <c r="S1143" s="73"/>
      <c r="T1143" s="73"/>
      <c r="U1143" s="73"/>
      <c r="V1143" s="73"/>
      <c r="W1143" s="73"/>
      <c r="X1143" s="73"/>
      <c r="Y1143" s="73"/>
      <c r="Z1143" s="73"/>
      <c r="AA1143" s="73"/>
      <c r="AF1143" s="73"/>
      <c r="AG1143" s="73"/>
    </row>
    <row r="1144" spans="2:33" x14ac:dyDescent="0.2">
      <c r="B1144" s="73" t="s">
        <v>1328</v>
      </c>
      <c r="P1144" s="73"/>
      <c r="Q1144" s="73"/>
      <c r="R1144" s="73"/>
      <c r="S1144" s="73"/>
      <c r="T1144" s="73"/>
      <c r="U1144" s="73"/>
      <c r="V1144" s="73"/>
      <c r="W1144" s="73"/>
      <c r="X1144" s="73"/>
      <c r="Y1144" s="73"/>
      <c r="Z1144" s="73"/>
      <c r="AA1144" s="73"/>
      <c r="AF1144" s="73"/>
      <c r="AG1144" s="73"/>
    </row>
    <row r="1145" spans="2:33" x14ac:dyDescent="0.2">
      <c r="B1145" s="73" t="s">
        <v>1327</v>
      </c>
      <c r="P1145" s="73"/>
      <c r="Q1145" s="73"/>
      <c r="R1145" s="73"/>
      <c r="S1145" s="73"/>
      <c r="T1145" s="73"/>
      <c r="U1145" s="73"/>
      <c r="V1145" s="73"/>
      <c r="W1145" s="73"/>
      <c r="X1145" s="73"/>
      <c r="Y1145" s="73"/>
      <c r="Z1145" s="73"/>
      <c r="AA1145" s="73"/>
      <c r="AF1145" s="73"/>
      <c r="AG1145" s="73"/>
    </row>
    <row r="1146" spans="2:33" x14ac:dyDescent="0.2">
      <c r="B1146" s="73" t="s">
        <v>1326</v>
      </c>
      <c r="P1146" s="73"/>
      <c r="Q1146" s="73"/>
      <c r="R1146" s="73"/>
      <c r="S1146" s="73"/>
      <c r="T1146" s="73"/>
      <c r="U1146" s="73"/>
      <c r="V1146" s="73"/>
      <c r="W1146" s="73"/>
      <c r="X1146" s="73"/>
      <c r="Y1146" s="73"/>
      <c r="Z1146" s="73"/>
      <c r="AA1146" s="73"/>
      <c r="AF1146" s="73"/>
      <c r="AG1146" s="73"/>
    </row>
    <row r="1147" spans="2:33" x14ac:dyDescent="0.2">
      <c r="B1147" s="73" t="s">
        <v>1325</v>
      </c>
      <c r="P1147" s="73"/>
      <c r="Q1147" s="73"/>
      <c r="R1147" s="73"/>
      <c r="S1147" s="73"/>
      <c r="T1147" s="73"/>
      <c r="U1147" s="73"/>
      <c r="V1147" s="73"/>
      <c r="W1147" s="73"/>
      <c r="X1147" s="73"/>
      <c r="Y1147" s="73"/>
      <c r="Z1147" s="73"/>
      <c r="AA1147" s="73"/>
      <c r="AF1147" s="73"/>
      <c r="AG1147" s="73"/>
    </row>
    <row r="1148" spans="2:33" x14ac:dyDescent="0.2">
      <c r="B1148" s="73" t="s">
        <v>1324</v>
      </c>
      <c r="P1148" s="73"/>
      <c r="Q1148" s="73"/>
      <c r="R1148" s="73"/>
      <c r="S1148" s="73"/>
      <c r="T1148" s="73"/>
      <c r="U1148" s="73"/>
      <c r="V1148" s="73"/>
      <c r="W1148" s="73"/>
      <c r="X1148" s="73"/>
      <c r="Y1148" s="73"/>
      <c r="Z1148" s="73"/>
      <c r="AA1148" s="73"/>
      <c r="AF1148" s="73"/>
      <c r="AG1148" s="73"/>
    </row>
    <row r="1149" spans="2:33" x14ac:dyDescent="0.2">
      <c r="B1149" s="73" t="s">
        <v>1323</v>
      </c>
      <c r="P1149" s="73"/>
      <c r="Q1149" s="73"/>
      <c r="R1149" s="73"/>
      <c r="S1149" s="73"/>
      <c r="T1149" s="73"/>
      <c r="U1149" s="73"/>
      <c r="V1149" s="73"/>
      <c r="W1149" s="73"/>
      <c r="X1149" s="73"/>
      <c r="Y1149" s="73"/>
      <c r="Z1149" s="73"/>
      <c r="AA1149" s="73"/>
      <c r="AF1149" s="73"/>
      <c r="AG1149" s="73"/>
    </row>
    <row r="1150" spans="2:33" x14ac:dyDescent="0.2">
      <c r="B1150" s="73" t="s">
        <v>1322</v>
      </c>
      <c r="P1150" s="73"/>
      <c r="Q1150" s="73"/>
      <c r="R1150" s="73"/>
      <c r="S1150" s="73"/>
      <c r="T1150" s="73"/>
      <c r="U1150" s="73"/>
      <c r="V1150" s="73"/>
      <c r="W1150" s="73"/>
      <c r="X1150" s="73"/>
      <c r="Y1150" s="73"/>
      <c r="Z1150" s="73"/>
      <c r="AA1150" s="73"/>
      <c r="AF1150" s="73"/>
      <c r="AG1150" s="73"/>
    </row>
    <row r="1151" spans="2:33" x14ac:dyDescent="0.2">
      <c r="B1151" s="73" t="s">
        <v>1321</v>
      </c>
      <c r="P1151" s="73"/>
      <c r="Q1151" s="73"/>
      <c r="R1151" s="73"/>
      <c r="S1151" s="73"/>
      <c r="T1151" s="73"/>
      <c r="U1151" s="73"/>
      <c r="V1151" s="73"/>
      <c r="W1151" s="73"/>
      <c r="X1151" s="73"/>
      <c r="Y1151" s="73"/>
      <c r="Z1151" s="73"/>
      <c r="AA1151" s="73"/>
      <c r="AF1151" s="73"/>
      <c r="AG1151" s="73"/>
    </row>
    <row r="1152" spans="2:33" x14ac:dyDescent="0.2">
      <c r="B1152" s="73" t="s">
        <v>1320</v>
      </c>
      <c r="P1152" s="73"/>
      <c r="Q1152" s="73"/>
      <c r="R1152" s="73"/>
      <c r="S1152" s="73"/>
      <c r="T1152" s="73"/>
      <c r="U1152" s="73"/>
      <c r="V1152" s="73"/>
      <c r="W1152" s="73"/>
      <c r="X1152" s="73"/>
      <c r="Y1152" s="73"/>
      <c r="Z1152" s="73"/>
      <c r="AA1152" s="73"/>
      <c r="AF1152" s="73"/>
      <c r="AG1152" s="73"/>
    </row>
    <row r="1153" spans="2:33" x14ac:dyDescent="0.2">
      <c r="B1153" s="73" t="s">
        <v>1319</v>
      </c>
      <c r="P1153" s="73"/>
      <c r="Q1153" s="73"/>
      <c r="R1153" s="73"/>
      <c r="S1153" s="73"/>
      <c r="T1153" s="73"/>
      <c r="U1153" s="73"/>
      <c r="V1153" s="73"/>
      <c r="W1153" s="73"/>
      <c r="X1153" s="73"/>
      <c r="Y1153" s="73"/>
      <c r="Z1153" s="73"/>
      <c r="AA1153" s="73"/>
      <c r="AF1153" s="73"/>
      <c r="AG1153" s="73"/>
    </row>
    <row r="1154" spans="2:33" x14ac:dyDescent="0.2">
      <c r="B1154" s="73" t="s">
        <v>1318</v>
      </c>
      <c r="C1154" s="73"/>
      <c r="D1154" s="73"/>
      <c r="F1154" s="73"/>
      <c r="G1154" s="73"/>
      <c r="H1154" s="73"/>
      <c r="P1154" s="73"/>
      <c r="Q1154" s="73"/>
      <c r="R1154" s="73"/>
      <c r="S1154" s="73"/>
      <c r="T1154" s="73"/>
      <c r="U1154" s="73"/>
      <c r="V1154" s="73"/>
      <c r="W1154" s="73"/>
      <c r="X1154" s="73"/>
      <c r="Y1154" s="73"/>
      <c r="Z1154" s="73"/>
      <c r="AA1154" s="73"/>
      <c r="AF1154" s="73"/>
      <c r="AG1154" s="73"/>
    </row>
    <row r="1155" spans="2:33" x14ac:dyDescent="0.2">
      <c r="B1155" s="73" t="s">
        <v>1317</v>
      </c>
      <c r="C1155" s="73"/>
      <c r="D1155" s="73"/>
      <c r="F1155" s="73"/>
      <c r="G1155" s="73"/>
      <c r="H1155" s="73"/>
      <c r="P1155" s="73"/>
      <c r="Q1155" s="73"/>
      <c r="R1155" s="73"/>
      <c r="S1155" s="73"/>
      <c r="T1155" s="73"/>
      <c r="U1155" s="73"/>
      <c r="V1155" s="73"/>
      <c r="W1155" s="73"/>
      <c r="X1155" s="73"/>
      <c r="Y1155" s="73"/>
      <c r="Z1155" s="73"/>
      <c r="AA1155" s="73"/>
      <c r="AF1155" s="73"/>
      <c r="AG1155" s="73"/>
    </row>
    <row r="1156" spans="2:33" x14ac:dyDescent="0.2">
      <c r="B1156" s="73" t="s">
        <v>1316</v>
      </c>
      <c r="C1156" s="73"/>
      <c r="D1156" s="73"/>
      <c r="F1156" s="73"/>
      <c r="G1156" s="73"/>
      <c r="H1156" s="73"/>
      <c r="P1156" s="73"/>
      <c r="Q1156" s="73"/>
      <c r="R1156" s="73"/>
      <c r="S1156" s="73"/>
      <c r="T1156" s="73"/>
      <c r="U1156" s="73"/>
      <c r="V1156" s="73"/>
      <c r="W1156" s="73"/>
      <c r="X1156" s="73"/>
      <c r="Y1156" s="73"/>
      <c r="Z1156" s="73"/>
      <c r="AA1156" s="73"/>
      <c r="AF1156" s="73"/>
      <c r="AG1156" s="73"/>
    </row>
    <row r="1157" spans="2:33" x14ac:dyDescent="0.2">
      <c r="B1157" s="73" t="s">
        <v>1315</v>
      </c>
      <c r="C1157" s="73"/>
      <c r="D1157" s="73"/>
      <c r="F1157" s="73"/>
      <c r="G1157" s="73"/>
      <c r="H1157" s="73"/>
      <c r="P1157" s="73"/>
      <c r="Q1157" s="73"/>
      <c r="R1157" s="73"/>
      <c r="S1157" s="73"/>
      <c r="T1157" s="73"/>
      <c r="U1157" s="73"/>
      <c r="V1157" s="73"/>
      <c r="W1157" s="73"/>
      <c r="X1157" s="73"/>
      <c r="Y1157" s="73"/>
      <c r="Z1157" s="73"/>
      <c r="AA1157" s="73"/>
      <c r="AF1157" s="73"/>
      <c r="AG1157" s="73"/>
    </row>
    <row r="1158" spans="2:33" x14ac:dyDescent="0.2">
      <c r="B1158" s="73" t="s">
        <v>1314</v>
      </c>
      <c r="C1158" s="73"/>
      <c r="D1158" s="73"/>
      <c r="F1158" s="73"/>
      <c r="G1158" s="73"/>
      <c r="H1158" s="73"/>
      <c r="P1158" s="73"/>
      <c r="Q1158" s="73"/>
      <c r="R1158" s="73"/>
      <c r="S1158" s="73"/>
      <c r="T1158" s="73"/>
      <c r="U1158" s="73"/>
      <c r="V1158" s="73"/>
      <c r="W1158" s="73"/>
      <c r="X1158" s="73"/>
      <c r="Y1158" s="73"/>
      <c r="Z1158" s="73"/>
      <c r="AA1158" s="73"/>
      <c r="AF1158" s="73"/>
      <c r="AG1158" s="73"/>
    </row>
    <row r="1159" spans="2:33" x14ac:dyDescent="0.2">
      <c r="B1159" s="73" t="s">
        <v>1313</v>
      </c>
      <c r="C1159" s="73"/>
      <c r="D1159" s="73"/>
      <c r="F1159" s="73"/>
      <c r="G1159" s="73"/>
      <c r="H1159" s="73"/>
      <c r="P1159" s="73"/>
      <c r="Q1159" s="73"/>
      <c r="R1159" s="73"/>
      <c r="S1159" s="73"/>
      <c r="T1159" s="73"/>
      <c r="U1159" s="73"/>
      <c r="V1159" s="73"/>
      <c r="W1159" s="73"/>
      <c r="X1159" s="73"/>
      <c r="Y1159" s="73"/>
      <c r="Z1159" s="73"/>
      <c r="AA1159" s="73"/>
      <c r="AF1159" s="73"/>
      <c r="AG1159" s="73"/>
    </row>
    <row r="1160" spans="2:33" x14ac:dyDescent="0.2">
      <c r="B1160" s="73" t="s">
        <v>1312</v>
      </c>
      <c r="C1160" s="73"/>
      <c r="D1160" s="73"/>
      <c r="F1160" s="73"/>
      <c r="G1160" s="73"/>
      <c r="H1160" s="73"/>
      <c r="P1160" s="73"/>
      <c r="Q1160" s="73"/>
      <c r="R1160" s="73"/>
      <c r="S1160" s="73"/>
      <c r="T1160" s="73"/>
      <c r="U1160" s="73"/>
      <c r="V1160" s="73"/>
      <c r="W1160" s="73"/>
      <c r="X1160" s="73"/>
      <c r="Y1160" s="73"/>
      <c r="Z1160" s="73"/>
      <c r="AA1160" s="73"/>
      <c r="AF1160" s="73"/>
      <c r="AG1160" s="73"/>
    </row>
    <row r="1161" spans="2:33" x14ac:dyDescent="0.2">
      <c r="B1161" s="73" t="s">
        <v>1311</v>
      </c>
      <c r="C1161" s="73"/>
      <c r="D1161" s="73"/>
      <c r="F1161" s="73"/>
      <c r="G1161" s="73"/>
      <c r="H1161" s="73"/>
      <c r="P1161" s="73"/>
      <c r="Q1161" s="73"/>
      <c r="R1161" s="73"/>
      <c r="S1161" s="73"/>
      <c r="T1161" s="73"/>
      <c r="U1161" s="73"/>
      <c r="V1161" s="73"/>
      <c r="W1161" s="73"/>
      <c r="X1161" s="73"/>
      <c r="Y1161" s="73"/>
      <c r="Z1161" s="73"/>
      <c r="AA1161" s="73"/>
      <c r="AF1161" s="73"/>
      <c r="AG1161" s="73"/>
    </row>
    <row r="1162" spans="2:33" x14ac:dyDescent="0.2">
      <c r="B1162" s="73" t="s">
        <v>1310</v>
      </c>
      <c r="C1162" s="73"/>
      <c r="D1162" s="73"/>
      <c r="F1162" s="73"/>
      <c r="G1162" s="73"/>
      <c r="H1162" s="73"/>
      <c r="P1162" s="73"/>
      <c r="Q1162" s="73"/>
      <c r="R1162" s="73"/>
      <c r="S1162" s="73"/>
      <c r="T1162" s="73"/>
      <c r="U1162" s="73"/>
      <c r="V1162" s="73"/>
      <c r="W1162" s="73"/>
      <c r="X1162" s="73"/>
      <c r="Y1162" s="73"/>
      <c r="Z1162" s="73"/>
      <c r="AA1162" s="73"/>
      <c r="AF1162" s="73"/>
      <c r="AG1162" s="73"/>
    </row>
    <row r="1163" spans="2:33" x14ac:dyDescent="0.2">
      <c r="B1163" s="73" t="s">
        <v>1309</v>
      </c>
      <c r="C1163" s="73"/>
      <c r="D1163" s="73"/>
      <c r="F1163" s="73"/>
      <c r="G1163" s="73"/>
      <c r="H1163" s="73"/>
      <c r="P1163" s="73"/>
      <c r="Q1163" s="73"/>
      <c r="R1163" s="73"/>
      <c r="S1163" s="73"/>
      <c r="T1163" s="73"/>
      <c r="U1163" s="73"/>
      <c r="V1163" s="73"/>
      <c r="W1163" s="73"/>
      <c r="X1163" s="73"/>
      <c r="Y1163" s="73"/>
      <c r="Z1163" s="73"/>
      <c r="AA1163" s="73"/>
      <c r="AF1163" s="73"/>
      <c r="AG1163" s="73"/>
    </row>
    <row r="1164" spans="2:33" x14ac:dyDescent="0.2">
      <c r="B1164" s="73" t="s">
        <v>1308</v>
      </c>
      <c r="C1164" s="73"/>
      <c r="D1164" s="73"/>
      <c r="F1164" s="73"/>
      <c r="G1164" s="73"/>
      <c r="H1164" s="73"/>
      <c r="P1164" s="73"/>
      <c r="Q1164" s="73"/>
      <c r="R1164" s="73"/>
      <c r="S1164" s="73"/>
      <c r="T1164" s="73"/>
      <c r="U1164" s="73"/>
      <c r="V1164" s="73"/>
      <c r="W1164" s="73"/>
      <c r="X1164" s="73"/>
      <c r="Y1164" s="73"/>
      <c r="Z1164" s="73"/>
      <c r="AA1164" s="73"/>
      <c r="AF1164" s="73"/>
      <c r="AG1164" s="73"/>
    </row>
    <row r="1165" spans="2:33" x14ac:dyDescent="0.2">
      <c r="B1165" s="73" t="s">
        <v>1307</v>
      </c>
      <c r="C1165" s="73"/>
      <c r="D1165" s="73"/>
      <c r="F1165" s="73"/>
      <c r="G1165" s="73"/>
      <c r="H1165" s="73"/>
      <c r="P1165" s="73"/>
      <c r="Q1165" s="73"/>
      <c r="R1165" s="73"/>
      <c r="S1165" s="73"/>
      <c r="T1165" s="73"/>
      <c r="U1165" s="73"/>
      <c r="V1165" s="73"/>
      <c r="W1165" s="73"/>
      <c r="X1165" s="73"/>
      <c r="Y1165" s="73"/>
      <c r="Z1165" s="73"/>
      <c r="AA1165" s="73"/>
      <c r="AF1165" s="73"/>
      <c r="AG1165" s="73"/>
    </row>
    <row r="1166" spans="2:33" x14ac:dyDescent="0.2">
      <c r="B1166" s="73" t="s">
        <v>1306</v>
      </c>
      <c r="C1166" s="73"/>
      <c r="D1166" s="73"/>
      <c r="F1166" s="73"/>
      <c r="G1166" s="73"/>
      <c r="H1166" s="73"/>
      <c r="P1166" s="73"/>
      <c r="Q1166" s="73"/>
      <c r="R1166" s="73"/>
      <c r="S1166" s="73"/>
      <c r="T1166" s="73"/>
      <c r="U1166" s="73"/>
      <c r="V1166" s="73"/>
      <c r="W1166" s="73"/>
      <c r="X1166" s="73"/>
      <c r="Y1166" s="73"/>
      <c r="Z1166" s="73"/>
      <c r="AA1166" s="73"/>
      <c r="AF1166" s="73"/>
      <c r="AG1166" s="73"/>
    </row>
    <row r="1167" spans="2:33" x14ac:dyDescent="0.2">
      <c r="B1167" s="73" t="s">
        <v>1305</v>
      </c>
      <c r="C1167" s="73"/>
      <c r="D1167" s="73"/>
      <c r="F1167" s="73"/>
      <c r="G1167" s="73"/>
      <c r="H1167" s="73"/>
      <c r="P1167" s="73"/>
      <c r="Q1167" s="73"/>
      <c r="R1167" s="73"/>
      <c r="S1167" s="73"/>
      <c r="T1167" s="73"/>
      <c r="U1167" s="73"/>
      <c r="V1167" s="73"/>
      <c r="W1167" s="73"/>
      <c r="X1167" s="73"/>
      <c r="Y1167" s="73"/>
      <c r="Z1167" s="73"/>
      <c r="AA1167" s="73"/>
      <c r="AF1167" s="73"/>
      <c r="AG1167" s="73"/>
    </row>
    <row r="1168" spans="2:33" x14ac:dyDescent="0.2">
      <c r="B1168" s="73" t="s">
        <v>1304</v>
      </c>
      <c r="C1168" s="73"/>
      <c r="D1168" s="73"/>
      <c r="F1168" s="73"/>
      <c r="G1168" s="73"/>
      <c r="H1168" s="73"/>
      <c r="P1168" s="73"/>
      <c r="Q1168" s="73"/>
      <c r="R1168" s="73"/>
      <c r="S1168" s="73"/>
      <c r="T1168" s="73"/>
      <c r="U1168" s="73"/>
      <c r="V1168" s="73"/>
      <c r="W1168" s="73"/>
      <c r="X1168" s="73"/>
      <c r="Y1168" s="73"/>
      <c r="Z1168" s="73"/>
      <c r="AA1168" s="73"/>
      <c r="AF1168" s="73"/>
      <c r="AG1168" s="73"/>
    </row>
    <row r="1169" spans="2:33" x14ac:dyDescent="0.2">
      <c r="B1169" s="73" t="s">
        <v>4303</v>
      </c>
      <c r="C1169" s="73"/>
      <c r="D1169" s="73"/>
      <c r="F1169" s="73"/>
      <c r="G1169" s="73"/>
      <c r="H1169" s="73"/>
      <c r="P1169" s="73"/>
      <c r="Q1169" s="73"/>
      <c r="R1169" s="73"/>
      <c r="S1169" s="73"/>
      <c r="T1169" s="73"/>
      <c r="U1169" s="73"/>
      <c r="V1169" s="73"/>
      <c r="W1169" s="73"/>
      <c r="X1169" s="73"/>
      <c r="Y1169" s="73"/>
      <c r="Z1169" s="73"/>
      <c r="AA1169" s="73"/>
      <c r="AF1169" s="73"/>
      <c r="AG1169" s="73"/>
    </row>
    <row r="1170" spans="2:33" x14ac:dyDescent="0.2">
      <c r="B1170" s="73" t="s">
        <v>1303</v>
      </c>
      <c r="C1170" s="73"/>
      <c r="D1170" s="73"/>
      <c r="F1170" s="73"/>
      <c r="G1170" s="73"/>
      <c r="H1170" s="73"/>
      <c r="P1170" s="73"/>
      <c r="Q1170" s="73"/>
      <c r="R1170" s="73"/>
      <c r="S1170" s="73"/>
      <c r="T1170" s="73"/>
      <c r="U1170" s="73"/>
      <c r="V1170" s="73"/>
      <c r="W1170" s="73"/>
      <c r="X1170" s="73"/>
      <c r="Y1170" s="73"/>
      <c r="Z1170" s="73"/>
      <c r="AA1170" s="73"/>
      <c r="AF1170" s="73"/>
      <c r="AG1170" s="73"/>
    </row>
    <row r="1171" spans="2:33" x14ac:dyDescent="0.2">
      <c r="B1171" s="73" t="s">
        <v>1302</v>
      </c>
      <c r="C1171" s="73"/>
      <c r="D1171" s="73"/>
      <c r="F1171" s="73"/>
      <c r="G1171" s="73"/>
      <c r="H1171" s="73"/>
      <c r="P1171" s="73"/>
      <c r="Q1171" s="73"/>
      <c r="R1171" s="73"/>
      <c r="S1171" s="73"/>
      <c r="T1171" s="73"/>
      <c r="U1171" s="73"/>
      <c r="V1171" s="73"/>
      <c r="W1171" s="73"/>
      <c r="X1171" s="73"/>
      <c r="Y1171" s="73"/>
      <c r="Z1171" s="73"/>
      <c r="AA1171" s="73"/>
      <c r="AF1171" s="73"/>
      <c r="AG1171" s="73"/>
    </row>
    <row r="1172" spans="2:33" x14ac:dyDescent="0.2">
      <c r="B1172" s="73" t="s">
        <v>1301</v>
      </c>
      <c r="C1172" s="73"/>
      <c r="D1172" s="73"/>
      <c r="F1172" s="73"/>
      <c r="G1172" s="73"/>
      <c r="H1172" s="73"/>
      <c r="P1172" s="73"/>
      <c r="Q1172" s="73"/>
      <c r="R1172" s="73"/>
      <c r="S1172" s="73"/>
      <c r="T1172" s="73"/>
      <c r="U1172" s="73"/>
      <c r="V1172" s="73"/>
      <c r="W1172" s="73"/>
      <c r="X1172" s="73"/>
      <c r="Y1172" s="73"/>
      <c r="Z1172" s="73"/>
      <c r="AA1172" s="73"/>
      <c r="AF1172" s="73"/>
      <c r="AG1172" s="73"/>
    </row>
    <row r="1173" spans="2:33" x14ac:dyDescent="0.2">
      <c r="B1173" s="73" t="s">
        <v>1300</v>
      </c>
      <c r="C1173" s="73"/>
      <c r="D1173" s="73"/>
      <c r="F1173" s="73"/>
      <c r="G1173" s="73"/>
      <c r="H1173" s="73"/>
      <c r="P1173" s="73"/>
      <c r="Q1173" s="73"/>
      <c r="R1173" s="73"/>
      <c r="S1173" s="73"/>
      <c r="T1173" s="73"/>
      <c r="U1173" s="73"/>
      <c r="V1173" s="73"/>
      <c r="W1173" s="73"/>
      <c r="X1173" s="73"/>
      <c r="Y1173" s="73"/>
      <c r="Z1173" s="73"/>
      <c r="AA1173" s="73"/>
      <c r="AF1173" s="73"/>
      <c r="AG1173" s="73"/>
    </row>
    <row r="1174" spans="2:33" x14ac:dyDescent="0.2">
      <c r="B1174" s="73" t="s">
        <v>1299</v>
      </c>
      <c r="C1174" s="73"/>
      <c r="D1174" s="73"/>
      <c r="F1174" s="73"/>
      <c r="G1174" s="73"/>
      <c r="H1174" s="73"/>
      <c r="P1174" s="73"/>
      <c r="Q1174" s="73"/>
      <c r="R1174" s="73"/>
      <c r="S1174" s="73"/>
      <c r="T1174" s="73"/>
      <c r="U1174" s="73"/>
      <c r="V1174" s="73"/>
      <c r="W1174" s="73"/>
      <c r="X1174" s="73"/>
      <c r="Y1174" s="73"/>
      <c r="Z1174" s="73"/>
      <c r="AA1174" s="73"/>
      <c r="AF1174" s="73"/>
      <c r="AG1174" s="73"/>
    </row>
    <row r="1175" spans="2:33" x14ac:dyDescent="0.2">
      <c r="B1175" s="73" t="s">
        <v>1298</v>
      </c>
      <c r="C1175" s="73"/>
      <c r="D1175" s="73"/>
      <c r="F1175" s="73"/>
      <c r="G1175" s="73"/>
      <c r="H1175" s="73"/>
      <c r="P1175" s="73"/>
      <c r="Q1175" s="73"/>
      <c r="R1175" s="73"/>
      <c r="S1175" s="73"/>
      <c r="T1175" s="73"/>
      <c r="U1175" s="73"/>
      <c r="V1175" s="73"/>
      <c r="W1175" s="73"/>
      <c r="X1175" s="73"/>
      <c r="Y1175" s="73"/>
      <c r="Z1175" s="73"/>
      <c r="AA1175" s="73"/>
      <c r="AF1175" s="73"/>
      <c r="AG1175" s="73"/>
    </row>
    <row r="1176" spans="2:33" x14ac:dyDescent="0.2">
      <c r="B1176" s="73" t="s">
        <v>1297</v>
      </c>
      <c r="C1176" s="73"/>
      <c r="D1176" s="73"/>
      <c r="F1176" s="73"/>
      <c r="G1176" s="73"/>
      <c r="H1176" s="73"/>
      <c r="P1176" s="73"/>
      <c r="Q1176" s="73"/>
      <c r="R1176" s="73"/>
      <c r="S1176" s="73"/>
      <c r="T1176" s="73"/>
      <c r="U1176" s="73"/>
      <c r="V1176" s="73"/>
      <c r="W1176" s="73"/>
      <c r="X1176" s="73"/>
      <c r="Y1176" s="73"/>
      <c r="Z1176" s="73"/>
      <c r="AA1176" s="73"/>
      <c r="AF1176" s="73"/>
      <c r="AG1176" s="73"/>
    </row>
    <row r="1177" spans="2:33" x14ac:dyDescent="0.2">
      <c r="B1177" s="73" t="s">
        <v>1296</v>
      </c>
      <c r="C1177" s="73"/>
      <c r="D1177" s="73"/>
      <c r="F1177" s="73"/>
      <c r="G1177" s="73"/>
      <c r="H1177" s="73"/>
      <c r="P1177" s="73"/>
      <c r="Q1177" s="73"/>
      <c r="R1177" s="73"/>
      <c r="S1177" s="73"/>
      <c r="T1177" s="73"/>
      <c r="U1177" s="73"/>
      <c r="V1177" s="73"/>
      <c r="W1177" s="73"/>
      <c r="X1177" s="73"/>
      <c r="Y1177" s="73"/>
      <c r="Z1177" s="73"/>
      <c r="AA1177" s="73"/>
      <c r="AF1177" s="73"/>
      <c r="AG1177" s="73"/>
    </row>
    <row r="1178" spans="2:33" x14ac:dyDescent="0.2">
      <c r="B1178" s="73" t="s">
        <v>1295</v>
      </c>
      <c r="C1178" s="73"/>
      <c r="D1178" s="73"/>
      <c r="F1178" s="73"/>
      <c r="G1178" s="73"/>
      <c r="H1178" s="73"/>
      <c r="P1178" s="73"/>
      <c r="Q1178" s="73"/>
      <c r="R1178" s="73"/>
      <c r="S1178" s="73"/>
      <c r="T1178" s="73"/>
      <c r="U1178" s="73"/>
      <c r="V1178" s="73"/>
      <c r="W1178" s="73"/>
      <c r="X1178" s="73"/>
      <c r="Y1178" s="73"/>
      <c r="Z1178" s="73"/>
      <c r="AA1178" s="73"/>
      <c r="AF1178" s="73"/>
      <c r="AG1178" s="73"/>
    </row>
    <row r="1179" spans="2:33" x14ac:dyDescent="0.2">
      <c r="B1179" s="73" t="s">
        <v>1294</v>
      </c>
      <c r="C1179" s="73"/>
      <c r="D1179" s="73"/>
      <c r="F1179" s="73"/>
      <c r="G1179" s="73"/>
      <c r="H1179" s="73"/>
      <c r="P1179" s="73"/>
      <c r="Q1179" s="73"/>
      <c r="R1179" s="73"/>
      <c r="S1179" s="73"/>
      <c r="T1179" s="73"/>
      <c r="U1179" s="73"/>
      <c r="V1179" s="73"/>
      <c r="W1179" s="73"/>
      <c r="X1179" s="73"/>
      <c r="Y1179" s="73"/>
      <c r="Z1179" s="73"/>
      <c r="AA1179" s="73"/>
      <c r="AF1179" s="73"/>
      <c r="AG1179" s="73"/>
    </row>
    <row r="1180" spans="2:33" x14ac:dyDescent="0.2">
      <c r="B1180" s="73" t="s">
        <v>1293</v>
      </c>
      <c r="C1180" s="73"/>
      <c r="D1180" s="73"/>
      <c r="F1180" s="73"/>
      <c r="G1180" s="73"/>
      <c r="H1180" s="73"/>
      <c r="P1180" s="73"/>
      <c r="Q1180" s="73"/>
      <c r="R1180" s="73"/>
      <c r="S1180" s="73"/>
      <c r="T1180" s="73"/>
      <c r="U1180" s="73"/>
      <c r="V1180" s="73"/>
      <c r="W1180" s="73"/>
      <c r="X1180" s="73"/>
      <c r="Y1180" s="73"/>
      <c r="Z1180" s="73"/>
      <c r="AA1180" s="73"/>
      <c r="AF1180" s="73"/>
      <c r="AG1180" s="73"/>
    </row>
    <row r="1181" spans="2:33" x14ac:dyDescent="0.2">
      <c r="B1181" s="73" t="s">
        <v>1292</v>
      </c>
      <c r="C1181" s="73"/>
      <c r="D1181" s="73"/>
      <c r="F1181" s="73"/>
      <c r="G1181" s="73"/>
      <c r="H1181" s="73"/>
      <c r="P1181" s="73"/>
      <c r="Q1181" s="73"/>
      <c r="R1181" s="73"/>
      <c r="S1181" s="73"/>
      <c r="T1181" s="73"/>
      <c r="U1181" s="73"/>
      <c r="V1181" s="73"/>
      <c r="W1181" s="73"/>
      <c r="X1181" s="73"/>
      <c r="Y1181" s="73"/>
      <c r="Z1181" s="73"/>
      <c r="AA1181" s="73"/>
      <c r="AF1181" s="73"/>
      <c r="AG1181" s="73"/>
    </row>
    <row r="1182" spans="2:33" x14ac:dyDescent="0.2">
      <c r="B1182" s="73" t="s">
        <v>1291</v>
      </c>
      <c r="C1182" s="73"/>
      <c r="D1182" s="73"/>
      <c r="F1182" s="73"/>
      <c r="G1182" s="73"/>
      <c r="H1182" s="73"/>
      <c r="P1182" s="73"/>
      <c r="Q1182" s="73"/>
      <c r="R1182" s="73"/>
      <c r="S1182" s="73"/>
      <c r="T1182" s="73"/>
      <c r="U1182" s="73"/>
      <c r="V1182" s="73"/>
      <c r="W1182" s="73"/>
      <c r="X1182" s="73"/>
      <c r="Y1182" s="73"/>
      <c r="Z1182" s="73"/>
      <c r="AA1182" s="73"/>
      <c r="AF1182" s="73"/>
      <c r="AG1182" s="73"/>
    </row>
    <row r="1183" spans="2:33" x14ac:dyDescent="0.2">
      <c r="B1183" s="73" t="s">
        <v>1290</v>
      </c>
      <c r="C1183" s="73"/>
      <c r="D1183" s="73"/>
      <c r="F1183" s="73"/>
      <c r="G1183" s="73"/>
      <c r="H1183" s="73"/>
      <c r="P1183" s="73"/>
      <c r="Q1183" s="73"/>
      <c r="R1183" s="73"/>
      <c r="S1183" s="73"/>
      <c r="T1183" s="73"/>
      <c r="U1183" s="73"/>
      <c r="V1183" s="73"/>
      <c r="W1183" s="73"/>
      <c r="X1183" s="73"/>
      <c r="Y1183" s="73"/>
      <c r="Z1183" s="73"/>
      <c r="AA1183" s="73"/>
      <c r="AF1183" s="73"/>
      <c r="AG1183" s="73"/>
    </row>
    <row r="1184" spans="2:33" x14ac:dyDescent="0.2">
      <c r="B1184" s="73" t="s">
        <v>1289</v>
      </c>
      <c r="C1184" s="73"/>
      <c r="D1184" s="73"/>
      <c r="F1184" s="73"/>
      <c r="G1184" s="73"/>
      <c r="H1184" s="73"/>
      <c r="P1184" s="73"/>
      <c r="Q1184" s="73"/>
      <c r="R1184" s="73"/>
      <c r="S1184" s="73"/>
      <c r="T1184" s="73"/>
      <c r="U1184" s="73"/>
      <c r="V1184" s="73"/>
      <c r="W1184" s="73"/>
      <c r="X1184" s="73"/>
      <c r="Y1184" s="73"/>
      <c r="Z1184" s="73"/>
      <c r="AA1184" s="73"/>
      <c r="AF1184" s="73"/>
      <c r="AG1184" s="73"/>
    </row>
    <row r="1185" spans="2:33" x14ac:dyDescent="0.2">
      <c r="B1185" s="73" t="s">
        <v>1288</v>
      </c>
      <c r="C1185" s="73"/>
      <c r="D1185" s="73"/>
      <c r="F1185" s="73"/>
      <c r="G1185" s="73"/>
      <c r="H1185" s="73"/>
      <c r="P1185" s="73"/>
      <c r="Q1185" s="73"/>
      <c r="R1185" s="73"/>
      <c r="S1185" s="73"/>
      <c r="T1185" s="73"/>
      <c r="U1185" s="73"/>
      <c r="V1185" s="73"/>
      <c r="W1185" s="73"/>
      <c r="X1185" s="73"/>
      <c r="Y1185" s="73"/>
      <c r="Z1185" s="73"/>
      <c r="AA1185" s="73"/>
      <c r="AF1185" s="73"/>
      <c r="AG1185" s="73"/>
    </row>
    <row r="1186" spans="2:33" x14ac:dyDescent="0.2">
      <c r="B1186" s="73" t="s">
        <v>1287</v>
      </c>
      <c r="C1186" s="73"/>
      <c r="D1186" s="73"/>
      <c r="F1186" s="73"/>
      <c r="G1186" s="73"/>
      <c r="H1186" s="73"/>
      <c r="P1186" s="73"/>
      <c r="Q1186" s="73"/>
      <c r="R1186" s="73"/>
      <c r="S1186" s="73"/>
      <c r="T1186" s="73"/>
      <c r="U1186" s="73"/>
      <c r="V1186" s="73"/>
      <c r="W1186" s="73"/>
      <c r="X1186" s="73"/>
      <c r="Y1186" s="73"/>
      <c r="Z1186" s="73"/>
      <c r="AA1186" s="73"/>
      <c r="AF1186" s="73"/>
      <c r="AG1186" s="73"/>
    </row>
    <row r="1187" spans="2:33" x14ac:dyDescent="0.2">
      <c r="B1187" s="73" t="s">
        <v>1286</v>
      </c>
      <c r="C1187" s="73"/>
      <c r="D1187" s="73"/>
      <c r="F1187" s="73"/>
      <c r="G1187" s="73"/>
      <c r="H1187" s="73"/>
      <c r="P1187" s="73"/>
      <c r="Q1187" s="73"/>
      <c r="R1187" s="73"/>
      <c r="S1187" s="73"/>
      <c r="T1187" s="73"/>
      <c r="U1187" s="73"/>
      <c r="V1187" s="73"/>
      <c r="W1187" s="73"/>
      <c r="X1187" s="73"/>
      <c r="Y1187" s="73"/>
      <c r="Z1187" s="73"/>
      <c r="AA1187" s="73"/>
      <c r="AF1187" s="73"/>
      <c r="AG1187" s="73"/>
    </row>
    <row r="1188" spans="2:33" x14ac:dyDescent="0.2">
      <c r="B1188" s="73" t="s">
        <v>1285</v>
      </c>
      <c r="C1188" s="73"/>
      <c r="D1188" s="73"/>
      <c r="F1188" s="73"/>
      <c r="G1188" s="73"/>
      <c r="H1188" s="73"/>
      <c r="P1188" s="73"/>
      <c r="Q1188" s="73"/>
      <c r="R1188" s="73"/>
      <c r="S1188" s="73"/>
      <c r="T1188" s="73"/>
      <c r="U1188" s="73"/>
      <c r="V1188" s="73"/>
      <c r="W1188" s="73"/>
      <c r="X1188" s="73"/>
      <c r="Y1188" s="73"/>
      <c r="Z1188" s="73"/>
      <c r="AA1188" s="73"/>
      <c r="AF1188" s="73"/>
      <c r="AG1188" s="73"/>
    </row>
    <row r="1189" spans="2:33" x14ac:dyDescent="0.2">
      <c r="B1189" s="73" t="s">
        <v>1284</v>
      </c>
      <c r="C1189" s="73"/>
      <c r="D1189" s="73"/>
      <c r="F1189" s="73"/>
      <c r="G1189" s="73"/>
      <c r="H1189" s="73"/>
      <c r="P1189" s="73"/>
      <c r="Q1189" s="73"/>
      <c r="R1189" s="73"/>
      <c r="S1189" s="73"/>
      <c r="T1189" s="73"/>
      <c r="U1189" s="73"/>
      <c r="V1189" s="73"/>
      <c r="W1189" s="73"/>
      <c r="X1189" s="73"/>
      <c r="Y1189" s="73"/>
      <c r="Z1189" s="73"/>
      <c r="AA1189" s="73"/>
      <c r="AF1189" s="73"/>
      <c r="AG1189" s="73"/>
    </row>
    <row r="1190" spans="2:33" x14ac:dyDescent="0.2">
      <c r="B1190" s="73" t="s">
        <v>1283</v>
      </c>
      <c r="C1190" s="73"/>
      <c r="D1190" s="73"/>
      <c r="F1190" s="73"/>
      <c r="G1190" s="73"/>
      <c r="H1190" s="73"/>
      <c r="P1190" s="73"/>
      <c r="Q1190" s="73"/>
      <c r="R1190" s="73"/>
      <c r="S1190" s="73"/>
      <c r="T1190" s="73"/>
      <c r="U1190" s="73"/>
      <c r="V1190" s="73"/>
      <c r="W1190" s="73"/>
      <c r="X1190" s="73"/>
      <c r="Y1190" s="73"/>
      <c r="Z1190" s="73"/>
      <c r="AA1190" s="73"/>
      <c r="AF1190" s="73"/>
      <c r="AG1190" s="73"/>
    </row>
    <row r="1191" spans="2:33" x14ac:dyDescent="0.2">
      <c r="B1191" s="73" t="s">
        <v>1282</v>
      </c>
      <c r="C1191" s="73"/>
      <c r="D1191" s="73"/>
      <c r="F1191" s="73"/>
      <c r="G1191" s="73"/>
      <c r="H1191" s="73"/>
      <c r="P1191" s="73"/>
      <c r="Q1191" s="73"/>
      <c r="R1191" s="73"/>
      <c r="S1191" s="73"/>
      <c r="T1191" s="73"/>
      <c r="U1191" s="73"/>
      <c r="V1191" s="73"/>
      <c r="W1191" s="73"/>
      <c r="X1191" s="73"/>
      <c r="Y1191" s="73"/>
      <c r="Z1191" s="73"/>
      <c r="AA1191" s="73"/>
      <c r="AF1191" s="73"/>
      <c r="AG1191" s="73"/>
    </row>
    <row r="1192" spans="2:33" x14ac:dyDescent="0.2">
      <c r="B1192" s="73" t="s">
        <v>1281</v>
      </c>
      <c r="C1192" s="73"/>
      <c r="D1192" s="73"/>
      <c r="F1192" s="73"/>
      <c r="G1192" s="73"/>
      <c r="H1192" s="73"/>
      <c r="P1192" s="73"/>
      <c r="Q1192" s="73"/>
      <c r="R1192" s="73"/>
      <c r="S1192" s="73"/>
      <c r="T1192" s="73"/>
      <c r="U1192" s="73"/>
      <c r="V1192" s="73"/>
      <c r="W1192" s="73"/>
      <c r="X1192" s="73"/>
      <c r="Y1192" s="73"/>
      <c r="Z1192" s="73"/>
      <c r="AA1192" s="73"/>
      <c r="AF1192" s="73"/>
      <c r="AG1192" s="73"/>
    </row>
    <row r="1193" spans="2:33" x14ac:dyDescent="0.2">
      <c r="B1193" s="73" t="s">
        <v>1280</v>
      </c>
      <c r="C1193" s="73"/>
      <c r="D1193" s="73"/>
      <c r="F1193" s="73"/>
      <c r="G1193" s="73"/>
      <c r="H1193" s="73"/>
      <c r="P1193" s="73"/>
      <c r="Q1193" s="73"/>
      <c r="R1193" s="73"/>
      <c r="S1193" s="73"/>
      <c r="T1193" s="73"/>
      <c r="U1193" s="73"/>
      <c r="V1193" s="73"/>
      <c r="W1193" s="73"/>
      <c r="X1193" s="73"/>
      <c r="Y1193" s="73"/>
      <c r="Z1193" s="73"/>
      <c r="AA1193" s="73"/>
      <c r="AF1193" s="73"/>
      <c r="AG1193" s="73"/>
    </row>
    <row r="1194" spans="2:33" x14ac:dyDescent="0.2">
      <c r="B1194" s="73" t="s">
        <v>1279</v>
      </c>
      <c r="C1194" s="73"/>
      <c r="D1194" s="73"/>
      <c r="F1194" s="73"/>
      <c r="G1194" s="73"/>
      <c r="H1194" s="73"/>
      <c r="P1194" s="73"/>
      <c r="Q1194" s="73"/>
      <c r="R1194" s="73"/>
      <c r="S1194" s="73"/>
      <c r="T1194" s="73"/>
      <c r="U1194" s="73"/>
      <c r="V1194" s="73"/>
      <c r="W1194" s="73"/>
      <c r="X1194" s="73"/>
      <c r="Y1194" s="73"/>
      <c r="Z1194" s="73"/>
      <c r="AA1194" s="73"/>
      <c r="AF1194" s="73"/>
      <c r="AG1194" s="73"/>
    </row>
    <row r="1195" spans="2:33" x14ac:dyDescent="0.2">
      <c r="B1195" s="73" t="s">
        <v>1278</v>
      </c>
      <c r="C1195" s="73"/>
      <c r="D1195" s="73"/>
      <c r="F1195" s="73"/>
      <c r="G1195" s="73"/>
      <c r="H1195" s="73"/>
      <c r="P1195" s="73"/>
      <c r="Q1195" s="73"/>
      <c r="R1195" s="73"/>
      <c r="S1195" s="73"/>
      <c r="T1195" s="73"/>
      <c r="U1195" s="73"/>
      <c r="V1195" s="73"/>
      <c r="W1195" s="73"/>
      <c r="X1195" s="73"/>
      <c r="Y1195" s="73"/>
      <c r="Z1195" s="73"/>
      <c r="AA1195" s="73"/>
      <c r="AF1195" s="73"/>
      <c r="AG1195" s="73"/>
    </row>
    <row r="1196" spans="2:33" x14ac:dyDescent="0.2">
      <c r="B1196" s="73" t="s">
        <v>1277</v>
      </c>
      <c r="C1196" s="73"/>
      <c r="D1196" s="73"/>
      <c r="F1196" s="73"/>
      <c r="G1196" s="73"/>
      <c r="H1196" s="73"/>
      <c r="P1196" s="73"/>
      <c r="Q1196" s="73"/>
      <c r="R1196" s="73"/>
      <c r="S1196" s="73"/>
      <c r="T1196" s="73"/>
      <c r="U1196" s="73"/>
      <c r="V1196" s="73"/>
      <c r="W1196" s="73"/>
      <c r="X1196" s="73"/>
      <c r="Y1196" s="73"/>
      <c r="Z1196" s="73"/>
      <c r="AA1196" s="73"/>
      <c r="AF1196" s="73"/>
      <c r="AG1196" s="73"/>
    </row>
    <row r="1197" spans="2:33" x14ac:dyDescent="0.2">
      <c r="B1197" s="73" t="s">
        <v>1276</v>
      </c>
      <c r="C1197" s="73"/>
      <c r="D1197" s="73"/>
      <c r="F1197" s="73"/>
      <c r="G1197" s="73"/>
      <c r="H1197" s="73"/>
      <c r="P1197" s="73"/>
      <c r="Q1197" s="73"/>
      <c r="R1197" s="73"/>
      <c r="S1197" s="73"/>
      <c r="T1197" s="73"/>
      <c r="U1197" s="73"/>
      <c r="V1197" s="73"/>
      <c r="W1197" s="73"/>
      <c r="X1197" s="73"/>
      <c r="Y1197" s="73"/>
      <c r="Z1197" s="73"/>
      <c r="AA1197" s="73"/>
      <c r="AF1197" s="73"/>
      <c r="AG1197" s="73"/>
    </row>
    <row r="1198" spans="2:33" x14ac:dyDescent="0.2">
      <c r="B1198" s="73" t="s">
        <v>1275</v>
      </c>
      <c r="C1198" s="73"/>
      <c r="D1198" s="73"/>
      <c r="F1198" s="73"/>
      <c r="G1198" s="73"/>
      <c r="H1198" s="73"/>
      <c r="P1198" s="73"/>
      <c r="Q1198" s="73"/>
      <c r="R1198" s="73"/>
      <c r="S1198" s="73"/>
      <c r="T1198" s="73"/>
      <c r="U1198" s="73"/>
      <c r="V1198" s="73"/>
      <c r="W1198" s="73"/>
      <c r="X1198" s="73"/>
      <c r="Y1198" s="73"/>
      <c r="Z1198" s="73"/>
      <c r="AA1198" s="73"/>
      <c r="AF1198" s="73"/>
      <c r="AG1198" s="73"/>
    </row>
    <row r="1199" spans="2:33" x14ac:dyDescent="0.2">
      <c r="B1199" s="73" t="s">
        <v>1274</v>
      </c>
      <c r="C1199" s="73"/>
      <c r="D1199" s="73"/>
      <c r="F1199" s="73"/>
      <c r="G1199" s="73"/>
      <c r="H1199" s="73"/>
      <c r="P1199" s="73"/>
      <c r="Q1199" s="73"/>
      <c r="R1199" s="73"/>
      <c r="S1199" s="73"/>
      <c r="T1199" s="73"/>
      <c r="U1199" s="73"/>
      <c r="V1199" s="73"/>
      <c r="W1199" s="73"/>
      <c r="X1199" s="73"/>
      <c r="Y1199" s="73"/>
      <c r="Z1199" s="73"/>
      <c r="AA1199" s="73"/>
      <c r="AF1199" s="73"/>
      <c r="AG1199" s="73"/>
    </row>
    <row r="1200" spans="2:33" x14ac:dyDescent="0.2">
      <c r="B1200" s="73" t="s">
        <v>1273</v>
      </c>
      <c r="C1200" s="73"/>
      <c r="D1200" s="73"/>
      <c r="F1200" s="73"/>
      <c r="G1200" s="73"/>
      <c r="H1200" s="73"/>
      <c r="P1200" s="73"/>
      <c r="Q1200" s="73"/>
      <c r="R1200" s="73"/>
      <c r="S1200" s="73"/>
      <c r="T1200" s="73"/>
      <c r="U1200" s="73"/>
      <c r="V1200" s="73"/>
      <c r="W1200" s="73"/>
      <c r="X1200" s="73"/>
      <c r="Y1200" s="73"/>
      <c r="Z1200" s="73"/>
      <c r="AA1200" s="73"/>
      <c r="AF1200" s="73"/>
      <c r="AG1200" s="73"/>
    </row>
    <row r="1201" spans="2:33" x14ac:dyDescent="0.2">
      <c r="B1201" s="73" t="s">
        <v>1272</v>
      </c>
      <c r="C1201" s="73"/>
      <c r="D1201" s="73"/>
      <c r="F1201" s="73"/>
      <c r="G1201" s="73"/>
      <c r="H1201" s="73"/>
      <c r="P1201" s="73"/>
      <c r="Q1201" s="73"/>
      <c r="R1201" s="73"/>
      <c r="S1201" s="73"/>
      <c r="T1201" s="73"/>
      <c r="U1201" s="73"/>
      <c r="V1201" s="73"/>
      <c r="W1201" s="73"/>
      <c r="X1201" s="73"/>
      <c r="Y1201" s="73"/>
      <c r="Z1201" s="73"/>
      <c r="AA1201" s="73"/>
      <c r="AF1201" s="73"/>
      <c r="AG1201" s="73"/>
    </row>
    <row r="1202" spans="2:33" x14ac:dyDescent="0.2">
      <c r="B1202" s="73" t="s">
        <v>1271</v>
      </c>
      <c r="C1202" s="73"/>
      <c r="D1202" s="73"/>
      <c r="F1202" s="73"/>
      <c r="G1202" s="73"/>
      <c r="H1202" s="73"/>
      <c r="P1202" s="73"/>
      <c r="Q1202" s="73"/>
      <c r="R1202" s="73"/>
      <c r="S1202" s="73"/>
      <c r="T1202" s="73"/>
      <c r="U1202" s="73"/>
      <c r="V1202" s="73"/>
      <c r="W1202" s="73"/>
      <c r="X1202" s="73"/>
      <c r="Y1202" s="73"/>
      <c r="Z1202" s="73"/>
      <c r="AA1202" s="73"/>
      <c r="AF1202" s="73"/>
      <c r="AG1202" s="73"/>
    </row>
    <row r="1203" spans="2:33" x14ac:dyDescent="0.2">
      <c r="B1203" s="73" t="s">
        <v>1270</v>
      </c>
      <c r="C1203" s="73"/>
      <c r="D1203" s="73"/>
      <c r="F1203" s="73"/>
      <c r="G1203" s="73"/>
      <c r="H1203" s="73"/>
      <c r="P1203" s="73"/>
      <c r="Q1203" s="73"/>
      <c r="R1203" s="73"/>
      <c r="S1203" s="73"/>
      <c r="T1203" s="73"/>
      <c r="U1203" s="73"/>
      <c r="V1203" s="73"/>
      <c r="W1203" s="73"/>
      <c r="X1203" s="73"/>
      <c r="Y1203" s="73"/>
      <c r="Z1203" s="73"/>
      <c r="AA1203" s="73"/>
      <c r="AF1203" s="73"/>
      <c r="AG1203" s="73"/>
    </row>
    <row r="1204" spans="2:33" x14ac:dyDescent="0.2">
      <c r="B1204" s="73" t="s">
        <v>1269</v>
      </c>
      <c r="C1204" s="73"/>
      <c r="D1204" s="73"/>
      <c r="F1204" s="73"/>
      <c r="G1204" s="73"/>
      <c r="H1204" s="73"/>
      <c r="P1204" s="73"/>
      <c r="Q1204" s="73"/>
      <c r="R1204" s="73"/>
      <c r="S1204" s="73"/>
      <c r="T1204" s="73"/>
      <c r="U1204" s="73"/>
      <c r="V1204" s="73"/>
      <c r="W1204" s="73"/>
      <c r="X1204" s="73"/>
      <c r="Y1204" s="73"/>
      <c r="Z1204" s="73"/>
      <c r="AA1204" s="73"/>
      <c r="AF1204" s="73"/>
      <c r="AG1204" s="73"/>
    </row>
    <row r="1205" spans="2:33" x14ac:dyDescent="0.2">
      <c r="B1205" s="73" t="s">
        <v>1268</v>
      </c>
      <c r="C1205" s="73"/>
      <c r="D1205" s="73"/>
      <c r="F1205" s="73"/>
      <c r="G1205" s="73"/>
      <c r="H1205" s="73"/>
      <c r="P1205" s="73"/>
      <c r="Q1205" s="73"/>
      <c r="R1205" s="73"/>
      <c r="S1205" s="73"/>
      <c r="T1205" s="73"/>
      <c r="U1205" s="73"/>
      <c r="V1205" s="73"/>
      <c r="W1205" s="73"/>
      <c r="X1205" s="73"/>
      <c r="Y1205" s="73"/>
      <c r="Z1205" s="73"/>
      <c r="AA1205" s="73"/>
      <c r="AF1205" s="73"/>
      <c r="AG1205" s="73"/>
    </row>
    <row r="1206" spans="2:33" x14ac:dyDescent="0.2">
      <c r="B1206" s="73" t="s">
        <v>1267</v>
      </c>
      <c r="C1206" s="73"/>
      <c r="D1206" s="73"/>
      <c r="F1206" s="73"/>
      <c r="G1206" s="73"/>
      <c r="H1206" s="73"/>
      <c r="P1206" s="73"/>
      <c r="Q1206" s="73"/>
      <c r="R1206" s="73"/>
      <c r="S1206" s="73"/>
      <c r="T1206" s="73"/>
      <c r="U1206" s="73"/>
      <c r="V1206" s="73"/>
      <c r="W1206" s="73"/>
      <c r="X1206" s="73"/>
      <c r="Y1206" s="73"/>
      <c r="Z1206" s="73"/>
      <c r="AA1206" s="73"/>
      <c r="AF1206" s="73"/>
      <c r="AG1206" s="73"/>
    </row>
    <row r="1207" spans="2:33" x14ac:dyDescent="0.2">
      <c r="B1207" s="73" t="s">
        <v>1266</v>
      </c>
      <c r="C1207" s="73"/>
      <c r="D1207" s="73"/>
      <c r="F1207" s="73"/>
      <c r="G1207" s="73"/>
      <c r="H1207" s="73"/>
      <c r="P1207" s="73"/>
      <c r="Q1207" s="73"/>
      <c r="R1207" s="73"/>
      <c r="S1207" s="73"/>
      <c r="T1207" s="73"/>
      <c r="U1207" s="73"/>
      <c r="V1207" s="73"/>
      <c r="W1207" s="73"/>
      <c r="X1207" s="73"/>
      <c r="Y1207" s="73"/>
      <c r="Z1207" s="73"/>
      <c r="AA1207" s="73"/>
      <c r="AF1207" s="73"/>
      <c r="AG1207" s="73"/>
    </row>
    <row r="1208" spans="2:33" x14ac:dyDescent="0.2">
      <c r="B1208" s="73" t="s">
        <v>1265</v>
      </c>
      <c r="C1208" s="73"/>
      <c r="D1208" s="73"/>
      <c r="F1208" s="73"/>
      <c r="G1208" s="73"/>
      <c r="H1208" s="73"/>
      <c r="P1208" s="73"/>
      <c r="Q1208" s="73"/>
      <c r="R1208" s="73"/>
      <c r="S1208" s="73"/>
      <c r="T1208" s="73"/>
      <c r="U1208" s="73"/>
      <c r="V1208" s="73"/>
      <c r="W1208" s="73"/>
      <c r="X1208" s="73"/>
      <c r="Y1208" s="73"/>
      <c r="Z1208" s="73"/>
      <c r="AA1208" s="73"/>
      <c r="AF1208" s="73"/>
      <c r="AG1208" s="73"/>
    </row>
    <row r="1209" spans="2:33" x14ac:dyDescent="0.2">
      <c r="B1209" s="73" t="s">
        <v>1264</v>
      </c>
      <c r="C1209" s="73"/>
      <c r="D1209" s="73"/>
      <c r="F1209" s="73"/>
      <c r="G1209" s="73"/>
      <c r="H1209" s="73"/>
      <c r="P1209" s="73"/>
      <c r="Q1209" s="73"/>
      <c r="R1209" s="73"/>
      <c r="S1209" s="73"/>
      <c r="T1209" s="73"/>
      <c r="U1209" s="73"/>
      <c r="V1209" s="73"/>
      <c r="W1209" s="73"/>
      <c r="X1209" s="73"/>
      <c r="Y1209" s="73"/>
      <c r="Z1209" s="73"/>
      <c r="AA1209" s="73"/>
      <c r="AF1209" s="73"/>
      <c r="AG1209" s="73"/>
    </row>
    <row r="1210" spans="2:33" x14ac:dyDescent="0.2">
      <c r="B1210" s="73" t="s">
        <v>1263</v>
      </c>
      <c r="C1210" s="73"/>
      <c r="D1210" s="73"/>
      <c r="F1210" s="73"/>
      <c r="G1210" s="73"/>
      <c r="H1210" s="73"/>
      <c r="P1210" s="73"/>
      <c r="Q1210" s="73"/>
      <c r="R1210" s="73"/>
      <c r="S1210" s="73"/>
      <c r="T1210" s="73"/>
      <c r="U1210" s="73"/>
      <c r="V1210" s="73"/>
      <c r="W1210" s="73"/>
      <c r="X1210" s="73"/>
      <c r="Y1210" s="73"/>
      <c r="Z1210" s="73"/>
      <c r="AA1210" s="73"/>
      <c r="AF1210" s="73"/>
      <c r="AG1210" s="73"/>
    </row>
    <row r="1211" spans="2:33" x14ac:dyDescent="0.2">
      <c r="B1211" s="73" t="s">
        <v>1262</v>
      </c>
      <c r="C1211" s="73"/>
      <c r="D1211" s="73"/>
      <c r="F1211" s="73"/>
      <c r="G1211" s="73"/>
      <c r="H1211" s="73"/>
      <c r="P1211" s="73"/>
      <c r="Q1211" s="73"/>
      <c r="R1211" s="73"/>
      <c r="S1211" s="73"/>
      <c r="T1211" s="73"/>
      <c r="U1211" s="73"/>
      <c r="V1211" s="73"/>
      <c r="W1211" s="73"/>
      <c r="X1211" s="73"/>
      <c r="Y1211" s="73"/>
      <c r="Z1211" s="73"/>
      <c r="AA1211" s="73"/>
      <c r="AF1211" s="73"/>
      <c r="AG1211" s="73"/>
    </row>
    <row r="1212" spans="2:33" x14ac:dyDescent="0.2">
      <c r="B1212" s="73" t="s">
        <v>1261</v>
      </c>
      <c r="C1212" s="73"/>
      <c r="D1212" s="73"/>
      <c r="F1212" s="73"/>
      <c r="G1212" s="73"/>
      <c r="H1212" s="73"/>
      <c r="P1212" s="73"/>
      <c r="Q1212" s="73"/>
      <c r="R1212" s="73"/>
      <c r="S1212" s="73"/>
      <c r="T1212" s="73"/>
      <c r="U1212" s="73"/>
      <c r="V1212" s="73"/>
      <c r="W1212" s="73"/>
      <c r="X1212" s="73"/>
      <c r="Y1212" s="73"/>
      <c r="Z1212" s="73"/>
      <c r="AA1212" s="73"/>
      <c r="AF1212" s="73"/>
      <c r="AG1212" s="73"/>
    </row>
    <row r="1213" spans="2:33" x14ac:dyDescent="0.2">
      <c r="B1213" s="73" t="s">
        <v>1260</v>
      </c>
      <c r="C1213" s="73"/>
      <c r="D1213" s="73"/>
      <c r="F1213" s="73"/>
      <c r="G1213" s="73"/>
      <c r="H1213" s="73"/>
      <c r="P1213" s="73"/>
      <c r="Q1213" s="73"/>
      <c r="R1213" s="73"/>
      <c r="S1213" s="73"/>
      <c r="T1213" s="73"/>
      <c r="U1213" s="73"/>
      <c r="V1213" s="73"/>
      <c r="W1213" s="73"/>
      <c r="X1213" s="73"/>
      <c r="Y1213" s="73"/>
      <c r="Z1213" s="73"/>
      <c r="AA1213" s="73"/>
      <c r="AF1213" s="73"/>
      <c r="AG1213" s="73"/>
    </row>
    <row r="1214" spans="2:33" x14ac:dyDescent="0.2">
      <c r="B1214" s="73" t="s">
        <v>1259</v>
      </c>
      <c r="C1214" s="73"/>
      <c r="D1214" s="73"/>
      <c r="F1214" s="73"/>
      <c r="G1214" s="73"/>
      <c r="H1214" s="73"/>
      <c r="P1214" s="73"/>
      <c r="Q1214" s="73"/>
      <c r="R1214" s="73"/>
      <c r="S1214" s="73"/>
      <c r="T1214" s="73"/>
      <c r="U1214" s="73"/>
      <c r="V1214" s="73"/>
      <c r="W1214" s="73"/>
      <c r="X1214" s="73"/>
      <c r="Y1214" s="73"/>
      <c r="Z1214" s="73"/>
      <c r="AA1214" s="73"/>
      <c r="AF1214" s="73"/>
      <c r="AG1214" s="73"/>
    </row>
    <row r="1215" spans="2:33" x14ac:dyDescent="0.2">
      <c r="B1215" s="73" t="s">
        <v>1258</v>
      </c>
      <c r="C1215" s="73"/>
      <c r="D1215" s="73"/>
      <c r="F1215" s="73"/>
      <c r="G1215" s="73"/>
      <c r="H1215" s="73"/>
      <c r="P1215" s="73"/>
      <c r="Q1215" s="73"/>
      <c r="R1215" s="73"/>
      <c r="S1215" s="73"/>
      <c r="T1215" s="73"/>
      <c r="U1215" s="73"/>
      <c r="V1215" s="73"/>
      <c r="W1215" s="73"/>
      <c r="X1215" s="73"/>
      <c r="Y1215" s="73"/>
      <c r="Z1215" s="73"/>
      <c r="AA1215" s="73"/>
      <c r="AF1215" s="73"/>
      <c r="AG1215" s="73"/>
    </row>
    <row r="1216" spans="2:33" x14ac:dyDescent="0.2">
      <c r="B1216" s="73" t="s">
        <v>1257</v>
      </c>
      <c r="C1216" s="73"/>
      <c r="D1216" s="73"/>
      <c r="F1216" s="73"/>
      <c r="G1216" s="73"/>
      <c r="H1216" s="73"/>
      <c r="P1216" s="73"/>
      <c r="Q1216" s="73"/>
      <c r="R1216" s="73"/>
      <c r="S1216" s="73"/>
      <c r="T1216" s="73"/>
      <c r="U1216" s="73"/>
      <c r="V1216" s="73"/>
      <c r="W1216" s="73"/>
      <c r="X1216" s="73"/>
      <c r="Y1216" s="73"/>
      <c r="Z1216" s="73"/>
      <c r="AA1216" s="73"/>
      <c r="AF1216" s="73"/>
      <c r="AG1216" s="73"/>
    </row>
    <row r="1217" spans="2:33" x14ac:dyDescent="0.2">
      <c r="B1217" s="73" t="s">
        <v>1256</v>
      </c>
      <c r="C1217" s="73"/>
      <c r="D1217" s="73"/>
      <c r="F1217" s="73"/>
      <c r="G1217" s="73"/>
      <c r="H1217" s="73"/>
      <c r="P1217" s="73"/>
      <c r="Q1217" s="73"/>
      <c r="R1217" s="73"/>
      <c r="S1217" s="73"/>
      <c r="T1217" s="73"/>
      <c r="U1217" s="73"/>
      <c r="V1217" s="73"/>
      <c r="W1217" s="73"/>
      <c r="X1217" s="73"/>
      <c r="Y1217" s="73"/>
      <c r="Z1217" s="73"/>
      <c r="AA1217" s="73"/>
      <c r="AF1217" s="73"/>
      <c r="AG1217" s="73"/>
    </row>
    <row r="1218" spans="2:33" x14ac:dyDescent="0.2">
      <c r="B1218" s="73" t="s">
        <v>1255</v>
      </c>
    </row>
    <row r="1219" spans="2:33" x14ac:dyDescent="0.2">
      <c r="B1219" s="73" t="s">
        <v>1254</v>
      </c>
    </row>
    <row r="1220" spans="2:33" x14ac:dyDescent="0.2">
      <c r="B1220" s="73" t="s">
        <v>1253</v>
      </c>
    </row>
    <row r="1221" spans="2:33" x14ac:dyDescent="0.2">
      <c r="B1221" s="73" t="s">
        <v>1252</v>
      </c>
    </row>
    <row r="1222" spans="2:33" x14ac:dyDescent="0.2">
      <c r="B1222" s="73" t="s">
        <v>1251</v>
      </c>
    </row>
    <row r="1223" spans="2:33" x14ac:dyDescent="0.2">
      <c r="B1223" s="73" t="s">
        <v>4314</v>
      </c>
    </row>
    <row r="1224" spans="2:33" x14ac:dyDescent="0.2">
      <c r="B1224" s="73" t="s">
        <v>1250</v>
      </c>
    </row>
    <row r="1225" spans="2:33" x14ac:dyDescent="0.2">
      <c r="B1225" s="73" t="s">
        <v>1249</v>
      </c>
    </row>
    <row r="1226" spans="2:33" x14ac:dyDescent="0.2">
      <c r="B1226" s="73" t="s">
        <v>1248</v>
      </c>
    </row>
    <row r="1227" spans="2:33" x14ac:dyDescent="0.2">
      <c r="B1227" s="73" t="s">
        <v>1247</v>
      </c>
    </row>
    <row r="1228" spans="2:33" x14ac:dyDescent="0.2">
      <c r="B1228" s="73" t="s">
        <v>4315</v>
      </c>
    </row>
    <row r="1229" spans="2:33" x14ac:dyDescent="0.2">
      <c r="B1229" s="73" t="s">
        <v>1246</v>
      </c>
    </row>
    <row r="1230" spans="2:33" x14ac:dyDescent="0.2">
      <c r="B1230" s="73" t="s">
        <v>1245</v>
      </c>
    </row>
    <row r="1231" spans="2:33" x14ac:dyDescent="0.2">
      <c r="B1231" s="73" t="s">
        <v>1244</v>
      </c>
      <c r="AF1231" s="63">
        <v>0.149258</v>
      </c>
      <c r="AG1231" s="69">
        <v>0.11944444444444445</v>
      </c>
    </row>
    <row r="1232" spans="2:33" x14ac:dyDescent="0.2">
      <c r="B1232" s="73" t="s">
        <v>1243</v>
      </c>
    </row>
    <row r="1233" spans="2:33" x14ac:dyDescent="0.2">
      <c r="B1233" s="73" t="s">
        <v>1242</v>
      </c>
    </row>
    <row r="1234" spans="2:33" x14ac:dyDescent="0.2">
      <c r="B1234" s="73" t="s">
        <v>1241</v>
      </c>
      <c r="C1234" s="73"/>
      <c r="D1234" s="73"/>
      <c r="F1234" s="73"/>
      <c r="G1234" s="73"/>
      <c r="H1234" s="73"/>
      <c r="P1234" s="73"/>
      <c r="Q1234" s="73"/>
      <c r="R1234" s="73"/>
      <c r="S1234" s="73"/>
      <c r="T1234" s="73"/>
      <c r="U1234" s="73"/>
      <c r="V1234" s="73"/>
      <c r="W1234" s="73"/>
      <c r="X1234" s="73"/>
      <c r="Y1234" s="73"/>
      <c r="Z1234" s="73"/>
      <c r="AA1234" s="73"/>
      <c r="AF1234" s="73"/>
      <c r="AG1234" s="73"/>
    </row>
    <row r="1235" spans="2:33" x14ac:dyDescent="0.2">
      <c r="B1235" s="73" t="s">
        <v>1240</v>
      </c>
      <c r="C1235" s="73"/>
      <c r="D1235" s="73"/>
      <c r="F1235" s="73"/>
      <c r="G1235" s="73"/>
      <c r="H1235" s="73"/>
      <c r="P1235" s="73"/>
      <c r="Q1235" s="73"/>
      <c r="R1235" s="73"/>
      <c r="S1235" s="73"/>
      <c r="T1235" s="73"/>
      <c r="U1235" s="73"/>
      <c r="V1235" s="73"/>
      <c r="W1235" s="73"/>
      <c r="X1235" s="73"/>
      <c r="Y1235" s="73"/>
      <c r="Z1235" s="73"/>
      <c r="AA1235" s="73"/>
      <c r="AF1235" s="73"/>
      <c r="AG1235" s="73"/>
    </row>
    <row r="1236" spans="2:33" x14ac:dyDescent="0.2">
      <c r="B1236" s="73" t="s">
        <v>1239</v>
      </c>
      <c r="C1236" s="73"/>
      <c r="D1236" s="73"/>
      <c r="F1236" s="73"/>
      <c r="G1236" s="73"/>
      <c r="H1236" s="73"/>
      <c r="P1236" s="73"/>
      <c r="Q1236" s="73"/>
      <c r="R1236" s="73"/>
      <c r="S1236" s="73"/>
      <c r="T1236" s="73"/>
      <c r="U1236" s="73"/>
      <c r="V1236" s="73"/>
      <c r="W1236" s="73"/>
      <c r="X1236" s="73"/>
      <c r="Y1236" s="73"/>
      <c r="Z1236" s="73"/>
      <c r="AA1236" s="73"/>
      <c r="AF1236" s="73"/>
      <c r="AG1236" s="73"/>
    </row>
    <row r="1237" spans="2:33" x14ac:dyDescent="0.2">
      <c r="B1237" s="73" t="s">
        <v>1238</v>
      </c>
      <c r="C1237" s="73"/>
      <c r="D1237" s="73"/>
      <c r="F1237" s="73"/>
      <c r="G1237" s="73"/>
      <c r="H1237" s="73"/>
      <c r="P1237" s="73"/>
      <c r="Q1237" s="73"/>
      <c r="R1237" s="73"/>
      <c r="S1237" s="73"/>
      <c r="T1237" s="73"/>
      <c r="U1237" s="73"/>
      <c r="V1237" s="73"/>
      <c r="W1237" s="73"/>
      <c r="X1237" s="73"/>
      <c r="Y1237" s="73"/>
      <c r="Z1237" s="73"/>
      <c r="AA1237" s="73"/>
      <c r="AF1237" s="73"/>
      <c r="AG1237" s="73"/>
    </row>
    <row r="1238" spans="2:33" x14ac:dyDescent="0.2">
      <c r="B1238" s="73" t="s">
        <v>1237</v>
      </c>
      <c r="C1238" s="73"/>
      <c r="D1238" s="73"/>
      <c r="F1238" s="73"/>
      <c r="G1238" s="73"/>
      <c r="H1238" s="73"/>
      <c r="P1238" s="73"/>
      <c r="Q1238" s="73"/>
      <c r="R1238" s="73"/>
      <c r="S1238" s="73"/>
      <c r="T1238" s="73"/>
      <c r="U1238" s="73"/>
      <c r="V1238" s="73"/>
      <c r="W1238" s="73"/>
      <c r="X1238" s="73"/>
      <c r="Y1238" s="73"/>
      <c r="Z1238" s="73"/>
      <c r="AA1238" s="73"/>
      <c r="AF1238" s="73"/>
      <c r="AG1238" s="73"/>
    </row>
    <row r="1239" spans="2:33" x14ac:dyDescent="0.2">
      <c r="B1239" s="73" t="s">
        <v>1236</v>
      </c>
      <c r="C1239" s="73"/>
      <c r="D1239" s="73"/>
      <c r="F1239" s="73"/>
      <c r="G1239" s="73"/>
      <c r="H1239" s="73"/>
      <c r="P1239" s="73"/>
      <c r="Q1239" s="73"/>
      <c r="R1239" s="73"/>
      <c r="S1239" s="73"/>
      <c r="T1239" s="73"/>
      <c r="U1239" s="73"/>
      <c r="V1239" s="73"/>
      <c r="W1239" s="73"/>
      <c r="X1239" s="73"/>
      <c r="Y1239" s="73"/>
      <c r="Z1239" s="73"/>
      <c r="AA1239" s="73"/>
      <c r="AF1239" s="73"/>
      <c r="AG1239" s="73"/>
    </row>
    <row r="1240" spans="2:33" x14ac:dyDescent="0.2">
      <c r="B1240" s="73" t="s">
        <v>1235</v>
      </c>
      <c r="C1240" s="73"/>
      <c r="D1240" s="73"/>
      <c r="F1240" s="73"/>
      <c r="G1240" s="73"/>
      <c r="H1240" s="73"/>
      <c r="P1240" s="73"/>
      <c r="Q1240" s="73"/>
      <c r="R1240" s="73"/>
      <c r="S1240" s="73"/>
      <c r="T1240" s="73"/>
      <c r="U1240" s="73"/>
      <c r="V1240" s="73"/>
      <c r="W1240" s="73"/>
      <c r="X1240" s="73"/>
      <c r="Y1240" s="73"/>
      <c r="Z1240" s="73"/>
      <c r="AA1240" s="73"/>
      <c r="AF1240" s="73"/>
      <c r="AG1240" s="73"/>
    </row>
    <row r="1241" spans="2:33" x14ac:dyDescent="0.2">
      <c r="B1241" s="73" t="s">
        <v>1234</v>
      </c>
      <c r="C1241" s="73"/>
      <c r="D1241" s="73"/>
      <c r="F1241" s="73"/>
      <c r="G1241" s="73"/>
      <c r="H1241" s="73"/>
      <c r="P1241" s="73"/>
      <c r="Q1241" s="73"/>
      <c r="R1241" s="73"/>
      <c r="S1241" s="73"/>
      <c r="T1241" s="73"/>
      <c r="U1241" s="73"/>
      <c r="V1241" s="73"/>
      <c r="W1241" s="73"/>
      <c r="X1241" s="73"/>
      <c r="Y1241" s="73"/>
      <c r="Z1241" s="73"/>
      <c r="AA1241" s="73"/>
      <c r="AF1241" s="73"/>
      <c r="AG1241" s="73"/>
    </row>
    <row r="1242" spans="2:33" x14ac:dyDescent="0.2">
      <c r="B1242" s="73" t="s">
        <v>1233</v>
      </c>
      <c r="C1242" s="73"/>
      <c r="D1242" s="73"/>
      <c r="F1242" s="73"/>
      <c r="G1242" s="73"/>
      <c r="H1242" s="73"/>
      <c r="P1242" s="73"/>
      <c r="Q1242" s="73"/>
      <c r="R1242" s="73"/>
      <c r="S1242" s="73"/>
      <c r="T1242" s="73"/>
      <c r="U1242" s="73"/>
      <c r="V1242" s="73"/>
      <c r="W1242" s="73"/>
      <c r="X1242" s="73"/>
      <c r="Y1242" s="73"/>
      <c r="Z1242" s="73"/>
      <c r="AA1242" s="73"/>
      <c r="AF1242" s="73"/>
      <c r="AG1242" s="73"/>
    </row>
    <row r="1243" spans="2:33" x14ac:dyDescent="0.2">
      <c r="B1243" s="73" t="s">
        <v>1232</v>
      </c>
      <c r="C1243" s="73"/>
      <c r="D1243" s="73"/>
      <c r="F1243" s="73"/>
      <c r="G1243" s="73"/>
      <c r="H1243" s="73"/>
      <c r="P1243" s="73"/>
      <c r="Q1243" s="73"/>
      <c r="R1243" s="73"/>
      <c r="S1243" s="73"/>
      <c r="T1243" s="73"/>
      <c r="U1243" s="73"/>
      <c r="V1243" s="73"/>
      <c r="W1243" s="73"/>
      <c r="X1243" s="73"/>
      <c r="Y1243" s="73"/>
      <c r="Z1243" s="73"/>
      <c r="AA1243" s="73"/>
      <c r="AF1243" s="73"/>
      <c r="AG1243" s="73"/>
    </row>
    <row r="1244" spans="2:33" x14ac:dyDescent="0.2">
      <c r="B1244" s="73" t="s">
        <v>1231</v>
      </c>
      <c r="C1244" s="73"/>
      <c r="D1244" s="73"/>
      <c r="F1244" s="73"/>
      <c r="G1244" s="73"/>
      <c r="H1244" s="73"/>
      <c r="P1244" s="73"/>
      <c r="Q1244" s="73"/>
      <c r="R1244" s="73"/>
      <c r="S1244" s="73"/>
      <c r="T1244" s="73"/>
      <c r="U1244" s="73"/>
      <c r="V1244" s="73"/>
      <c r="W1244" s="73"/>
      <c r="X1244" s="73"/>
      <c r="Y1244" s="73"/>
      <c r="Z1244" s="73"/>
      <c r="AA1244" s="73"/>
      <c r="AF1244" s="73"/>
      <c r="AG1244" s="73"/>
    </row>
    <row r="1245" spans="2:33" x14ac:dyDescent="0.2">
      <c r="B1245" s="73" t="s">
        <v>1230</v>
      </c>
      <c r="C1245" s="73"/>
      <c r="D1245" s="73"/>
      <c r="F1245" s="73"/>
      <c r="G1245" s="73"/>
      <c r="H1245" s="73"/>
      <c r="P1245" s="73"/>
      <c r="Q1245" s="73"/>
      <c r="R1245" s="73"/>
      <c r="S1245" s="73"/>
      <c r="T1245" s="73"/>
      <c r="U1245" s="73"/>
      <c r="V1245" s="73"/>
      <c r="W1245" s="73"/>
      <c r="X1245" s="73"/>
      <c r="Y1245" s="73"/>
      <c r="Z1245" s="73"/>
      <c r="AA1245" s="73"/>
      <c r="AF1245" s="73"/>
      <c r="AG1245" s="73"/>
    </row>
    <row r="1246" spans="2:33" x14ac:dyDescent="0.2">
      <c r="B1246" s="73" t="s">
        <v>1229</v>
      </c>
      <c r="C1246" s="73"/>
      <c r="D1246" s="73"/>
      <c r="F1246" s="73"/>
      <c r="G1246" s="73"/>
      <c r="H1246" s="73"/>
      <c r="P1246" s="73"/>
      <c r="Q1246" s="73"/>
      <c r="R1246" s="73"/>
      <c r="S1246" s="73"/>
      <c r="T1246" s="73"/>
      <c r="U1246" s="73"/>
      <c r="V1246" s="73"/>
      <c r="W1246" s="73"/>
      <c r="X1246" s="73"/>
      <c r="Y1246" s="73"/>
      <c r="Z1246" s="73"/>
      <c r="AA1246" s="73"/>
      <c r="AF1246" s="73"/>
      <c r="AG1246" s="73"/>
    </row>
    <row r="1247" spans="2:33" x14ac:dyDescent="0.2">
      <c r="B1247" s="73" t="s">
        <v>1228</v>
      </c>
      <c r="C1247" s="73"/>
      <c r="D1247" s="73"/>
      <c r="F1247" s="73"/>
      <c r="G1247" s="73"/>
      <c r="H1247" s="73"/>
      <c r="P1247" s="73"/>
      <c r="Q1247" s="73"/>
      <c r="R1247" s="73"/>
      <c r="S1247" s="73"/>
      <c r="T1247" s="73"/>
      <c r="U1247" s="73"/>
      <c r="V1247" s="73"/>
      <c r="W1247" s="73"/>
      <c r="X1247" s="73"/>
      <c r="Y1247" s="73"/>
      <c r="Z1247" s="73"/>
      <c r="AA1247" s="73"/>
      <c r="AF1247" s="73"/>
      <c r="AG1247" s="73"/>
    </row>
    <row r="1248" spans="2:33" x14ac:dyDescent="0.2">
      <c r="B1248" s="73" t="s">
        <v>1227</v>
      </c>
      <c r="C1248" s="73"/>
      <c r="D1248" s="73"/>
      <c r="F1248" s="73"/>
      <c r="G1248" s="73"/>
      <c r="H1248" s="73"/>
      <c r="P1248" s="73"/>
      <c r="Q1248" s="73"/>
      <c r="R1248" s="73"/>
      <c r="S1248" s="73"/>
      <c r="T1248" s="73"/>
      <c r="U1248" s="73"/>
      <c r="V1248" s="73"/>
      <c r="W1248" s="73"/>
      <c r="X1248" s="73"/>
      <c r="Y1248" s="73"/>
      <c r="Z1248" s="73"/>
      <c r="AA1248" s="73"/>
      <c r="AF1248" s="73"/>
      <c r="AG1248" s="73"/>
    </row>
    <row r="1249" spans="2:33" x14ac:dyDescent="0.2">
      <c r="B1249" s="73" t="s">
        <v>1226</v>
      </c>
      <c r="C1249" s="73"/>
      <c r="D1249" s="73"/>
      <c r="F1249" s="73"/>
      <c r="G1249" s="73"/>
      <c r="H1249" s="73"/>
      <c r="P1249" s="73"/>
      <c r="Q1249" s="73"/>
      <c r="R1249" s="73"/>
      <c r="S1249" s="73"/>
      <c r="T1249" s="73"/>
      <c r="U1249" s="73"/>
      <c r="V1249" s="73"/>
      <c r="W1249" s="73"/>
      <c r="X1249" s="73"/>
      <c r="Y1249" s="73"/>
      <c r="Z1249" s="73"/>
      <c r="AA1249" s="73"/>
      <c r="AF1249" s="73"/>
      <c r="AG1249" s="73"/>
    </row>
    <row r="1250" spans="2:33" x14ac:dyDescent="0.2">
      <c r="B1250" s="73" t="s">
        <v>1225</v>
      </c>
      <c r="C1250" s="73"/>
      <c r="D1250" s="73"/>
      <c r="F1250" s="73"/>
      <c r="G1250" s="73"/>
      <c r="H1250" s="73"/>
      <c r="P1250" s="73"/>
      <c r="Q1250" s="73"/>
      <c r="R1250" s="73"/>
      <c r="S1250" s="73"/>
      <c r="T1250" s="73"/>
      <c r="U1250" s="73"/>
      <c r="V1250" s="73"/>
      <c r="W1250" s="73"/>
      <c r="X1250" s="73"/>
      <c r="Y1250" s="73"/>
      <c r="Z1250" s="73"/>
      <c r="AA1250" s="73"/>
      <c r="AF1250" s="73"/>
      <c r="AG1250" s="73"/>
    </row>
    <row r="1251" spans="2:33" x14ac:dyDescent="0.2">
      <c r="B1251" s="73" t="s">
        <v>1224</v>
      </c>
      <c r="C1251" s="73"/>
      <c r="D1251" s="73"/>
      <c r="F1251" s="73"/>
      <c r="G1251" s="73"/>
      <c r="H1251" s="73"/>
      <c r="P1251" s="73"/>
      <c r="Q1251" s="73"/>
      <c r="R1251" s="73"/>
      <c r="S1251" s="73"/>
      <c r="T1251" s="73"/>
      <c r="U1251" s="73"/>
      <c r="V1251" s="73"/>
      <c r="W1251" s="73"/>
      <c r="X1251" s="73"/>
      <c r="Y1251" s="73"/>
      <c r="Z1251" s="73"/>
      <c r="AA1251" s="73"/>
      <c r="AF1251" s="73"/>
      <c r="AG1251" s="73"/>
    </row>
    <row r="1252" spans="2:33" x14ac:dyDescent="0.2">
      <c r="B1252" s="73" t="s">
        <v>1223</v>
      </c>
      <c r="C1252" s="73"/>
      <c r="D1252" s="73"/>
      <c r="F1252" s="73"/>
      <c r="G1252" s="73"/>
      <c r="H1252" s="73"/>
      <c r="P1252" s="73"/>
      <c r="Q1252" s="73"/>
      <c r="R1252" s="73"/>
      <c r="S1252" s="73"/>
      <c r="T1252" s="73"/>
      <c r="U1252" s="73"/>
      <c r="V1252" s="73"/>
      <c r="W1252" s="73"/>
      <c r="X1252" s="73"/>
      <c r="Y1252" s="73"/>
      <c r="Z1252" s="73"/>
      <c r="AA1252" s="73"/>
      <c r="AF1252" s="73"/>
      <c r="AG1252" s="73"/>
    </row>
    <row r="1253" spans="2:33" x14ac:dyDescent="0.2">
      <c r="B1253" s="73" t="s">
        <v>1222</v>
      </c>
      <c r="C1253" s="73"/>
      <c r="D1253" s="73"/>
      <c r="F1253" s="73"/>
      <c r="G1253" s="73"/>
      <c r="H1253" s="73"/>
      <c r="P1253" s="73"/>
      <c r="Q1253" s="73"/>
      <c r="R1253" s="73"/>
      <c r="S1253" s="73"/>
      <c r="T1253" s="73"/>
      <c r="U1253" s="73"/>
      <c r="V1253" s="73"/>
      <c r="W1253" s="73"/>
      <c r="X1253" s="73"/>
      <c r="Y1253" s="73"/>
      <c r="Z1253" s="73"/>
      <c r="AA1253" s="73"/>
      <c r="AF1253" s="73"/>
      <c r="AG1253" s="73"/>
    </row>
    <row r="1254" spans="2:33" x14ac:dyDescent="0.2">
      <c r="B1254" s="73" t="s">
        <v>1221</v>
      </c>
      <c r="C1254" s="73"/>
      <c r="D1254" s="73"/>
      <c r="F1254" s="73"/>
      <c r="G1254" s="73"/>
      <c r="H1254" s="73"/>
      <c r="P1254" s="73"/>
      <c r="Q1254" s="73"/>
      <c r="R1254" s="73"/>
      <c r="S1254" s="73"/>
      <c r="T1254" s="73"/>
      <c r="U1254" s="73"/>
      <c r="V1254" s="73"/>
      <c r="W1254" s="73"/>
      <c r="X1254" s="73"/>
      <c r="Y1254" s="73"/>
      <c r="Z1254" s="73"/>
      <c r="AA1254" s="73"/>
      <c r="AF1254" s="73"/>
      <c r="AG1254" s="73"/>
    </row>
    <row r="1255" spans="2:33" x14ac:dyDescent="0.2">
      <c r="B1255" s="73" t="s">
        <v>1220</v>
      </c>
      <c r="C1255" s="73"/>
      <c r="D1255" s="73"/>
      <c r="F1255" s="73"/>
      <c r="G1255" s="73"/>
      <c r="H1255" s="73"/>
      <c r="P1255" s="73"/>
      <c r="Q1255" s="73"/>
      <c r="R1255" s="73"/>
      <c r="S1255" s="73"/>
      <c r="T1255" s="73"/>
      <c r="U1255" s="73"/>
      <c r="V1255" s="73"/>
      <c r="W1255" s="73"/>
      <c r="X1255" s="73"/>
      <c r="Y1255" s="73"/>
      <c r="Z1255" s="73"/>
      <c r="AA1255" s="73"/>
      <c r="AF1255" s="73"/>
      <c r="AG1255" s="73"/>
    </row>
    <row r="1256" spans="2:33" x14ac:dyDescent="0.2">
      <c r="B1256" s="73" t="s">
        <v>1219</v>
      </c>
      <c r="C1256" s="73"/>
      <c r="D1256" s="73"/>
      <c r="F1256" s="73"/>
      <c r="G1256" s="73"/>
      <c r="H1256" s="73"/>
      <c r="P1256" s="73"/>
      <c r="Q1256" s="73"/>
      <c r="R1256" s="73"/>
      <c r="S1256" s="73"/>
      <c r="T1256" s="73"/>
      <c r="U1256" s="73"/>
      <c r="V1256" s="73"/>
      <c r="W1256" s="73"/>
      <c r="X1256" s="73"/>
      <c r="Y1256" s="73"/>
      <c r="Z1256" s="73"/>
      <c r="AA1256" s="73"/>
      <c r="AF1256" s="73"/>
      <c r="AG1256" s="73"/>
    </row>
    <row r="1257" spans="2:33" x14ac:dyDescent="0.2">
      <c r="B1257" s="73" t="s">
        <v>1218</v>
      </c>
      <c r="C1257" s="73"/>
      <c r="D1257" s="73"/>
      <c r="F1257" s="73"/>
      <c r="G1257" s="73"/>
      <c r="H1257" s="73"/>
      <c r="P1257" s="73"/>
      <c r="Q1257" s="73"/>
      <c r="R1257" s="73"/>
      <c r="S1257" s="73"/>
      <c r="T1257" s="73"/>
      <c r="U1257" s="73"/>
      <c r="V1257" s="73"/>
      <c r="W1257" s="73"/>
      <c r="X1257" s="73"/>
      <c r="Y1257" s="73"/>
      <c r="Z1257" s="73"/>
      <c r="AA1257" s="73"/>
      <c r="AF1257" s="73"/>
      <c r="AG1257" s="73"/>
    </row>
    <row r="1258" spans="2:33" x14ac:dyDescent="0.2">
      <c r="B1258" s="73" t="s">
        <v>1217</v>
      </c>
      <c r="C1258" s="73"/>
      <c r="D1258" s="73"/>
      <c r="F1258" s="73"/>
      <c r="G1258" s="73"/>
      <c r="H1258" s="73"/>
      <c r="P1258" s="73"/>
      <c r="Q1258" s="73"/>
      <c r="R1258" s="73"/>
      <c r="S1258" s="73"/>
      <c r="T1258" s="73"/>
      <c r="U1258" s="73"/>
      <c r="V1258" s="73"/>
      <c r="W1258" s="73"/>
      <c r="X1258" s="73"/>
      <c r="Y1258" s="73"/>
      <c r="Z1258" s="73"/>
      <c r="AA1258" s="73"/>
      <c r="AF1258" s="73"/>
      <c r="AG1258" s="73"/>
    </row>
    <row r="1259" spans="2:33" x14ac:dyDescent="0.2">
      <c r="B1259" s="73" t="s">
        <v>1216</v>
      </c>
      <c r="C1259" s="73"/>
      <c r="D1259" s="73"/>
      <c r="F1259" s="73"/>
      <c r="G1259" s="73"/>
      <c r="H1259" s="73"/>
      <c r="P1259" s="73"/>
      <c r="Q1259" s="73"/>
      <c r="R1259" s="73"/>
      <c r="S1259" s="73"/>
      <c r="T1259" s="73"/>
      <c r="U1259" s="73"/>
      <c r="V1259" s="73"/>
      <c r="W1259" s="73"/>
      <c r="X1259" s="73"/>
      <c r="Y1259" s="73"/>
      <c r="Z1259" s="73"/>
      <c r="AA1259" s="73"/>
      <c r="AF1259" s="73"/>
      <c r="AG1259" s="73"/>
    </row>
    <row r="1260" spans="2:33" x14ac:dyDescent="0.2">
      <c r="B1260" s="73" t="s">
        <v>1215</v>
      </c>
      <c r="C1260" s="73"/>
      <c r="D1260" s="73"/>
      <c r="F1260" s="73"/>
      <c r="G1260" s="73"/>
      <c r="H1260" s="73"/>
      <c r="P1260" s="73"/>
      <c r="Q1260" s="73"/>
      <c r="R1260" s="73"/>
      <c r="S1260" s="73"/>
      <c r="T1260" s="73"/>
      <c r="U1260" s="73"/>
      <c r="V1260" s="73"/>
      <c r="W1260" s="73"/>
      <c r="X1260" s="73"/>
      <c r="Y1260" s="73"/>
      <c r="Z1260" s="73"/>
      <c r="AA1260" s="73"/>
      <c r="AF1260" s="73"/>
      <c r="AG1260" s="73"/>
    </row>
    <row r="1261" spans="2:33" x14ac:dyDescent="0.2">
      <c r="B1261" s="73" t="s">
        <v>1214</v>
      </c>
      <c r="C1261" s="73"/>
      <c r="D1261" s="73"/>
      <c r="F1261" s="73"/>
      <c r="G1261" s="73"/>
      <c r="H1261" s="73"/>
      <c r="P1261" s="73"/>
      <c r="Q1261" s="73"/>
      <c r="R1261" s="73"/>
      <c r="S1261" s="73"/>
      <c r="T1261" s="73"/>
      <c r="U1261" s="73"/>
      <c r="V1261" s="73"/>
      <c r="W1261" s="73"/>
      <c r="X1261" s="73"/>
      <c r="Y1261" s="73"/>
      <c r="Z1261" s="73"/>
      <c r="AA1261" s="73"/>
      <c r="AF1261" s="73"/>
      <c r="AG1261" s="73"/>
    </row>
    <row r="1262" spans="2:33" x14ac:dyDescent="0.2">
      <c r="B1262" s="73" t="s">
        <v>1213</v>
      </c>
      <c r="C1262" s="73"/>
      <c r="D1262" s="73"/>
      <c r="F1262" s="73"/>
      <c r="G1262" s="73"/>
      <c r="H1262" s="73"/>
      <c r="P1262" s="73"/>
      <c r="Q1262" s="73"/>
      <c r="R1262" s="73"/>
      <c r="S1262" s="73"/>
      <c r="T1262" s="73"/>
      <c r="U1262" s="73"/>
      <c r="V1262" s="73"/>
      <c r="W1262" s="73"/>
      <c r="X1262" s="73"/>
      <c r="Y1262" s="73"/>
      <c r="Z1262" s="73"/>
      <c r="AA1262" s="73"/>
      <c r="AF1262" s="73"/>
      <c r="AG1262" s="73"/>
    </row>
    <row r="1263" spans="2:33" x14ac:dyDescent="0.2">
      <c r="B1263" s="73" t="s">
        <v>1212</v>
      </c>
      <c r="C1263" s="73"/>
      <c r="D1263" s="73"/>
      <c r="F1263" s="73"/>
      <c r="G1263" s="73"/>
      <c r="H1263" s="73"/>
      <c r="P1263" s="73"/>
      <c r="Q1263" s="73"/>
      <c r="R1263" s="73"/>
      <c r="S1263" s="73"/>
      <c r="T1263" s="73"/>
      <c r="U1263" s="73"/>
      <c r="V1263" s="73"/>
      <c r="W1263" s="73"/>
      <c r="X1263" s="73"/>
      <c r="Y1263" s="73"/>
      <c r="Z1263" s="73"/>
      <c r="AA1263" s="73"/>
      <c r="AF1263" s="73"/>
      <c r="AG1263" s="73"/>
    </row>
    <row r="1264" spans="2:33" x14ac:dyDescent="0.2">
      <c r="B1264" s="73" t="s">
        <v>1211</v>
      </c>
      <c r="C1264" s="73"/>
      <c r="D1264" s="73"/>
      <c r="F1264" s="73"/>
      <c r="G1264" s="73"/>
      <c r="H1264" s="73"/>
      <c r="P1264" s="73"/>
      <c r="Q1264" s="73"/>
      <c r="R1264" s="73"/>
      <c r="S1264" s="73"/>
      <c r="T1264" s="73"/>
      <c r="U1264" s="73"/>
      <c r="V1264" s="73"/>
      <c r="W1264" s="73"/>
      <c r="X1264" s="73"/>
      <c r="Y1264" s="73"/>
      <c r="Z1264" s="73"/>
      <c r="AA1264" s="73"/>
      <c r="AF1264" s="73"/>
      <c r="AG1264" s="73"/>
    </row>
    <row r="1265" spans="2:35" x14ac:dyDescent="0.2">
      <c r="B1265" s="73" t="s">
        <v>1210</v>
      </c>
      <c r="C1265" s="73"/>
      <c r="D1265" s="73"/>
      <c r="F1265" s="73"/>
      <c r="G1265" s="73"/>
      <c r="H1265" s="73"/>
      <c r="P1265" s="73"/>
      <c r="Q1265" s="73"/>
      <c r="R1265" s="73"/>
      <c r="S1265" s="73"/>
      <c r="T1265" s="73"/>
      <c r="U1265" s="73"/>
      <c r="V1265" s="73"/>
      <c r="W1265" s="73"/>
      <c r="X1265" s="73"/>
      <c r="Y1265" s="73"/>
      <c r="Z1265" s="73"/>
      <c r="AA1265" s="73"/>
      <c r="AF1265" s="73"/>
      <c r="AG1265" s="73"/>
    </row>
    <row r="1266" spans="2:35" x14ac:dyDescent="0.2">
      <c r="B1266" s="73" t="s">
        <v>1209</v>
      </c>
    </row>
    <row r="1267" spans="2:35" x14ac:dyDescent="0.2">
      <c r="B1267" s="73" t="s">
        <v>1208</v>
      </c>
    </row>
    <row r="1268" spans="2:35" x14ac:dyDescent="0.2">
      <c r="B1268" s="73" t="s">
        <v>1207</v>
      </c>
    </row>
    <row r="1269" spans="2:35" x14ac:dyDescent="0.2">
      <c r="B1269" s="73" t="s">
        <v>1206</v>
      </c>
    </row>
    <row r="1270" spans="2:35" x14ac:dyDescent="0.2">
      <c r="B1270" s="73" t="s">
        <v>1205</v>
      </c>
    </row>
    <row r="1271" spans="2:35" x14ac:dyDescent="0.2">
      <c r="B1271" s="73" t="s">
        <v>161</v>
      </c>
    </row>
    <row r="1272" spans="2:35" x14ac:dyDescent="0.2">
      <c r="B1272" s="73" t="s">
        <v>1204</v>
      </c>
      <c r="AI1272" s="90"/>
    </row>
    <row r="1273" spans="2:35" x14ac:dyDescent="0.2">
      <c r="B1273" s="73" t="s">
        <v>1203</v>
      </c>
    </row>
    <row r="1274" spans="2:35" x14ac:dyDescent="0.2">
      <c r="B1274" s="73" t="s">
        <v>1202</v>
      </c>
    </row>
    <row r="1275" spans="2:35" x14ac:dyDescent="0.2">
      <c r="B1275" s="73" t="s">
        <v>1201</v>
      </c>
    </row>
    <row r="1276" spans="2:35" x14ac:dyDescent="0.2">
      <c r="B1276" s="73" t="s">
        <v>1200</v>
      </c>
    </row>
    <row r="1277" spans="2:35" x14ac:dyDescent="0.2">
      <c r="B1277" s="73" t="s">
        <v>1199</v>
      </c>
    </row>
    <row r="1278" spans="2:35" x14ac:dyDescent="0.2">
      <c r="B1278" s="73" t="s">
        <v>1198</v>
      </c>
    </row>
    <row r="1279" spans="2:35" x14ac:dyDescent="0.2">
      <c r="B1279" s="73" t="s">
        <v>1197</v>
      </c>
    </row>
    <row r="1280" spans="2:35" x14ac:dyDescent="0.2">
      <c r="B1280" s="73" t="s">
        <v>1196</v>
      </c>
    </row>
    <row r="1281" spans="2:33" x14ac:dyDescent="0.2">
      <c r="B1281" s="73" t="s">
        <v>1195</v>
      </c>
    </row>
    <row r="1282" spans="2:33" x14ac:dyDescent="0.2">
      <c r="B1282" s="73" t="s">
        <v>1194</v>
      </c>
      <c r="C1282" s="73"/>
      <c r="D1282" s="73"/>
      <c r="F1282" s="73"/>
      <c r="G1282" s="73"/>
      <c r="H1282" s="73"/>
      <c r="P1282" s="73"/>
      <c r="Q1282" s="73"/>
      <c r="R1282" s="73"/>
      <c r="S1282" s="73"/>
      <c r="T1282" s="73"/>
      <c r="U1282" s="73"/>
      <c r="V1282" s="73"/>
      <c r="W1282" s="73"/>
      <c r="X1282" s="73"/>
      <c r="Y1282" s="73"/>
      <c r="Z1282" s="73"/>
      <c r="AA1282" s="73"/>
      <c r="AF1282" s="73"/>
      <c r="AG1282" s="73"/>
    </row>
    <row r="1283" spans="2:33" x14ac:dyDescent="0.2">
      <c r="B1283" s="73" t="s">
        <v>1193</v>
      </c>
      <c r="C1283" s="73"/>
      <c r="D1283" s="73"/>
      <c r="F1283" s="73"/>
      <c r="G1283" s="73"/>
      <c r="H1283" s="73"/>
      <c r="P1283" s="73"/>
      <c r="Q1283" s="73"/>
      <c r="R1283" s="73"/>
      <c r="S1283" s="73"/>
      <c r="T1283" s="73"/>
      <c r="U1283" s="73"/>
      <c r="V1283" s="73"/>
      <c r="W1283" s="73"/>
      <c r="X1283" s="73"/>
      <c r="Y1283" s="73"/>
      <c r="Z1283" s="73"/>
      <c r="AA1283" s="73"/>
      <c r="AF1283" s="73"/>
      <c r="AG1283" s="73"/>
    </row>
    <row r="1284" spans="2:33" x14ac:dyDescent="0.2">
      <c r="B1284" s="73" t="s">
        <v>1192</v>
      </c>
      <c r="C1284" s="73"/>
      <c r="D1284" s="73"/>
      <c r="F1284" s="73"/>
      <c r="G1284" s="73"/>
      <c r="H1284" s="73"/>
      <c r="P1284" s="73"/>
      <c r="Q1284" s="73"/>
      <c r="R1284" s="73"/>
      <c r="S1284" s="73"/>
      <c r="T1284" s="73"/>
      <c r="U1284" s="73"/>
      <c r="V1284" s="73"/>
      <c r="W1284" s="73"/>
      <c r="X1284" s="73"/>
      <c r="Y1284" s="73"/>
      <c r="Z1284" s="73"/>
      <c r="AA1284" s="73"/>
      <c r="AF1284" s="73"/>
      <c r="AG1284" s="73"/>
    </row>
    <row r="1285" spans="2:33" x14ac:dyDescent="0.2">
      <c r="B1285" s="73" t="s">
        <v>1191</v>
      </c>
      <c r="C1285" s="73"/>
      <c r="D1285" s="73"/>
      <c r="F1285" s="73"/>
      <c r="G1285" s="73"/>
      <c r="H1285" s="73"/>
      <c r="P1285" s="73"/>
      <c r="Q1285" s="73"/>
      <c r="R1285" s="73"/>
      <c r="S1285" s="73"/>
      <c r="T1285" s="73"/>
      <c r="U1285" s="73"/>
      <c r="V1285" s="73"/>
      <c r="W1285" s="73"/>
      <c r="X1285" s="73"/>
      <c r="Y1285" s="73"/>
      <c r="Z1285" s="73"/>
      <c r="AA1285" s="73"/>
      <c r="AF1285" s="73"/>
      <c r="AG1285" s="73"/>
    </row>
    <row r="1286" spans="2:33" x14ac:dyDescent="0.2">
      <c r="B1286" s="73" t="s">
        <v>1190</v>
      </c>
      <c r="C1286" s="73"/>
      <c r="D1286" s="73"/>
      <c r="F1286" s="73"/>
      <c r="G1286" s="73"/>
      <c r="H1286" s="73"/>
      <c r="P1286" s="73"/>
      <c r="Q1286" s="73"/>
      <c r="R1286" s="73"/>
      <c r="S1286" s="73"/>
      <c r="T1286" s="73"/>
      <c r="U1286" s="73"/>
      <c r="V1286" s="73"/>
      <c r="W1286" s="73"/>
      <c r="X1286" s="73"/>
      <c r="Y1286" s="73"/>
      <c r="Z1286" s="73"/>
      <c r="AA1286" s="73"/>
      <c r="AF1286" s="73"/>
      <c r="AG1286" s="73"/>
    </row>
    <row r="1287" spans="2:33" x14ac:dyDescent="0.2">
      <c r="B1287" s="73" t="s">
        <v>1189</v>
      </c>
      <c r="C1287" s="73"/>
      <c r="D1287" s="73"/>
      <c r="F1287" s="73"/>
      <c r="G1287" s="73"/>
      <c r="H1287" s="73"/>
      <c r="P1287" s="73"/>
      <c r="Q1287" s="73"/>
      <c r="R1287" s="73"/>
      <c r="S1287" s="73"/>
      <c r="T1287" s="73"/>
      <c r="U1287" s="73"/>
      <c r="V1287" s="73"/>
      <c r="W1287" s="73"/>
      <c r="X1287" s="73"/>
      <c r="Y1287" s="73"/>
      <c r="Z1287" s="73"/>
      <c r="AA1287" s="73"/>
      <c r="AF1287" s="73"/>
      <c r="AG1287" s="73"/>
    </row>
    <row r="1288" spans="2:33" x14ac:dyDescent="0.2">
      <c r="B1288" s="73" t="s">
        <v>1188</v>
      </c>
      <c r="C1288" s="73"/>
      <c r="D1288" s="73"/>
      <c r="F1288" s="73"/>
      <c r="G1288" s="73"/>
      <c r="H1288" s="73"/>
      <c r="P1288" s="73"/>
      <c r="Q1288" s="73"/>
      <c r="R1288" s="73"/>
      <c r="S1288" s="73"/>
      <c r="T1288" s="73"/>
      <c r="U1288" s="73"/>
      <c r="V1288" s="73"/>
      <c r="W1288" s="73"/>
      <c r="X1288" s="73"/>
      <c r="Y1288" s="73"/>
      <c r="Z1288" s="73"/>
      <c r="AA1288" s="73"/>
      <c r="AF1288" s="73"/>
      <c r="AG1288" s="73"/>
    </row>
    <row r="1289" spans="2:33" x14ac:dyDescent="0.2">
      <c r="B1289" s="73" t="s">
        <v>1187</v>
      </c>
      <c r="C1289" s="73"/>
      <c r="D1289" s="73"/>
      <c r="F1289" s="73"/>
      <c r="G1289" s="73"/>
      <c r="H1289" s="73"/>
      <c r="P1289" s="73"/>
      <c r="Q1289" s="73"/>
      <c r="R1289" s="73"/>
      <c r="S1289" s="73"/>
      <c r="T1289" s="73"/>
      <c r="U1289" s="73"/>
      <c r="V1289" s="73"/>
      <c r="W1289" s="73"/>
      <c r="X1289" s="73"/>
      <c r="Y1289" s="73"/>
      <c r="Z1289" s="73"/>
      <c r="AA1289" s="73"/>
      <c r="AF1289" s="73"/>
      <c r="AG1289" s="73"/>
    </row>
    <row r="1290" spans="2:33" x14ac:dyDescent="0.2">
      <c r="B1290" s="73" t="s">
        <v>1186</v>
      </c>
      <c r="C1290" s="73"/>
      <c r="D1290" s="73"/>
      <c r="F1290" s="73"/>
      <c r="G1290" s="73"/>
      <c r="H1290" s="73"/>
      <c r="P1290" s="73"/>
      <c r="Q1290" s="73"/>
      <c r="R1290" s="73"/>
      <c r="S1290" s="73"/>
      <c r="T1290" s="73"/>
      <c r="U1290" s="73"/>
      <c r="V1290" s="73"/>
      <c r="W1290" s="73"/>
      <c r="X1290" s="73"/>
      <c r="Y1290" s="73"/>
      <c r="Z1290" s="73"/>
      <c r="AA1290" s="73"/>
      <c r="AF1290" s="73"/>
      <c r="AG1290" s="73"/>
    </row>
    <row r="1291" spans="2:33" x14ac:dyDescent="0.2">
      <c r="B1291" s="73" t="s">
        <v>1185</v>
      </c>
      <c r="C1291" s="73"/>
      <c r="D1291" s="73"/>
      <c r="F1291" s="73"/>
      <c r="G1291" s="73"/>
      <c r="H1291" s="73"/>
      <c r="P1291" s="73"/>
      <c r="Q1291" s="73"/>
      <c r="R1291" s="73"/>
      <c r="S1291" s="73"/>
      <c r="T1291" s="73"/>
      <c r="U1291" s="73"/>
      <c r="V1291" s="73"/>
      <c r="W1291" s="73"/>
      <c r="X1291" s="73"/>
      <c r="Y1291" s="73"/>
      <c r="Z1291" s="73"/>
      <c r="AA1291" s="73"/>
      <c r="AF1291" s="73"/>
      <c r="AG1291" s="73"/>
    </row>
    <row r="1292" spans="2:33" x14ac:dyDescent="0.2">
      <c r="B1292" s="73" t="s">
        <v>1184</v>
      </c>
      <c r="C1292" s="73"/>
      <c r="D1292" s="73"/>
      <c r="F1292" s="73"/>
      <c r="G1292" s="73"/>
      <c r="H1292" s="73"/>
      <c r="P1292" s="73"/>
      <c r="Q1292" s="73"/>
      <c r="R1292" s="73"/>
      <c r="S1292" s="73"/>
      <c r="T1292" s="73"/>
      <c r="U1292" s="73"/>
      <c r="V1292" s="73"/>
      <c r="W1292" s="73"/>
      <c r="X1292" s="73"/>
      <c r="Y1292" s="73"/>
      <c r="Z1292" s="73"/>
      <c r="AA1292" s="73"/>
      <c r="AF1292" s="73"/>
      <c r="AG1292" s="73"/>
    </row>
    <row r="1293" spans="2:33" x14ac:dyDescent="0.2">
      <c r="B1293" s="73" t="s">
        <v>1183</v>
      </c>
      <c r="C1293" s="73"/>
      <c r="D1293" s="73"/>
      <c r="F1293" s="73"/>
      <c r="G1293" s="73"/>
      <c r="H1293" s="73"/>
      <c r="P1293" s="73"/>
      <c r="Q1293" s="73"/>
      <c r="R1293" s="73"/>
      <c r="S1293" s="73"/>
      <c r="T1293" s="73"/>
      <c r="U1293" s="73"/>
      <c r="V1293" s="73"/>
      <c r="W1293" s="73"/>
      <c r="X1293" s="73"/>
      <c r="Y1293" s="73"/>
      <c r="Z1293" s="73"/>
      <c r="AA1293" s="73"/>
      <c r="AF1293" s="73"/>
      <c r="AG1293" s="73"/>
    </row>
    <row r="1294" spans="2:33" x14ac:dyDescent="0.2">
      <c r="B1294" s="73" t="s">
        <v>1182</v>
      </c>
      <c r="C1294" s="73"/>
      <c r="D1294" s="73"/>
      <c r="F1294" s="73"/>
      <c r="G1294" s="73"/>
      <c r="H1294" s="73"/>
      <c r="P1294" s="73"/>
      <c r="Q1294" s="73"/>
      <c r="R1294" s="73"/>
      <c r="S1294" s="73"/>
      <c r="T1294" s="73"/>
      <c r="U1294" s="73"/>
      <c r="V1294" s="73"/>
      <c r="W1294" s="73"/>
      <c r="X1294" s="73"/>
      <c r="Y1294" s="73"/>
      <c r="Z1294" s="73"/>
      <c r="AA1294" s="73"/>
      <c r="AF1294" s="73"/>
      <c r="AG1294" s="73"/>
    </row>
    <row r="1295" spans="2:33" x14ac:dyDescent="0.2">
      <c r="B1295" s="73" t="s">
        <v>1181</v>
      </c>
      <c r="C1295" s="73"/>
      <c r="D1295" s="73"/>
      <c r="F1295" s="73"/>
      <c r="G1295" s="73"/>
      <c r="H1295" s="73"/>
      <c r="P1295" s="73"/>
      <c r="Q1295" s="73"/>
      <c r="R1295" s="73"/>
      <c r="S1295" s="73"/>
      <c r="T1295" s="73"/>
      <c r="U1295" s="73"/>
      <c r="V1295" s="73"/>
      <c r="W1295" s="73"/>
      <c r="X1295" s="73"/>
      <c r="Y1295" s="73"/>
      <c r="Z1295" s="73"/>
      <c r="AA1295" s="73"/>
      <c r="AF1295" s="73"/>
      <c r="AG1295" s="73"/>
    </row>
    <row r="1296" spans="2:33" x14ac:dyDescent="0.2">
      <c r="B1296" s="73" t="s">
        <v>1180</v>
      </c>
      <c r="C1296" s="73"/>
      <c r="D1296" s="73"/>
      <c r="F1296" s="73"/>
      <c r="G1296" s="73"/>
      <c r="H1296" s="73"/>
      <c r="P1296" s="73"/>
      <c r="Q1296" s="73"/>
      <c r="R1296" s="73"/>
      <c r="S1296" s="73"/>
      <c r="T1296" s="73"/>
      <c r="U1296" s="73"/>
      <c r="V1296" s="73"/>
      <c r="W1296" s="73"/>
      <c r="X1296" s="73"/>
      <c r="Y1296" s="73"/>
      <c r="Z1296" s="73"/>
      <c r="AA1296" s="73"/>
      <c r="AF1296" s="73"/>
      <c r="AG1296" s="73"/>
    </row>
    <row r="1297" spans="2:33" x14ac:dyDescent="0.2">
      <c r="B1297" s="73" t="s">
        <v>1179</v>
      </c>
      <c r="C1297" s="73"/>
      <c r="D1297" s="73"/>
      <c r="F1297" s="73"/>
      <c r="G1297" s="73"/>
      <c r="H1297" s="73"/>
      <c r="P1297" s="73"/>
      <c r="Q1297" s="73"/>
      <c r="R1297" s="73"/>
      <c r="S1297" s="73"/>
      <c r="T1297" s="73"/>
      <c r="U1297" s="73"/>
      <c r="V1297" s="73"/>
      <c r="W1297" s="73"/>
      <c r="X1297" s="73"/>
      <c r="Y1297" s="73"/>
      <c r="Z1297" s="73"/>
      <c r="AA1297" s="73"/>
      <c r="AF1297" s="73"/>
      <c r="AG1297" s="73"/>
    </row>
    <row r="1298" spans="2:33" x14ac:dyDescent="0.2">
      <c r="B1298" s="73" t="s">
        <v>1178</v>
      </c>
      <c r="C1298" s="73"/>
      <c r="D1298" s="73"/>
      <c r="F1298" s="73"/>
      <c r="G1298" s="73"/>
      <c r="H1298" s="73"/>
      <c r="P1298" s="73"/>
      <c r="Q1298" s="73"/>
      <c r="R1298" s="73"/>
      <c r="S1298" s="73"/>
      <c r="T1298" s="73"/>
      <c r="U1298" s="73"/>
      <c r="V1298" s="73"/>
      <c r="W1298" s="73"/>
      <c r="X1298" s="73"/>
      <c r="Y1298" s="73"/>
      <c r="Z1298" s="73"/>
      <c r="AA1298" s="73"/>
      <c r="AF1298" s="73"/>
      <c r="AG1298" s="73"/>
    </row>
    <row r="1299" spans="2:33" x14ac:dyDescent="0.2">
      <c r="B1299" s="73" t="s">
        <v>1177</v>
      </c>
      <c r="C1299" s="73"/>
      <c r="D1299" s="73"/>
      <c r="F1299" s="73"/>
      <c r="G1299" s="73"/>
      <c r="H1299" s="73"/>
      <c r="P1299" s="73"/>
      <c r="Q1299" s="73"/>
      <c r="R1299" s="73"/>
      <c r="S1299" s="73"/>
      <c r="T1299" s="73"/>
      <c r="U1299" s="73"/>
      <c r="V1299" s="73"/>
      <c r="W1299" s="73"/>
      <c r="X1299" s="73"/>
      <c r="Y1299" s="73"/>
      <c r="Z1299" s="73"/>
      <c r="AA1299" s="73"/>
      <c r="AF1299" s="73"/>
      <c r="AG1299" s="73"/>
    </row>
    <row r="1300" spans="2:33" x14ac:dyDescent="0.2">
      <c r="B1300" s="73" t="s">
        <v>1176</v>
      </c>
      <c r="C1300" s="73"/>
      <c r="D1300" s="73"/>
      <c r="F1300" s="73"/>
      <c r="G1300" s="73"/>
      <c r="H1300" s="73"/>
      <c r="P1300" s="73"/>
      <c r="Q1300" s="73"/>
      <c r="R1300" s="73"/>
      <c r="S1300" s="73"/>
      <c r="T1300" s="73"/>
      <c r="U1300" s="73"/>
      <c r="V1300" s="73"/>
      <c r="W1300" s="73"/>
      <c r="X1300" s="73"/>
      <c r="Y1300" s="73"/>
      <c r="Z1300" s="73"/>
      <c r="AA1300" s="73"/>
      <c r="AF1300" s="73"/>
      <c r="AG1300" s="73"/>
    </row>
    <row r="1301" spans="2:33" x14ac:dyDescent="0.2">
      <c r="B1301" s="73" t="s">
        <v>1175</v>
      </c>
      <c r="C1301" s="73"/>
      <c r="D1301" s="73"/>
      <c r="F1301" s="73"/>
      <c r="G1301" s="73"/>
      <c r="H1301" s="73"/>
      <c r="P1301" s="73"/>
      <c r="Q1301" s="73"/>
      <c r="R1301" s="73"/>
      <c r="S1301" s="73"/>
      <c r="T1301" s="73"/>
      <c r="U1301" s="73"/>
      <c r="V1301" s="73"/>
      <c r="W1301" s="73"/>
      <c r="X1301" s="73"/>
      <c r="Y1301" s="73"/>
      <c r="Z1301" s="73"/>
      <c r="AA1301" s="73"/>
      <c r="AF1301" s="73"/>
      <c r="AG1301" s="73"/>
    </row>
    <row r="1302" spans="2:33" x14ac:dyDescent="0.2">
      <c r="B1302" s="73" t="s">
        <v>1174</v>
      </c>
      <c r="C1302" s="73"/>
      <c r="D1302" s="73"/>
      <c r="F1302" s="73"/>
      <c r="G1302" s="73"/>
      <c r="H1302" s="73"/>
      <c r="P1302" s="73"/>
      <c r="Q1302" s="73"/>
      <c r="R1302" s="73"/>
      <c r="S1302" s="73"/>
      <c r="T1302" s="73"/>
      <c r="U1302" s="73"/>
      <c r="V1302" s="73"/>
      <c r="W1302" s="73"/>
      <c r="X1302" s="73"/>
      <c r="Y1302" s="73"/>
      <c r="Z1302" s="73"/>
      <c r="AA1302" s="73"/>
      <c r="AF1302" s="73"/>
      <c r="AG1302" s="73"/>
    </row>
    <row r="1303" spans="2:33" x14ac:dyDescent="0.2">
      <c r="B1303" s="73" t="s">
        <v>1173</v>
      </c>
      <c r="C1303" s="73"/>
      <c r="D1303" s="73"/>
      <c r="F1303" s="73"/>
      <c r="G1303" s="73"/>
      <c r="H1303" s="73"/>
      <c r="P1303" s="73"/>
      <c r="Q1303" s="73"/>
      <c r="R1303" s="73"/>
      <c r="S1303" s="73"/>
      <c r="T1303" s="73"/>
      <c r="U1303" s="73"/>
      <c r="V1303" s="73"/>
      <c r="W1303" s="73"/>
      <c r="X1303" s="73"/>
      <c r="Y1303" s="73"/>
      <c r="Z1303" s="73"/>
      <c r="AA1303" s="73"/>
      <c r="AF1303" s="73"/>
      <c r="AG1303" s="73"/>
    </row>
    <row r="1304" spans="2:33" x14ac:dyDescent="0.2">
      <c r="B1304" s="73" t="s">
        <v>1172</v>
      </c>
      <c r="C1304" s="73"/>
      <c r="D1304" s="73"/>
      <c r="F1304" s="73"/>
      <c r="G1304" s="73"/>
      <c r="H1304" s="73"/>
      <c r="P1304" s="73"/>
      <c r="Q1304" s="73"/>
      <c r="R1304" s="73"/>
      <c r="S1304" s="73"/>
      <c r="T1304" s="73"/>
      <c r="U1304" s="73"/>
      <c r="V1304" s="73"/>
      <c r="W1304" s="73"/>
      <c r="X1304" s="73"/>
      <c r="Y1304" s="73"/>
      <c r="Z1304" s="73"/>
      <c r="AA1304" s="73"/>
      <c r="AF1304" s="73"/>
      <c r="AG1304" s="73"/>
    </row>
    <row r="1305" spans="2:33" x14ac:dyDescent="0.2">
      <c r="B1305" s="73" t="s">
        <v>1171</v>
      </c>
      <c r="C1305" s="73"/>
      <c r="D1305" s="73"/>
      <c r="F1305" s="73"/>
      <c r="G1305" s="73"/>
      <c r="H1305" s="73"/>
      <c r="P1305" s="73"/>
      <c r="Q1305" s="73"/>
      <c r="R1305" s="73"/>
      <c r="S1305" s="73"/>
      <c r="T1305" s="73"/>
      <c r="U1305" s="73"/>
      <c r="V1305" s="73"/>
      <c r="W1305" s="73"/>
      <c r="X1305" s="73"/>
      <c r="Y1305" s="73"/>
      <c r="Z1305" s="73"/>
      <c r="AA1305" s="73"/>
      <c r="AF1305" s="73"/>
      <c r="AG1305" s="73"/>
    </row>
    <row r="1306" spans="2:33" x14ac:dyDescent="0.2">
      <c r="B1306" s="73" t="s">
        <v>1170</v>
      </c>
      <c r="C1306" s="73"/>
      <c r="D1306" s="73"/>
      <c r="F1306" s="73"/>
      <c r="G1306" s="73"/>
      <c r="H1306" s="73"/>
      <c r="P1306" s="73"/>
      <c r="Q1306" s="73"/>
      <c r="R1306" s="73"/>
      <c r="S1306" s="73"/>
      <c r="T1306" s="73"/>
      <c r="U1306" s="73"/>
      <c r="V1306" s="73"/>
      <c r="W1306" s="73"/>
      <c r="X1306" s="73"/>
      <c r="Y1306" s="73"/>
      <c r="Z1306" s="73"/>
      <c r="AA1306" s="73"/>
      <c r="AF1306" s="73"/>
      <c r="AG1306" s="73"/>
    </row>
    <row r="1307" spans="2:33" x14ac:dyDescent="0.2">
      <c r="B1307" s="73" t="s">
        <v>1169</v>
      </c>
      <c r="C1307" s="73"/>
      <c r="D1307" s="73"/>
      <c r="F1307" s="73"/>
      <c r="G1307" s="73"/>
      <c r="H1307" s="73"/>
      <c r="P1307" s="73"/>
      <c r="Q1307" s="73"/>
      <c r="R1307" s="73"/>
      <c r="S1307" s="73"/>
      <c r="T1307" s="73"/>
      <c r="U1307" s="73"/>
      <c r="V1307" s="73"/>
      <c r="W1307" s="73"/>
      <c r="X1307" s="73"/>
      <c r="Y1307" s="73"/>
      <c r="Z1307" s="73"/>
      <c r="AA1307" s="73"/>
      <c r="AF1307" s="73"/>
      <c r="AG1307" s="73"/>
    </row>
    <row r="1308" spans="2:33" x14ac:dyDescent="0.2">
      <c r="B1308" s="73" t="s">
        <v>1168</v>
      </c>
      <c r="C1308" s="73"/>
      <c r="D1308" s="73"/>
      <c r="F1308" s="73"/>
      <c r="G1308" s="73"/>
      <c r="H1308" s="73"/>
      <c r="P1308" s="73"/>
      <c r="Q1308" s="73"/>
      <c r="R1308" s="73"/>
      <c r="S1308" s="73"/>
      <c r="T1308" s="73"/>
      <c r="U1308" s="73"/>
      <c r="V1308" s="73"/>
      <c r="W1308" s="73"/>
      <c r="X1308" s="73"/>
      <c r="Y1308" s="73"/>
      <c r="Z1308" s="73"/>
      <c r="AA1308" s="73"/>
      <c r="AF1308" s="73"/>
      <c r="AG1308" s="73"/>
    </row>
    <row r="1309" spans="2:33" x14ac:dyDescent="0.2">
      <c r="B1309" s="250" t="s">
        <v>7539</v>
      </c>
      <c r="C1309" s="73"/>
      <c r="D1309" s="73"/>
      <c r="F1309" s="73"/>
      <c r="G1309" s="73"/>
      <c r="H1309" s="73"/>
      <c r="P1309" s="73"/>
      <c r="Q1309" s="73"/>
      <c r="R1309" s="73"/>
      <c r="S1309" s="73"/>
      <c r="T1309" s="73"/>
      <c r="U1309" s="73"/>
      <c r="V1309" s="73"/>
      <c r="W1309" s="73"/>
      <c r="X1309" s="73"/>
      <c r="Y1309" s="73"/>
      <c r="Z1309" s="73"/>
      <c r="AA1309" s="73"/>
      <c r="AF1309" s="73"/>
      <c r="AG1309" s="73"/>
    </row>
    <row r="1310" spans="2:33" x14ac:dyDescent="0.2">
      <c r="B1310" s="73" t="s">
        <v>1167</v>
      </c>
      <c r="C1310" s="73"/>
      <c r="D1310" s="73"/>
      <c r="F1310" s="73"/>
      <c r="G1310" s="73"/>
      <c r="H1310" s="73"/>
      <c r="P1310" s="73"/>
      <c r="Q1310" s="73"/>
      <c r="R1310" s="73"/>
      <c r="S1310" s="73"/>
      <c r="T1310" s="73"/>
      <c r="U1310" s="73"/>
      <c r="V1310" s="73"/>
      <c r="W1310" s="73"/>
      <c r="X1310" s="73"/>
      <c r="Y1310" s="73"/>
      <c r="Z1310" s="73"/>
      <c r="AA1310" s="73"/>
      <c r="AF1310" s="73"/>
      <c r="AG1310" s="73"/>
    </row>
    <row r="1311" spans="2:33" x14ac:dyDescent="0.2">
      <c r="B1311" s="73" t="s">
        <v>1166</v>
      </c>
      <c r="C1311" s="73"/>
      <c r="D1311" s="73"/>
      <c r="F1311" s="73"/>
      <c r="G1311" s="73"/>
      <c r="H1311" s="73"/>
      <c r="P1311" s="73"/>
      <c r="Q1311" s="73"/>
      <c r="R1311" s="73"/>
      <c r="S1311" s="73"/>
      <c r="T1311" s="73"/>
      <c r="U1311" s="73"/>
      <c r="V1311" s="73"/>
      <c r="W1311" s="73"/>
      <c r="X1311" s="73"/>
      <c r="Y1311" s="73"/>
      <c r="Z1311" s="73"/>
      <c r="AA1311" s="73"/>
      <c r="AF1311" s="73"/>
      <c r="AG1311" s="73"/>
    </row>
    <row r="1312" spans="2:33" x14ac:dyDescent="0.2">
      <c r="B1312" s="73" t="s">
        <v>4280</v>
      </c>
      <c r="C1312" s="73"/>
      <c r="D1312" s="73"/>
      <c r="F1312" s="73"/>
      <c r="G1312" s="73"/>
      <c r="H1312" s="73"/>
      <c r="P1312" s="73"/>
      <c r="Q1312" s="73"/>
      <c r="R1312" s="73"/>
      <c r="S1312" s="73"/>
      <c r="T1312" s="73"/>
      <c r="U1312" s="73"/>
      <c r="V1312" s="73"/>
      <c r="W1312" s="73"/>
      <c r="X1312" s="73"/>
      <c r="Y1312" s="73"/>
      <c r="Z1312" s="73"/>
      <c r="AA1312" s="73"/>
      <c r="AF1312" s="73"/>
      <c r="AG1312" s="73"/>
    </row>
    <row r="1313" spans="2:33" x14ac:dyDescent="0.2">
      <c r="B1313" s="73" t="s">
        <v>4284</v>
      </c>
      <c r="C1313" s="73"/>
      <c r="D1313" s="73"/>
      <c r="F1313" s="73"/>
      <c r="G1313" s="73"/>
      <c r="H1313" s="73"/>
      <c r="P1313" s="73"/>
      <c r="Q1313" s="73"/>
      <c r="R1313" s="73"/>
      <c r="S1313" s="73"/>
      <c r="T1313" s="73"/>
      <c r="U1313" s="73"/>
      <c r="V1313" s="73"/>
      <c r="W1313" s="73"/>
      <c r="X1313" s="73"/>
      <c r="Y1313" s="73"/>
      <c r="Z1313" s="73"/>
      <c r="AA1313" s="73"/>
      <c r="AF1313" s="73"/>
      <c r="AG1313" s="73"/>
    </row>
    <row r="1314" spans="2:33" x14ac:dyDescent="0.2">
      <c r="B1314" s="73" t="s">
        <v>4286</v>
      </c>
      <c r="C1314" s="73"/>
      <c r="D1314" s="73"/>
      <c r="F1314" s="73"/>
      <c r="G1314" s="73"/>
      <c r="H1314" s="73"/>
      <c r="P1314" s="73"/>
      <c r="Q1314" s="73"/>
      <c r="R1314" s="73"/>
      <c r="S1314" s="73"/>
      <c r="T1314" s="73"/>
      <c r="U1314" s="73"/>
      <c r="V1314" s="73"/>
      <c r="W1314" s="73"/>
      <c r="X1314" s="73"/>
      <c r="Y1314" s="73"/>
      <c r="Z1314" s="73"/>
      <c r="AA1314" s="73"/>
      <c r="AF1314" s="73"/>
      <c r="AG1314" s="73"/>
    </row>
    <row r="1315" spans="2:33" x14ac:dyDescent="0.2">
      <c r="B1315" s="73" t="s">
        <v>4287</v>
      </c>
      <c r="C1315" s="73"/>
      <c r="D1315" s="73"/>
      <c r="F1315" s="73"/>
      <c r="G1315" s="73"/>
      <c r="H1315" s="73"/>
      <c r="P1315" s="73"/>
      <c r="Q1315" s="73"/>
      <c r="R1315" s="73"/>
      <c r="S1315" s="73"/>
      <c r="T1315" s="73"/>
      <c r="U1315" s="73"/>
      <c r="V1315" s="73"/>
      <c r="W1315" s="73"/>
      <c r="X1315" s="73"/>
      <c r="Y1315" s="73"/>
      <c r="Z1315" s="73"/>
      <c r="AA1315" s="73"/>
      <c r="AF1315" s="73"/>
      <c r="AG1315" s="73"/>
    </row>
    <row r="1316" spans="2:33" x14ac:dyDescent="0.2">
      <c r="B1316" s="73" t="s">
        <v>4288</v>
      </c>
      <c r="C1316" s="73"/>
      <c r="D1316" s="73"/>
      <c r="F1316" s="73"/>
      <c r="G1316" s="73"/>
      <c r="H1316" s="73"/>
      <c r="P1316" s="73"/>
      <c r="Q1316" s="73"/>
      <c r="R1316" s="73"/>
      <c r="S1316" s="73"/>
      <c r="T1316" s="73"/>
      <c r="U1316" s="73"/>
      <c r="V1316" s="73"/>
      <c r="W1316" s="73"/>
      <c r="X1316" s="73"/>
      <c r="Y1316" s="73"/>
      <c r="Z1316" s="73"/>
      <c r="AA1316" s="73"/>
      <c r="AF1316" s="73"/>
      <c r="AG1316" s="73"/>
    </row>
    <row r="1317" spans="2:33" x14ac:dyDescent="0.2">
      <c r="B1317" s="73" t="s">
        <v>4289</v>
      </c>
      <c r="C1317" s="73"/>
      <c r="D1317" s="73"/>
      <c r="F1317" s="73"/>
      <c r="G1317" s="73"/>
      <c r="H1317" s="73"/>
      <c r="P1317" s="73"/>
      <c r="Q1317" s="73"/>
      <c r="R1317" s="73"/>
      <c r="S1317" s="73"/>
      <c r="T1317" s="73"/>
      <c r="U1317" s="73"/>
      <c r="V1317" s="73"/>
      <c r="W1317" s="73"/>
      <c r="X1317" s="73"/>
      <c r="Y1317" s="73"/>
      <c r="Z1317" s="73"/>
      <c r="AA1317" s="73"/>
      <c r="AF1317" s="73"/>
      <c r="AG1317" s="73"/>
    </row>
    <row r="1318" spans="2:33" x14ac:dyDescent="0.2">
      <c r="B1318" s="73" t="s">
        <v>4290</v>
      </c>
      <c r="C1318" s="73"/>
      <c r="D1318" s="73"/>
      <c r="F1318" s="73"/>
      <c r="G1318" s="73"/>
      <c r="H1318" s="73"/>
      <c r="P1318" s="73"/>
      <c r="Q1318" s="73"/>
      <c r="R1318" s="73"/>
      <c r="S1318" s="73"/>
      <c r="T1318" s="73"/>
      <c r="U1318" s="73"/>
      <c r="V1318" s="73"/>
      <c r="W1318" s="73"/>
      <c r="X1318" s="73"/>
      <c r="Y1318" s="73"/>
      <c r="Z1318" s="73"/>
      <c r="AA1318" s="73"/>
      <c r="AF1318" s="73"/>
      <c r="AG1318" s="73"/>
    </row>
    <row r="1319" spans="2:33" x14ac:dyDescent="0.2">
      <c r="B1319" s="73" t="s">
        <v>4291</v>
      </c>
      <c r="C1319" s="73"/>
      <c r="D1319" s="73"/>
      <c r="F1319" s="73"/>
      <c r="G1319" s="73"/>
      <c r="H1319" s="73"/>
      <c r="P1319" s="73"/>
      <c r="Q1319" s="73"/>
      <c r="R1319" s="73"/>
      <c r="S1319" s="73"/>
      <c r="T1319" s="73"/>
      <c r="U1319" s="73"/>
      <c r="V1319" s="73"/>
      <c r="W1319" s="73"/>
      <c r="X1319" s="73"/>
      <c r="Y1319" s="73"/>
      <c r="Z1319" s="73"/>
      <c r="AA1319" s="73"/>
      <c r="AF1319" s="73"/>
      <c r="AG1319" s="73"/>
    </row>
    <row r="1320" spans="2:33" x14ac:dyDescent="0.2">
      <c r="B1320" s="73" t="s">
        <v>4292</v>
      </c>
      <c r="C1320" s="73"/>
      <c r="D1320" s="73"/>
      <c r="F1320" s="73"/>
      <c r="G1320" s="73"/>
      <c r="H1320" s="73"/>
      <c r="P1320" s="73"/>
      <c r="Q1320" s="73"/>
      <c r="R1320" s="73"/>
      <c r="S1320" s="73"/>
      <c r="T1320" s="73"/>
      <c r="U1320" s="73"/>
      <c r="V1320" s="73"/>
      <c r="W1320" s="73"/>
      <c r="X1320" s="73"/>
      <c r="Y1320" s="73"/>
      <c r="Z1320" s="73"/>
      <c r="AA1320" s="73"/>
      <c r="AF1320" s="73"/>
      <c r="AG1320" s="73"/>
    </row>
    <row r="1321" spans="2:33" x14ac:dyDescent="0.2">
      <c r="B1321" s="73" t="s">
        <v>4293</v>
      </c>
      <c r="C1321" s="73"/>
      <c r="D1321" s="73"/>
      <c r="F1321" s="73"/>
      <c r="G1321" s="73"/>
      <c r="H1321" s="73"/>
      <c r="P1321" s="73"/>
      <c r="Q1321" s="73"/>
      <c r="R1321" s="73"/>
      <c r="S1321" s="73"/>
      <c r="T1321" s="73"/>
      <c r="U1321" s="73"/>
      <c r="V1321" s="73"/>
      <c r="W1321" s="73"/>
      <c r="X1321" s="73"/>
      <c r="Y1321" s="73"/>
      <c r="Z1321" s="73"/>
      <c r="AA1321" s="73"/>
      <c r="AF1321" s="73"/>
      <c r="AG1321" s="73"/>
    </row>
    <row r="1322" spans="2:33" x14ac:dyDescent="0.2">
      <c r="B1322" s="73" t="s">
        <v>4295</v>
      </c>
      <c r="C1322" s="73"/>
      <c r="D1322" s="73"/>
      <c r="F1322" s="73"/>
      <c r="G1322" s="73"/>
      <c r="H1322" s="73"/>
      <c r="P1322" s="73"/>
      <c r="Q1322" s="73"/>
      <c r="R1322" s="73"/>
      <c r="S1322" s="73"/>
      <c r="T1322" s="73"/>
      <c r="U1322" s="73"/>
      <c r="V1322" s="73"/>
      <c r="W1322" s="73"/>
      <c r="X1322" s="73"/>
      <c r="Y1322" s="73"/>
      <c r="Z1322" s="73"/>
      <c r="AA1322" s="73"/>
      <c r="AF1322" s="73"/>
      <c r="AG1322" s="73"/>
    </row>
    <row r="1323" spans="2:33" x14ac:dyDescent="0.2">
      <c r="B1323" s="73" t="s">
        <v>4296</v>
      </c>
      <c r="C1323" s="73"/>
      <c r="D1323" s="73"/>
      <c r="F1323" s="73"/>
      <c r="G1323" s="73"/>
      <c r="H1323" s="73"/>
      <c r="P1323" s="73"/>
      <c r="Q1323" s="73"/>
      <c r="R1323" s="73"/>
      <c r="S1323" s="73"/>
      <c r="T1323" s="73"/>
      <c r="U1323" s="73"/>
      <c r="V1323" s="73"/>
      <c r="W1323" s="73"/>
      <c r="X1323" s="73"/>
      <c r="Y1323" s="73"/>
      <c r="Z1323" s="73"/>
      <c r="AA1323" s="73"/>
      <c r="AF1323" s="73"/>
      <c r="AG1323" s="73"/>
    </row>
    <row r="1324" spans="2:33" x14ac:dyDescent="0.2">
      <c r="B1324" s="73" t="s">
        <v>4297</v>
      </c>
      <c r="C1324" s="73"/>
      <c r="D1324" s="73"/>
      <c r="F1324" s="73"/>
      <c r="G1324" s="73"/>
      <c r="H1324" s="73"/>
      <c r="P1324" s="73"/>
      <c r="Q1324" s="73"/>
      <c r="R1324" s="73"/>
      <c r="S1324" s="73"/>
      <c r="T1324" s="73"/>
      <c r="U1324" s="73"/>
      <c r="V1324" s="73"/>
      <c r="W1324" s="73"/>
      <c r="X1324" s="73"/>
      <c r="Y1324" s="73"/>
      <c r="Z1324" s="73"/>
      <c r="AA1324" s="73"/>
      <c r="AF1324" s="73"/>
      <c r="AG1324" s="73"/>
    </row>
    <row r="1325" spans="2:33" x14ac:dyDescent="0.2">
      <c r="B1325" s="73" t="s">
        <v>4298</v>
      </c>
      <c r="C1325" s="73"/>
      <c r="D1325" s="73"/>
      <c r="F1325" s="73"/>
      <c r="G1325" s="73"/>
      <c r="H1325" s="73"/>
      <c r="P1325" s="73"/>
      <c r="Q1325" s="73"/>
      <c r="R1325" s="73"/>
      <c r="S1325" s="73"/>
      <c r="T1325" s="73"/>
      <c r="U1325" s="73"/>
      <c r="V1325" s="73"/>
      <c r="W1325" s="73"/>
      <c r="X1325" s="73"/>
      <c r="Y1325" s="73"/>
      <c r="Z1325" s="73"/>
      <c r="AA1325" s="73"/>
      <c r="AF1325" s="73"/>
      <c r="AG1325" s="73"/>
    </row>
    <row r="1326" spans="2:33" x14ac:dyDescent="0.2">
      <c r="B1326" s="73" t="s">
        <v>4299</v>
      </c>
      <c r="C1326" s="73"/>
      <c r="D1326" s="73"/>
      <c r="F1326" s="73"/>
      <c r="G1326" s="73"/>
      <c r="H1326" s="73"/>
      <c r="P1326" s="73"/>
      <c r="Q1326" s="73"/>
      <c r="R1326" s="73"/>
      <c r="S1326" s="73"/>
      <c r="T1326" s="73"/>
      <c r="U1326" s="73"/>
      <c r="V1326" s="73"/>
      <c r="W1326" s="73"/>
      <c r="X1326" s="73"/>
      <c r="Y1326" s="73"/>
      <c r="Z1326" s="73"/>
      <c r="AA1326" s="73"/>
      <c r="AF1326" s="73"/>
      <c r="AG1326" s="73"/>
    </row>
    <row r="1327" spans="2:33" x14ac:dyDescent="0.2">
      <c r="B1327" s="73" t="s">
        <v>4300</v>
      </c>
      <c r="C1327" s="73"/>
      <c r="D1327" s="73"/>
      <c r="F1327" s="73"/>
      <c r="G1327" s="73"/>
      <c r="H1327" s="73"/>
      <c r="P1327" s="73"/>
      <c r="Q1327" s="73"/>
      <c r="R1327" s="73"/>
      <c r="S1327" s="73"/>
      <c r="T1327" s="73"/>
      <c r="U1327" s="73"/>
      <c r="V1327" s="73"/>
      <c r="W1327" s="73"/>
      <c r="X1327" s="73"/>
      <c r="Y1327" s="73"/>
      <c r="Z1327" s="73"/>
      <c r="AA1327" s="73"/>
      <c r="AF1327" s="73"/>
      <c r="AG1327" s="73"/>
    </row>
    <row r="1328" spans="2:33" x14ac:dyDescent="0.2">
      <c r="B1328" s="73" t="s">
        <v>4301</v>
      </c>
      <c r="C1328" s="73"/>
      <c r="D1328" s="73"/>
      <c r="F1328" s="73"/>
      <c r="G1328" s="73"/>
      <c r="H1328" s="73"/>
      <c r="P1328" s="73"/>
      <c r="Q1328" s="73"/>
      <c r="R1328" s="73"/>
      <c r="S1328" s="73"/>
      <c r="T1328" s="73"/>
      <c r="U1328" s="73"/>
      <c r="V1328" s="73"/>
      <c r="W1328" s="73"/>
      <c r="X1328" s="73"/>
      <c r="Y1328" s="73"/>
      <c r="Z1328" s="73"/>
      <c r="AA1328" s="73"/>
      <c r="AF1328" s="73"/>
      <c r="AG1328" s="73"/>
    </row>
    <row r="1329" spans="2:33" x14ac:dyDescent="0.2">
      <c r="B1329" s="73" t="s">
        <v>4306</v>
      </c>
      <c r="C1329" s="73"/>
      <c r="D1329" s="73"/>
      <c r="F1329" s="73"/>
      <c r="G1329" s="73"/>
      <c r="H1329" s="73"/>
      <c r="P1329" s="73"/>
      <c r="Q1329" s="73"/>
      <c r="R1329" s="73"/>
      <c r="S1329" s="73"/>
      <c r="T1329" s="73"/>
      <c r="U1329" s="73"/>
      <c r="V1329" s="73"/>
      <c r="W1329" s="73"/>
      <c r="X1329" s="73"/>
      <c r="Y1329" s="73"/>
      <c r="Z1329" s="73"/>
      <c r="AA1329" s="73"/>
      <c r="AF1329" s="73"/>
      <c r="AG1329" s="73"/>
    </row>
    <row r="1330" spans="2:33" x14ac:dyDescent="0.2">
      <c r="B1330" s="73" t="s">
        <v>4307</v>
      </c>
      <c r="C1330" s="73"/>
      <c r="D1330" s="73"/>
      <c r="F1330" s="73"/>
      <c r="G1330" s="73"/>
      <c r="H1330" s="73"/>
      <c r="P1330" s="73"/>
      <c r="Q1330" s="73"/>
      <c r="R1330" s="73"/>
      <c r="S1330" s="73"/>
      <c r="T1330" s="73"/>
      <c r="U1330" s="73"/>
      <c r="V1330" s="73"/>
      <c r="W1330" s="73"/>
      <c r="X1330" s="73"/>
      <c r="Y1330" s="73"/>
      <c r="Z1330" s="73"/>
      <c r="AA1330" s="73"/>
      <c r="AF1330" s="73"/>
      <c r="AG1330" s="73"/>
    </row>
    <row r="1331" spans="2:33" x14ac:dyDescent="0.2">
      <c r="B1331" s="73" t="s">
        <v>4308</v>
      </c>
      <c r="D1331" s="73"/>
      <c r="F1331" s="73"/>
      <c r="G1331" s="73"/>
      <c r="H1331" s="73"/>
      <c r="P1331" s="73"/>
      <c r="Q1331" s="73"/>
      <c r="R1331" s="73"/>
      <c r="S1331" s="73"/>
      <c r="T1331" s="73"/>
      <c r="U1331" s="73"/>
      <c r="V1331" s="73"/>
      <c r="W1331" s="73"/>
      <c r="X1331" s="73"/>
      <c r="Y1331" s="73"/>
      <c r="Z1331" s="73"/>
      <c r="AA1331" s="73"/>
      <c r="AF1331" s="73"/>
      <c r="AG1331" s="73"/>
    </row>
    <row r="1332" spans="2:33" x14ac:dyDescent="0.2">
      <c r="B1332" s="73" t="s">
        <v>4309</v>
      </c>
      <c r="D1332" s="73"/>
      <c r="F1332" s="73"/>
      <c r="G1332" s="73"/>
      <c r="H1332" s="73"/>
      <c r="P1332" s="73"/>
      <c r="Q1332" s="73"/>
      <c r="R1332" s="73"/>
      <c r="S1332" s="73"/>
      <c r="T1332" s="73"/>
      <c r="U1332" s="73"/>
      <c r="V1332" s="73"/>
      <c r="W1332" s="73"/>
      <c r="X1332" s="73"/>
      <c r="Y1332" s="73"/>
      <c r="Z1332" s="73"/>
      <c r="AA1332" s="73"/>
      <c r="AF1332" s="73"/>
      <c r="AG1332" s="73"/>
    </row>
    <row r="1333" spans="2:33" x14ac:dyDescent="0.2">
      <c r="B1333" s="73" t="s">
        <v>1947</v>
      </c>
      <c r="D1333" s="73"/>
      <c r="F1333" s="73"/>
      <c r="G1333" s="73"/>
      <c r="H1333" s="73"/>
      <c r="P1333" s="73"/>
      <c r="Q1333" s="73"/>
      <c r="R1333" s="73"/>
      <c r="S1333" s="73"/>
      <c r="T1333" s="73"/>
      <c r="U1333" s="73"/>
      <c r="V1333" s="73"/>
      <c r="W1333" s="73"/>
      <c r="X1333" s="73"/>
      <c r="Y1333" s="73"/>
      <c r="Z1333" s="73"/>
      <c r="AA1333" s="73"/>
      <c r="AF1333" s="73"/>
      <c r="AG1333" s="73"/>
    </row>
    <row r="1334" spans="2:33" x14ac:dyDescent="0.2">
      <c r="B1334" s="73" t="s">
        <v>4310</v>
      </c>
      <c r="D1334" s="73"/>
      <c r="F1334" s="73"/>
      <c r="G1334" s="73"/>
      <c r="H1334" s="73"/>
      <c r="P1334" s="73"/>
      <c r="Q1334" s="73"/>
      <c r="R1334" s="73"/>
      <c r="S1334" s="73"/>
      <c r="T1334" s="73"/>
      <c r="U1334" s="73"/>
      <c r="V1334" s="73"/>
      <c r="W1334" s="73"/>
      <c r="X1334" s="73"/>
      <c r="Y1334" s="73"/>
      <c r="Z1334" s="73"/>
      <c r="AA1334" s="73"/>
      <c r="AF1334" s="73"/>
      <c r="AG1334" s="73"/>
    </row>
    <row r="1335" spans="2:33" x14ac:dyDescent="0.2">
      <c r="B1335" s="73" t="s">
        <v>4311</v>
      </c>
      <c r="D1335" s="73"/>
      <c r="F1335" s="73"/>
      <c r="G1335" s="73"/>
      <c r="H1335" s="73"/>
      <c r="P1335" s="73"/>
      <c r="Q1335" s="73"/>
      <c r="R1335" s="73"/>
      <c r="S1335" s="73"/>
      <c r="T1335" s="73"/>
      <c r="U1335" s="73"/>
      <c r="V1335" s="73"/>
      <c r="W1335" s="73"/>
      <c r="X1335" s="73"/>
      <c r="Y1335" s="73"/>
      <c r="Z1335" s="73"/>
      <c r="AA1335" s="73"/>
      <c r="AF1335" s="73"/>
      <c r="AG1335" s="73"/>
    </row>
    <row r="1336" spans="2:33" x14ac:dyDescent="0.2">
      <c r="B1336" s="73" t="s">
        <v>4312</v>
      </c>
      <c r="D1336" s="73"/>
      <c r="F1336" s="73"/>
      <c r="G1336" s="73"/>
      <c r="H1336" s="73"/>
      <c r="P1336" s="73"/>
      <c r="Q1336" s="73"/>
      <c r="R1336" s="73"/>
      <c r="S1336" s="73"/>
      <c r="T1336" s="73"/>
      <c r="U1336" s="73"/>
      <c r="V1336" s="73"/>
      <c r="W1336" s="73"/>
      <c r="X1336" s="73"/>
      <c r="Y1336" s="73"/>
      <c r="Z1336" s="73"/>
      <c r="AA1336" s="73"/>
      <c r="AF1336" s="73"/>
      <c r="AG1336" s="73"/>
    </row>
    <row r="1337" spans="2:33" x14ac:dyDescent="0.2">
      <c r="B1337" s="73" t="s">
        <v>4313</v>
      </c>
      <c r="C1337" s="74" t="s">
        <v>2141</v>
      </c>
      <c r="D1337" s="73"/>
      <c r="F1337" s="73"/>
      <c r="G1337" s="73"/>
      <c r="H1337" s="73"/>
      <c r="P1337" s="73"/>
      <c r="Q1337" s="73"/>
      <c r="R1337" s="73"/>
      <c r="S1337" s="73"/>
      <c r="T1337" s="73"/>
      <c r="U1337" s="73"/>
      <c r="V1337" s="73"/>
      <c r="W1337" s="73"/>
      <c r="X1337" s="73"/>
      <c r="Y1337" s="73"/>
      <c r="Z1337" s="73"/>
      <c r="AA1337" s="73"/>
      <c r="AF1337" s="73"/>
      <c r="AG1337" s="73"/>
    </row>
    <row r="1338" spans="2:33" x14ac:dyDescent="0.2">
      <c r="B1338" s="73" t="s">
        <v>4317</v>
      </c>
      <c r="C1338" s="74" t="s">
        <v>4318</v>
      </c>
      <c r="D1338" s="73"/>
      <c r="F1338" s="73"/>
      <c r="G1338" s="73"/>
      <c r="H1338" s="73"/>
      <c r="P1338" s="73"/>
      <c r="Q1338" s="73"/>
      <c r="R1338" s="73"/>
      <c r="S1338" s="73"/>
      <c r="T1338" s="73"/>
      <c r="U1338" s="73"/>
      <c r="V1338" s="73"/>
      <c r="W1338" s="73"/>
      <c r="X1338" s="73"/>
      <c r="Y1338" s="73"/>
      <c r="Z1338" s="73"/>
      <c r="AA1338" s="73"/>
      <c r="AF1338" s="73"/>
      <c r="AG1338" s="73"/>
    </row>
    <row r="1339" spans="2:33" x14ac:dyDescent="0.2">
      <c r="B1339" s="73" t="s">
        <v>4320</v>
      </c>
      <c r="D1339" s="73"/>
      <c r="F1339" s="73"/>
      <c r="G1339" s="73"/>
      <c r="H1339" s="73"/>
      <c r="P1339" s="73"/>
      <c r="Q1339" s="73"/>
      <c r="R1339" s="73"/>
      <c r="S1339" s="73"/>
      <c r="T1339" s="73"/>
      <c r="U1339" s="73"/>
      <c r="V1339" s="73"/>
      <c r="W1339" s="73"/>
      <c r="X1339" s="73"/>
      <c r="Y1339" s="73"/>
      <c r="Z1339" s="73"/>
      <c r="AA1339" s="73"/>
      <c r="AF1339" s="73"/>
      <c r="AG1339" s="73"/>
    </row>
    <row r="1340" spans="2:33" x14ac:dyDescent="0.2">
      <c r="B1340" s="73" t="s">
        <v>4321</v>
      </c>
      <c r="D1340" s="73"/>
      <c r="F1340" s="73"/>
      <c r="G1340" s="73"/>
      <c r="H1340" s="73"/>
      <c r="P1340" s="73"/>
      <c r="Q1340" s="73"/>
      <c r="R1340" s="73"/>
      <c r="S1340" s="73"/>
      <c r="T1340" s="73"/>
      <c r="U1340" s="73"/>
      <c r="V1340" s="73"/>
      <c r="W1340" s="73"/>
      <c r="X1340" s="73"/>
      <c r="Y1340" s="73"/>
      <c r="Z1340" s="73"/>
      <c r="AA1340" s="73"/>
      <c r="AF1340" s="73"/>
      <c r="AG1340" s="73"/>
    </row>
    <row r="1341" spans="2:33" x14ac:dyDescent="0.2">
      <c r="B1341" s="73" t="s">
        <v>4322</v>
      </c>
      <c r="D1341" s="73"/>
      <c r="F1341" s="73"/>
      <c r="G1341" s="73"/>
      <c r="H1341" s="73"/>
      <c r="P1341" s="73"/>
      <c r="Q1341" s="73"/>
      <c r="R1341" s="73"/>
      <c r="S1341" s="73"/>
      <c r="T1341" s="73"/>
      <c r="U1341" s="73"/>
      <c r="V1341" s="73"/>
      <c r="W1341" s="73"/>
      <c r="X1341" s="73"/>
      <c r="Y1341" s="73"/>
      <c r="Z1341" s="73"/>
      <c r="AA1341" s="73"/>
      <c r="AF1341" s="73"/>
      <c r="AG1341" s="73"/>
    </row>
    <row r="1342" spans="2:33" x14ac:dyDescent="0.2">
      <c r="B1342" s="73" t="s">
        <v>4323</v>
      </c>
      <c r="D1342" s="73"/>
      <c r="F1342" s="73"/>
      <c r="G1342" s="73"/>
      <c r="H1342" s="73"/>
      <c r="P1342" s="73"/>
      <c r="Q1342" s="73"/>
      <c r="R1342" s="73"/>
      <c r="S1342" s="73"/>
      <c r="T1342" s="73"/>
      <c r="U1342" s="73"/>
      <c r="V1342" s="73"/>
      <c r="W1342" s="73"/>
      <c r="X1342" s="73"/>
      <c r="Y1342" s="73"/>
      <c r="Z1342" s="73"/>
      <c r="AA1342" s="73"/>
      <c r="AF1342" s="73"/>
      <c r="AG1342" s="73"/>
    </row>
    <row r="1343" spans="2:33" x14ac:dyDescent="0.2">
      <c r="B1343" s="73" t="s">
        <v>4325</v>
      </c>
      <c r="D1343" s="73"/>
      <c r="F1343" s="73"/>
      <c r="G1343" s="73"/>
      <c r="H1343" s="73"/>
      <c r="P1343" s="73"/>
      <c r="Q1343" s="73"/>
      <c r="R1343" s="73"/>
      <c r="S1343" s="73"/>
      <c r="T1343" s="73"/>
      <c r="U1343" s="73"/>
      <c r="V1343" s="73"/>
      <c r="W1343" s="73"/>
      <c r="X1343" s="73"/>
      <c r="Y1343" s="73"/>
      <c r="Z1343" s="73"/>
      <c r="AA1343" s="73"/>
      <c r="AF1343" s="73"/>
      <c r="AG1343" s="73"/>
    </row>
    <row r="1344" spans="2:33" x14ac:dyDescent="0.2">
      <c r="B1344" s="73" t="s">
        <v>4326</v>
      </c>
      <c r="D1344" s="73"/>
      <c r="F1344" s="73"/>
      <c r="G1344" s="73"/>
      <c r="H1344" s="73"/>
      <c r="P1344" s="73"/>
      <c r="Q1344" s="73"/>
      <c r="R1344" s="73"/>
      <c r="S1344" s="73"/>
      <c r="T1344" s="73"/>
      <c r="U1344" s="73"/>
      <c r="V1344" s="73"/>
      <c r="W1344" s="73"/>
      <c r="X1344" s="73"/>
      <c r="Y1344" s="73"/>
      <c r="Z1344" s="73"/>
      <c r="AA1344" s="73"/>
      <c r="AF1344" s="73"/>
      <c r="AG1344" s="73"/>
    </row>
    <row r="1345" spans="2:33" x14ac:dyDescent="0.2">
      <c r="B1345" s="73" t="s">
        <v>4363</v>
      </c>
      <c r="D1345" s="73"/>
      <c r="F1345" s="73"/>
      <c r="G1345" s="73"/>
      <c r="H1345" s="73"/>
      <c r="P1345" s="73"/>
      <c r="Q1345" s="73"/>
      <c r="R1345" s="73"/>
      <c r="S1345" s="73"/>
      <c r="T1345" s="73"/>
      <c r="U1345" s="73"/>
      <c r="V1345" s="73"/>
      <c r="W1345" s="73"/>
      <c r="X1345" s="73"/>
      <c r="Y1345" s="73"/>
      <c r="Z1345" s="73"/>
      <c r="AA1345" s="73"/>
      <c r="AF1345" s="73"/>
      <c r="AG1345" s="73"/>
    </row>
    <row r="1346" spans="2:33" x14ac:dyDescent="0.2">
      <c r="B1346" s="73" t="s">
        <v>4391</v>
      </c>
      <c r="D1346" s="73"/>
      <c r="F1346" s="73"/>
      <c r="G1346" s="73"/>
      <c r="H1346" s="73"/>
      <c r="P1346" s="73"/>
      <c r="Q1346" s="73"/>
      <c r="R1346" s="73"/>
      <c r="S1346" s="73"/>
      <c r="T1346" s="73"/>
      <c r="U1346" s="73"/>
      <c r="V1346" s="73"/>
      <c r="W1346" s="73"/>
      <c r="X1346" s="73"/>
      <c r="Y1346" s="73"/>
      <c r="Z1346" s="73"/>
      <c r="AA1346" s="73"/>
      <c r="AF1346" s="73"/>
      <c r="AG1346" s="73"/>
    </row>
    <row r="1347" spans="2:33" x14ac:dyDescent="0.2">
      <c r="B1347" s="73" t="s">
        <v>4392</v>
      </c>
    </row>
    <row r="1348" spans="2:33" x14ac:dyDescent="0.2">
      <c r="B1348" s="73" t="s">
        <v>4394</v>
      </c>
    </row>
    <row r="1349" spans="2:33" x14ac:dyDescent="0.2">
      <c r="B1349" s="73" t="s">
        <v>4475</v>
      </c>
      <c r="J1349" s="73" t="s">
        <v>4477</v>
      </c>
      <c r="M1349" s="73">
        <v>2020</v>
      </c>
      <c r="AB1349" s="73" t="s">
        <v>2051</v>
      </c>
      <c r="AE1349" s="25" t="s">
        <v>4476</v>
      </c>
      <c r="AF1349" s="64"/>
      <c r="AG1349" s="59"/>
    </row>
    <row r="1350" spans="2:33" x14ac:dyDescent="0.2">
      <c r="B1350" s="73" t="s">
        <v>4853</v>
      </c>
    </row>
    <row r="1351" spans="2:33" x14ac:dyDescent="0.2">
      <c r="B1351" s="73" t="s">
        <v>4895</v>
      </c>
    </row>
    <row r="1352" spans="2:33" x14ac:dyDescent="0.2">
      <c r="B1352" s="73" t="s">
        <v>4992</v>
      </c>
    </row>
    <row r="1353" spans="2:33" x14ac:dyDescent="0.2">
      <c r="B1353" s="73" t="s">
        <v>5026</v>
      </c>
    </row>
    <row r="1354" spans="2:33" x14ac:dyDescent="0.2">
      <c r="B1354" s="73" t="s">
        <v>5028</v>
      </c>
    </row>
    <row r="1355" spans="2:33" x14ac:dyDescent="0.2">
      <c r="B1355" s="73" t="s">
        <v>5081</v>
      </c>
    </row>
    <row r="1356" spans="2:33" x14ac:dyDescent="0.2">
      <c r="B1356" s="73" t="s">
        <v>5082</v>
      </c>
    </row>
    <row r="1357" spans="2:33" x14ac:dyDescent="0.2">
      <c r="B1357" s="73" t="s">
        <v>5094</v>
      </c>
    </row>
    <row r="1358" spans="2:33" x14ac:dyDescent="0.2">
      <c r="B1358" s="73" t="s">
        <v>5106</v>
      </c>
    </row>
    <row r="1359" spans="2:33" x14ac:dyDescent="0.2">
      <c r="B1359" s="73" t="s">
        <v>5108</v>
      </c>
    </row>
    <row r="1360" spans="2:33" x14ac:dyDescent="0.2">
      <c r="B1360" s="73" t="s">
        <v>5109</v>
      </c>
    </row>
    <row r="1361" spans="2:33" x14ac:dyDescent="0.2">
      <c r="B1361" s="73" t="s">
        <v>5129</v>
      </c>
    </row>
    <row r="1362" spans="2:33" x14ac:dyDescent="0.2">
      <c r="B1362" s="73" t="s">
        <v>5130</v>
      </c>
    </row>
    <row r="1363" spans="2:33" x14ac:dyDescent="0.2">
      <c r="B1363" s="73" t="s">
        <v>5132</v>
      </c>
      <c r="C1363" s="73"/>
      <c r="D1363" s="73"/>
      <c r="F1363" s="73"/>
      <c r="G1363" s="73"/>
      <c r="H1363" s="73"/>
      <c r="P1363" s="73"/>
      <c r="Q1363" s="73"/>
      <c r="R1363" s="73"/>
      <c r="S1363" s="73"/>
      <c r="T1363" s="73"/>
      <c r="U1363" s="73"/>
      <c r="V1363" s="73"/>
      <c r="W1363" s="73"/>
      <c r="X1363" s="73"/>
      <c r="Y1363" s="73"/>
      <c r="Z1363" s="73"/>
      <c r="AA1363" s="73"/>
      <c r="AF1363" s="73"/>
      <c r="AG1363" s="73"/>
    </row>
    <row r="1364" spans="2:33" x14ac:dyDescent="0.2">
      <c r="B1364" s="73" t="s">
        <v>5138</v>
      </c>
      <c r="C1364" s="73"/>
      <c r="D1364" s="73"/>
      <c r="F1364" s="73"/>
      <c r="G1364" s="73"/>
      <c r="H1364" s="73"/>
      <c r="P1364" s="73"/>
      <c r="Q1364" s="73"/>
      <c r="R1364" s="73"/>
      <c r="S1364" s="73"/>
      <c r="T1364" s="73"/>
      <c r="U1364" s="73"/>
      <c r="V1364" s="73"/>
      <c r="W1364" s="73"/>
      <c r="X1364" s="73"/>
      <c r="Y1364" s="73"/>
      <c r="Z1364" s="73"/>
      <c r="AA1364" s="73"/>
      <c r="AF1364" s="73"/>
      <c r="AG1364" s="73"/>
    </row>
    <row r="1365" spans="2:33" x14ac:dyDescent="0.2">
      <c r="B1365" s="73" t="s">
        <v>5139</v>
      </c>
      <c r="C1365" s="73"/>
      <c r="D1365" s="73"/>
      <c r="F1365" s="73"/>
      <c r="G1365" s="73"/>
      <c r="H1365" s="73"/>
      <c r="P1365" s="73"/>
      <c r="Q1365" s="73"/>
      <c r="R1365" s="73"/>
      <c r="S1365" s="73"/>
      <c r="T1365" s="73"/>
      <c r="U1365" s="73"/>
      <c r="V1365" s="73"/>
      <c r="W1365" s="73"/>
      <c r="X1365" s="73"/>
      <c r="Y1365" s="73"/>
      <c r="Z1365" s="73"/>
      <c r="AA1365" s="73"/>
      <c r="AF1365" s="73"/>
      <c r="AG1365" s="73"/>
    </row>
    <row r="1366" spans="2:33" x14ac:dyDescent="0.2">
      <c r="B1366" s="73" t="s">
        <v>5144</v>
      </c>
      <c r="C1366" s="73"/>
      <c r="D1366" s="73"/>
      <c r="F1366" s="73"/>
      <c r="G1366" s="73"/>
      <c r="H1366" s="73"/>
      <c r="P1366" s="73"/>
      <c r="Q1366" s="73"/>
      <c r="R1366" s="73"/>
      <c r="S1366" s="73"/>
      <c r="T1366" s="73"/>
      <c r="U1366" s="73"/>
      <c r="V1366" s="73"/>
      <c r="W1366" s="73"/>
      <c r="X1366" s="73"/>
      <c r="Y1366" s="73"/>
      <c r="Z1366" s="73"/>
      <c r="AA1366" s="73"/>
      <c r="AF1366" s="73"/>
      <c r="AG1366" s="73"/>
    </row>
    <row r="1367" spans="2:33" x14ac:dyDescent="0.2">
      <c r="B1367" s="73" t="s">
        <v>5145</v>
      </c>
      <c r="C1367" s="73"/>
      <c r="D1367" s="73"/>
      <c r="F1367" s="73"/>
      <c r="G1367" s="73"/>
      <c r="H1367" s="73"/>
      <c r="P1367" s="73"/>
      <c r="Q1367" s="73"/>
      <c r="R1367" s="73"/>
      <c r="S1367" s="73"/>
      <c r="T1367" s="73"/>
      <c r="U1367" s="73"/>
      <c r="V1367" s="73"/>
      <c r="W1367" s="73"/>
      <c r="X1367" s="73"/>
      <c r="Y1367" s="73"/>
      <c r="Z1367" s="73"/>
      <c r="AA1367" s="73"/>
      <c r="AF1367" s="73"/>
      <c r="AG1367" s="73"/>
    </row>
    <row r="1368" spans="2:33" x14ac:dyDescent="0.2">
      <c r="B1368" s="73" t="s">
        <v>5146</v>
      </c>
      <c r="C1368" s="73"/>
      <c r="D1368" s="73"/>
      <c r="F1368" s="73"/>
      <c r="G1368" s="73"/>
      <c r="H1368" s="73"/>
      <c r="P1368" s="73"/>
      <c r="Q1368" s="73"/>
      <c r="R1368" s="73"/>
      <c r="S1368" s="73"/>
      <c r="T1368" s="73"/>
      <c r="U1368" s="73"/>
      <c r="V1368" s="73"/>
      <c r="W1368" s="73"/>
      <c r="X1368" s="73"/>
      <c r="Y1368" s="73"/>
      <c r="Z1368" s="73"/>
      <c r="AA1368" s="73"/>
      <c r="AF1368" s="73"/>
      <c r="AG1368" s="73"/>
    </row>
    <row r="1369" spans="2:33" x14ac:dyDescent="0.2">
      <c r="B1369" s="73" t="s">
        <v>5147</v>
      </c>
      <c r="C1369" s="73"/>
      <c r="D1369" s="73"/>
      <c r="F1369" s="73"/>
      <c r="G1369" s="73"/>
      <c r="H1369" s="73"/>
      <c r="P1369" s="73"/>
      <c r="Q1369" s="73"/>
      <c r="R1369" s="73"/>
      <c r="S1369" s="73"/>
      <c r="T1369" s="73"/>
      <c r="U1369" s="73"/>
      <c r="V1369" s="73"/>
      <c r="W1369" s="73"/>
      <c r="X1369" s="73"/>
      <c r="Y1369" s="73"/>
      <c r="Z1369" s="73"/>
      <c r="AA1369" s="73"/>
      <c r="AF1369" s="73"/>
      <c r="AG1369" s="73"/>
    </row>
    <row r="1370" spans="2:33" x14ac:dyDescent="0.2">
      <c r="B1370" s="73" t="s">
        <v>5150</v>
      </c>
      <c r="C1370" s="73"/>
      <c r="D1370" s="73"/>
      <c r="F1370" s="73"/>
      <c r="G1370" s="73"/>
      <c r="H1370" s="73"/>
      <c r="P1370" s="73"/>
      <c r="Q1370" s="73"/>
      <c r="R1370" s="73"/>
      <c r="S1370" s="73"/>
      <c r="T1370" s="73"/>
      <c r="U1370" s="73"/>
      <c r="V1370" s="73"/>
      <c r="W1370" s="73"/>
      <c r="X1370" s="73"/>
      <c r="Y1370" s="73"/>
      <c r="Z1370" s="73"/>
      <c r="AA1370" s="73"/>
      <c r="AF1370" s="73"/>
      <c r="AG1370" s="73"/>
    </row>
    <row r="1371" spans="2:33" x14ac:dyDescent="0.2">
      <c r="B1371" s="73" t="s">
        <v>5162</v>
      </c>
      <c r="C1371" s="73"/>
      <c r="D1371" s="73"/>
      <c r="F1371" s="73"/>
      <c r="G1371" s="73"/>
      <c r="H1371" s="73"/>
      <c r="P1371" s="73"/>
      <c r="Q1371" s="73"/>
      <c r="R1371" s="73"/>
      <c r="S1371" s="73"/>
      <c r="T1371" s="73"/>
      <c r="U1371" s="73"/>
      <c r="V1371" s="73"/>
      <c r="W1371" s="73"/>
      <c r="X1371" s="73"/>
      <c r="Y1371" s="73"/>
      <c r="Z1371" s="73"/>
      <c r="AA1371" s="73"/>
      <c r="AF1371" s="73"/>
      <c r="AG1371" s="73"/>
    </row>
    <row r="1372" spans="2:33" x14ac:dyDescent="0.2">
      <c r="B1372" s="73" t="s">
        <v>5177</v>
      </c>
      <c r="C1372" s="73"/>
      <c r="D1372" s="73"/>
      <c r="F1372" s="73"/>
      <c r="G1372" s="73"/>
      <c r="H1372" s="73"/>
      <c r="P1372" s="73"/>
      <c r="Q1372" s="73"/>
      <c r="R1372" s="73"/>
      <c r="S1372" s="73"/>
      <c r="T1372" s="73"/>
      <c r="U1372" s="73"/>
      <c r="V1372" s="73"/>
      <c r="W1372" s="73"/>
      <c r="X1372" s="73"/>
      <c r="Y1372" s="73"/>
      <c r="Z1372" s="73"/>
      <c r="AA1372" s="73"/>
      <c r="AF1372" s="73"/>
      <c r="AG1372" s="73"/>
    </row>
    <row r="1373" spans="2:33" x14ac:dyDescent="0.2">
      <c r="B1373" s="73" t="s">
        <v>5181</v>
      </c>
      <c r="C1373" s="73"/>
      <c r="D1373" s="73"/>
      <c r="F1373" s="73"/>
      <c r="G1373" s="73"/>
      <c r="H1373" s="73"/>
      <c r="P1373" s="73"/>
      <c r="Q1373" s="73"/>
      <c r="R1373" s="73"/>
      <c r="S1373" s="73"/>
      <c r="T1373" s="73"/>
      <c r="U1373" s="73"/>
      <c r="V1373" s="73"/>
      <c r="W1373" s="73"/>
      <c r="X1373" s="73"/>
      <c r="Y1373" s="73"/>
      <c r="Z1373" s="73"/>
      <c r="AA1373" s="73"/>
      <c r="AF1373" s="73"/>
      <c r="AG1373" s="73"/>
    </row>
    <row r="1374" spans="2:33" x14ac:dyDescent="0.2">
      <c r="B1374" s="73" t="s">
        <v>5182</v>
      </c>
      <c r="C1374" s="73"/>
      <c r="D1374" s="73"/>
      <c r="F1374" s="73"/>
      <c r="G1374" s="73"/>
      <c r="H1374" s="73"/>
      <c r="P1374" s="73"/>
      <c r="Q1374" s="73"/>
      <c r="R1374" s="73"/>
      <c r="S1374" s="73"/>
      <c r="T1374" s="73"/>
      <c r="U1374" s="73"/>
      <c r="V1374" s="73"/>
      <c r="W1374" s="73"/>
      <c r="X1374" s="73"/>
      <c r="Y1374" s="73"/>
      <c r="Z1374" s="73"/>
      <c r="AA1374" s="73"/>
      <c r="AF1374" s="73"/>
      <c r="AG1374" s="73"/>
    </row>
    <row r="1375" spans="2:33" x14ac:dyDescent="0.2">
      <c r="B1375" s="73" t="s">
        <v>5183</v>
      </c>
      <c r="C1375" s="73"/>
      <c r="D1375" s="73"/>
      <c r="F1375" s="73"/>
      <c r="G1375" s="73"/>
      <c r="H1375" s="73"/>
      <c r="P1375" s="73"/>
      <c r="Q1375" s="73"/>
      <c r="R1375" s="73"/>
      <c r="S1375" s="73"/>
      <c r="T1375" s="73"/>
      <c r="U1375" s="73"/>
      <c r="V1375" s="73"/>
      <c r="W1375" s="73"/>
      <c r="X1375" s="73"/>
      <c r="Y1375" s="73"/>
      <c r="Z1375" s="73"/>
      <c r="AA1375" s="73"/>
      <c r="AF1375" s="73"/>
      <c r="AG1375" s="73"/>
    </row>
    <row r="1376" spans="2:33" x14ac:dyDescent="0.2">
      <c r="B1376" s="73" t="s">
        <v>5184</v>
      </c>
      <c r="C1376" s="73"/>
      <c r="D1376" s="73"/>
      <c r="F1376" s="73"/>
      <c r="G1376" s="73"/>
      <c r="H1376" s="73"/>
      <c r="P1376" s="73"/>
      <c r="Q1376" s="73"/>
      <c r="R1376" s="73"/>
      <c r="S1376" s="73"/>
      <c r="T1376" s="73"/>
      <c r="U1376" s="73"/>
      <c r="V1376" s="73"/>
      <c r="W1376" s="73"/>
      <c r="X1376" s="73"/>
      <c r="Y1376" s="73"/>
      <c r="Z1376" s="73"/>
      <c r="AA1376" s="73"/>
      <c r="AF1376" s="73"/>
      <c r="AG1376" s="73"/>
    </row>
    <row r="1377" spans="2:33" x14ac:dyDescent="0.2">
      <c r="B1377" s="73" t="s">
        <v>5185</v>
      </c>
      <c r="C1377" s="73"/>
      <c r="D1377" s="73"/>
      <c r="F1377" s="73"/>
      <c r="G1377" s="73"/>
      <c r="H1377" s="73"/>
      <c r="P1377" s="73"/>
      <c r="Q1377" s="73"/>
      <c r="R1377" s="73"/>
      <c r="S1377" s="73"/>
      <c r="T1377" s="73"/>
      <c r="U1377" s="73"/>
      <c r="V1377" s="73"/>
      <c r="W1377" s="73"/>
      <c r="X1377" s="73"/>
      <c r="Y1377" s="73"/>
      <c r="Z1377" s="73"/>
      <c r="AA1377" s="73"/>
      <c r="AF1377" s="73"/>
      <c r="AG1377" s="73"/>
    </row>
    <row r="1378" spans="2:33" x14ac:dyDescent="0.2">
      <c r="B1378" s="73" t="s">
        <v>5186</v>
      </c>
      <c r="C1378" s="73"/>
      <c r="D1378" s="73"/>
      <c r="F1378" s="73"/>
      <c r="G1378" s="73"/>
      <c r="H1378" s="73"/>
      <c r="P1378" s="73"/>
      <c r="Q1378" s="73"/>
      <c r="R1378" s="73"/>
      <c r="S1378" s="73"/>
      <c r="T1378" s="73"/>
      <c r="U1378" s="73"/>
      <c r="V1378" s="73"/>
      <c r="W1378" s="73"/>
      <c r="X1378" s="73"/>
      <c r="Y1378" s="73"/>
      <c r="Z1378" s="73"/>
      <c r="AA1378" s="73"/>
      <c r="AF1378" s="73"/>
      <c r="AG1378" s="73"/>
    </row>
    <row r="1379" spans="2:33" x14ac:dyDescent="0.2">
      <c r="B1379" s="73" t="s">
        <v>5187</v>
      </c>
      <c r="AF1379" s="73"/>
      <c r="AG1379" s="73"/>
    </row>
    <row r="1380" spans="2:33" x14ac:dyDescent="0.2">
      <c r="B1380" s="73" t="s">
        <v>5188</v>
      </c>
      <c r="AF1380" s="73"/>
      <c r="AG1380" s="73"/>
    </row>
    <row r="1381" spans="2:33" x14ac:dyDescent="0.2">
      <c r="B1381" s="73" t="s">
        <v>5191</v>
      </c>
      <c r="AF1381" s="73"/>
      <c r="AG1381" s="73"/>
    </row>
    <row r="1382" spans="2:33" x14ac:dyDescent="0.2">
      <c r="B1382" s="73" t="s">
        <v>5232</v>
      </c>
      <c r="AF1382" s="73"/>
      <c r="AG1382" s="73"/>
    </row>
    <row r="1383" spans="2:33" x14ac:dyDescent="0.2">
      <c r="B1383" s="92" t="s">
        <v>5246</v>
      </c>
      <c r="AF1383" s="73"/>
      <c r="AG1383" s="73"/>
    </row>
    <row r="1384" spans="2:33" x14ac:dyDescent="0.2">
      <c r="B1384" s="92" t="s">
        <v>5308</v>
      </c>
      <c r="AF1384" s="73"/>
      <c r="AG1384" s="73"/>
    </row>
    <row r="1385" spans="2:33" x14ac:dyDescent="0.2">
      <c r="B1385" s="92" t="s">
        <v>5421</v>
      </c>
      <c r="AF1385" s="73"/>
      <c r="AG1385" s="73"/>
    </row>
    <row r="1386" spans="2:33" x14ac:dyDescent="0.2">
      <c r="B1386" s="92" t="s">
        <v>5460</v>
      </c>
      <c r="C1386" s="97" t="s">
        <v>1691</v>
      </c>
      <c r="F1386" s="75">
        <v>6.6</v>
      </c>
      <c r="J1386" s="92" t="s">
        <v>5462</v>
      </c>
      <c r="M1386" s="73">
        <v>2022</v>
      </c>
      <c r="AB1386" s="92" t="s">
        <v>2155</v>
      </c>
      <c r="AC1386" s="92"/>
      <c r="AD1386" s="92"/>
      <c r="AE1386" s="92" t="s">
        <v>5461</v>
      </c>
      <c r="AF1386" s="73"/>
      <c r="AG1386" s="73"/>
    </row>
    <row r="1387" spans="2:33" x14ac:dyDescent="0.2">
      <c r="B1387" s="92" t="s">
        <v>5463</v>
      </c>
      <c r="AB1387" s="92" t="s">
        <v>2051</v>
      </c>
      <c r="AC1387" s="92"/>
      <c r="AD1387" s="92"/>
      <c r="AE1387" s="92" t="s">
        <v>5464</v>
      </c>
      <c r="AF1387" s="73"/>
      <c r="AG1387" s="73"/>
    </row>
    <row r="1388" spans="2:33" x14ac:dyDescent="0.2">
      <c r="B1388" s="92" t="s">
        <v>5465</v>
      </c>
      <c r="C1388" s="97" t="s">
        <v>1691</v>
      </c>
      <c r="J1388" s="92" t="s">
        <v>5466</v>
      </c>
      <c r="M1388" s="73">
        <v>2021</v>
      </c>
      <c r="AB1388" s="92" t="s">
        <v>2058</v>
      </c>
      <c r="AC1388" s="92"/>
      <c r="AD1388" s="92"/>
      <c r="AE1388" s="92" t="s">
        <v>5467</v>
      </c>
      <c r="AF1388" s="73"/>
      <c r="AG1388" s="73"/>
    </row>
    <row r="1389" spans="2:33" x14ac:dyDescent="0.2">
      <c r="B1389" s="92" t="s">
        <v>5660</v>
      </c>
      <c r="AF1389" s="73"/>
      <c r="AG1389" s="73"/>
    </row>
    <row r="1390" spans="2:33" x14ac:dyDescent="0.2">
      <c r="B1390" s="92" t="s">
        <v>5804</v>
      </c>
      <c r="AF1390" s="73"/>
      <c r="AG1390" s="73"/>
    </row>
    <row r="1391" spans="2:33" x14ac:dyDescent="0.2">
      <c r="B1391" s="92" t="s">
        <v>5911</v>
      </c>
      <c r="AF1391" s="73"/>
      <c r="AG1391" s="73"/>
    </row>
    <row r="1392" spans="2:33" x14ac:dyDescent="0.2">
      <c r="B1392" s="107" t="s">
        <v>6038</v>
      </c>
      <c r="I1392" s="107" t="s">
        <v>6039</v>
      </c>
      <c r="AF1392" s="73"/>
      <c r="AG1392" s="73"/>
    </row>
    <row r="1393" spans="2:33" x14ac:dyDescent="0.2">
      <c r="B1393" s="135" t="s">
        <v>6177</v>
      </c>
      <c r="AF1393" s="73"/>
      <c r="AG1393" s="73"/>
    </row>
    <row r="1394" spans="2:33" x14ac:dyDescent="0.2">
      <c r="B1394" s="135" t="s">
        <v>6224</v>
      </c>
      <c r="AF1394" s="73"/>
      <c r="AG1394" s="73"/>
    </row>
    <row r="1395" spans="2:33" x14ac:dyDescent="0.2">
      <c r="B1395" s="135" t="s">
        <v>6227</v>
      </c>
      <c r="P1395" s="73"/>
      <c r="Q1395" s="73"/>
      <c r="R1395" s="73"/>
      <c r="S1395" s="73"/>
      <c r="T1395" s="73"/>
      <c r="U1395" s="73"/>
      <c r="V1395" s="73"/>
      <c r="W1395" s="73"/>
      <c r="X1395" s="73"/>
      <c r="Y1395" s="73"/>
      <c r="Z1395" s="73"/>
      <c r="AA1395" s="73"/>
      <c r="AF1395" s="73"/>
      <c r="AG1395" s="73"/>
    </row>
    <row r="1396" spans="2:33" x14ac:dyDescent="0.2">
      <c r="B1396" s="135" t="s">
        <v>6254</v>
      </c>
      <c r="I1396" s="135" t="s">
        <v>6255</v>
      </c>
      <c r="P1396" s="73"/>
      <c r="Q1396" s="73"/>
      <c r="R1396" s="73"/>
      <c r="S1396" s="73"/>
      <c r="T1396" s="73"/>
      <c r="U1396" s="73"/>
      <c r="V1396" s="73"/>
      <c r="W1396" s="73"/>
      <c r="X1396" s="73"/>
      <c r="Y1396" s="73"/>
      <c r="Z1396" s="73"/>
      <c r="AA1396" s="73"/>
      <c r="AF1396" s="73"/>
      <c r="AG1396" s="73"/>
    </row>
    <row r="1397" spans="2:33" x14ac:dyDescent="0.2">
      <c r="B1397" s="135" t="s">
        <v>6316</v>
      </c>
      <c r="P1397" s="73"/>
      <c r="Q1397" s="73"/>
      <c r="R1397" s="73"/>
      <c r="S1397" s="73"/>
      <c r="T1397" s="73"/>
      <c r="U1397" s="73"/>
      <c r="V1397" s="73"/>
      <c r="W1397" s="73"/>
      <c r="X1397" s="73"/>
      <c r="Y1397" s="73"/>
      <c r="Z1397" s="73"/>
      <c r="AA1397" s="73"/>
      <c r="AF1397" s="73"/>
      <c r="AG1397" s="73"/>
    </row>
    <row r="1398" spans="2:33" x14ac:dyDescent="0.2">
      <c r="B1398" s="135" t="s">
        <v>6339</v>
      </c>
      <c r="I1398" s="135" t="s">
        <v>6340</v>
      </c>
      <c r="P1398" s="73"/>
      <c r="Q1398" s="73"/>
      <c r="R1398" s="73"/>
      <c r="S1398" s="73"/>
      <c r="T1398" s="73"/>
      <c r="U1398" s="73"/>
      <c r="V1398" s="73"/>
      <c r="W1398" s="73"/>
      <c r="X1398" s="73"/>
      <c r="Y1398" s="73"/>
      <c r="Z1398" s="73"/>
      <c r="AA1398" s="73"/>
      <c r="AF1398" s="73"/>
      <c r="AG1398" s="73"/>
    </row>
    <row r="1399" spans="2:33" x14ac:dyDescent="0.2">
      <c r="B1399" s="160" t="s">
        <v>6381</v>
      </c>
      <c r="P1399" s="73"/>
      <c r="Q1399" s="73"/>
      <c r="R1399" s="73"/>
      <c r="S1399" s="73"/>
      <c r="T1399" s="73"/>
      <c r="U1399" s="73"/>
      <c r="V1399" s="73"/>
      <c r="W1399" s="73"/>
      <c r="X1399" s="73"/>
      <c r="Y1399" s="73"/>
      <c r="Z1399" s="73"/>
      <c r="AA1399" s="73"/>
      <c r="AF1399" s="73"/>
      <c r="AG1399" s="73"/>
    </row>
    <row r="1400" spans="2:33" x14ac:dyDescent="0.2">
      <c r="B1400" s="160" t="s">
        <v>6382</v>
      </c>
      <c r="P1400" s="73"/>
      <c r="Q1400" s="73"/>
      <c r="R1400" s="73"/>
      <c r="S1400" s="73"/>
      <c r="T1400" s="73"/>
      <c r="U1400" s="73"/>
      <c r="V1400" s="73"/>
      <c r="W1400" s="73"/>
      <c r="X1400" s="73"/>
      <c r="Y1400" s="73"/>
      <c r="Z1400" s="73"/>
      <c r="AA1400" s="73"/>
      <c r="AF1400" s="73"/>
      <c r="AG1400" s="73"/>
    </row>
    <row r="1401" spans="2:33" x14ac:dyDescent="0.2">
      <c r="B1401" s="160" t="s">
        <v>6384</v>
      </c>
      <c r="P1401" s="73"/>
      <c r="Q1401" s="73"/>
      <c r="R1401" s="73"/>
      <c r="S1401" s="73"/>
      <c r="T1401" s="73"/>
      <c r="U1401" s="73"/>
      <c r="V1401" s="73"/>
      <c r="W1401" s="73"/>
      <c r="X1401" s="73"/>
      <c r="Y1401" s="73"/>
      <c r="Z1401" s="73"/>
      <c r="AA1401" s="73"/>
      <c r="AF1401" s="73"/>
      <c r="AG1401" s="73"/>
    </row>
    <row r="1402" spans="2:33" x14ac:dyDescent="0.2">
      <c r="B1402" s="160" t="s">
        <v>6544</v>
      </c>
      <c r="P1402" s="73"/>
      <c r="Q1402" s="73"/>
      <c r="R1402" s="73"/>
      <c r="S1402" s="73"/>
      <c r="T1402" s="73"/>
      <c r="U1402" s="73"/>
      <c r="V1402" s="73"/>
      <c r="W1402" s="73"/>
      <c r="X1402" s="73"/>
      <c r="Y1402" s="73"/>
      <c r="Z1402" s="73"/>
      <c r="AA1402" s="73"/>
      <c r="AF1402" s="73"/>
      <c r="AG1402" s="73"/>
    </row>
    <row r="1403" spans="2:33" x14ac:dyDescent="0.2">
      <c r="B1403" s="160" t="s">
        <v>6579</v>
      </c>
      <c r="P1403" s="73"/>
      <c r="Q1403" s="73"/>
      <c r="R1403" s="73"/>
      <c r="S1403" s="73"/>
      <c r="T1403" s="73"/>
      <c r="U1403" s="73"/>
      <c r="V1403" s="73"/>
      <c r="W1403" s="73"/>
      <c r="X1403" s="73"/>
      <c r="Y1403" s="73"/>
      <c r="Z1403" s="73"/>
      <c r="AA1403" s="73"/>
      <c r="AF1403" s="73"/>
      <c r="AG1403" s="73"/>
    </row>
    <row r="1404" spans="2:33" x14ac:dyDescent="0.2">
      <c r="B1404" s="160" t="s">
        <v>6611</v>
      </c>
      <c r="I1404" s="160" t="s">
        <v>6612</v>
      </c>
      <c r="P1404" s="73"/>
      <c r="Q1404" s="73"/>
      <c r="R1404" s="73"/>
      <c r="S1404" s="73"/>
      <c r="T1404" s="73"/>
      <c r="U1404" s="73"/>
      <c r="V1404" s="73"/>
      <c r="W1404" s="73"/>
      <c r="X1404" s="73"/>
      <c r="Y1404" s="73"/>
      <c r="Z1404" s="73"/>
      <c r="AA1404" s="73"/>
      <c r="AF1404" s="73"/>
      <c r="AG1404" s="73"/>
    </row>
    <row r="1405" spans="2:33" x14ac:dyDescent="0.2">
      <c r="B1405" s="160" t="s">
        <v>6614</v>
      </c>
      <c r="P1405" s="73"/>
      <c r="Q1405" s="73"/>
      <c r="R1405" s="73"/>
      <c r="S1405" s="73"/>
      <c r="T1405" s="73"/>
      <c r="U1405" s="73"/>
      <c r="V1405" s="73"/>
      <c r="W1405" s="73"/>
      <c r="X1405" s="73"/>
      <c r="Y1405" s="73"/>
      <c r="Z1405" s="73"/>
      <c r="AA1405" s="73"/>
      <c r="AF1405" s="73"/>
      <c r="AG1405" s="73"/>
    </row>
    <row r="1406" spans="2:33" x14ac:dyDescent="0.2">
      <c r="B1406" s="184" t="s">
        <v>6705</v>
      </c>
      <c r="P1406" s="73"/>
      <c r="Q1406" s="73"/>
      <c r="R1406" s="73"/>
      <c r="S1406" s="73"/>
      <c r="T1406" s="73"/>
      <c r="U1406" s="73"/>
      <c r="V1406" s="73"/>
      <c r="W1406" s="73"/>
      <c r="X1406" s="73"/>
      <c r="Y1406" s="73"/>
      <c r="Z1406" s="73"/>
      <c r="AA1406" s="73"/>
      <c r="AF1406" s="73"/>
      <c r="AG1406" s="73"/>
    </row>
    <row r="1407" spans="2:33" x14ac:dyDescent="0.2">
      <c r="B1407" s="184" t="s">
        <v>6730</v>
      </c>
      <c r="P1407" s="73"/>
      <c r="Q1407" s="73"/>
      <c r="R1407" s="73"/>
      <c r="S1407" s="73"/>
      <c r="T1407" s="73"/>
      <c r="U1407" s="73"/>
      <c r="V1407" s="73"/>
      <c r="W1407" s="73"/>
      <c r="X1407" s="73"/>
      <c r="Y1407" s="73"/>
      <c r="Z1407" s="73"/>
      <c r="AA1407" s="73"/>
      <c r="AF1407" s="73"/>
      <c r="AG1407" s="73"/>
    </row>
    <row r="1408" spans="2:33" x14ac:dyDescent="0.2">
      <c r="B1408" s="184" t="s">
        <v>6731</v>
      </c>
      <c r="P1408" s="73"/>
      <c r="Q1408" s="73"/>
      <c r="R1408" s="73"/>
      <c r="S1408" s="73"/>
      <c r="T1408" s="73"/>
      <c r="U1408" s="73"/>
      <c r="V1408" s="73"/>
      <c r="W1408" s="73"/>
      <c r="X1408" s="73"/>
      <c r="Y1408" s="73"/>
      <c r="Z1408" s="73"/>
      <c r="AA1408" s="73"/>
      <c r="AF1408" s="73"/>
      <c r="AG1408" s="73"/>
    </row>
    <row r="1409" spans="2:33" x14ac:dyDescent="0.2">
      <c r="B1409" s="184" t="s">
        <v>6740</v>
      </c>
      <c r="P1409" s="73"/>
      <c r="Q1409" s="73"/>
      <c r="R1409" s="73"/>
      <c r="S1409" s="73"/>
      <c r="T1409" s="73"/>
      <c r="U1409" s="73"/>
      <c r="V1409" s="73"/>
      <c r="W1409" s="73"/>
      <c r="X1409" s="73"/>
      <c r="Y1409" s="73"/>
      <c r="Z1409" s="73"/>
      <c r="AA1409" s="73"/>
      <c r="AF1409" s="73"/>
      <c r="AG1409" s="73"/>
    </row>
    <row r="1410" spans="2:33" x14ac:dyDescent="0.2">
      <c r="B1410" s="184" t="s">
        <v>6773</v>
      </c>
      <c r="P1410" s="73"/>
      <c r="Q1410" s="73"/>
      <c r="R1410" s="73"/>
      <c r="S1410" s="73"/>
      <c r="T1410" s="73"/>
      <c r="U1410" s="73"/>
      <c r="V1410" s="73"/>
      <c r="W1410" s="73"/>
      <c r="X1410" s="73"/>
      <c r="Y1410" s="73"/>
      <c r="Z1410" s="73"/>
      <c r="AA1410" s="73"/>
      <c r="AF1410" s="73"/>
      <c r="AG1410" s="73"/>
    </row>
    <row r="1411" spans="2:33" x14ac:dyDescent="0.2">
      <c r="B1411" s="184" t="s">
        <v>6775</v>
      </c>
      <c r="C1411" s="73"/>
      <c r="D1411" s="73"/>
      <c r="F1411" s="73"/>
      <c r="G1411" s="73"/>
      <c r="H1411" s="73"/>
      <c r="P1411" s="73"/>
      <c r="Q1411" s="73"/>
      <c r="R1411" s="73"/>
      <c r="S1411" s="73"/>
      <c r="T1411" s="73"/>
      <c r="U1411" s="73"/>
      <c r="V1411" s="73"/>
      <c r="W1411" s="73"/>
      <c r="X1411" s="73"/>
      <c r="Y1411" s="73"/>
      <c r="Z1411" s="73"/>
      <c r="AA1411" s="73"/>
      <c r="AF1411" s="73"/>
      <c r="AG1411" s="73"/>
    </row>
    <row r="1412" spans="2:33" x14ac:dyDescent="0.2">
      <c r="B1412" s="184" t="s">
        <v>6781</v>
      </c>
      <c r="C1412" s="73"/>
      <c r="D1412" s="73"/>
      <c r="F1412" s="73"/>
      <c r="G1412" s="73"/>
      <c r="H1412" s="73"/>
      <c r="P1412" s="73"/>
      <c r="Q1412" s="73"/>
      <c r="R1412" s="73"/>
      <c r="S1412" s="73"/>
      <c r="T1412" s="73"/>
      <c r="U1412" s="73"/>
      <c r="V1412" s="73"/>
      <c r="W1412" s="73"/>
      <c r="X1412" s="73"/>
      <c r="Y1412" s="73"/>
      <c r="Z1412" s="73"/>
      <c r="AA1412" s="73"/>
      <c r="AF1412" s="73"/>
      <c r="AG1412" s="73"/>
    </row>
    <row r="1413" spans="2:33" x14ac:dyDescent="0.2">
      <c r="B1413" s="184" t="s">
        <v>6782</v>
      </c>
      <c r="C1413" s="73"/>
      <c r="D1413" s="73"/>
      <c r="F1413" s="73"/>
      <c r="G1413" s="73"/>
      <c r="H1413" s="73"/>
      <c r="P1413" s="73"/>
      <c r="Q1413" s="73"/>
      <c r="R1413" s="73"/>
      <c r="S1413" s="73"/>
      <c r="T1413" s="73"/>
      <c r="U1413" s="73"/>
      <c r="V1413" s="73"/>
      <c r="W1413" s="73"/>
      <c r="X1413" s="73"/>
      <c r="Y1413" s="73"/>
      <c r="Z1413" s="73"/>
      <c r="AA1413" s="73"/>
      <c r="AF1413" s="73"/>
      <c r="AG1413" s="73"/>
    </row>
    <row r="1414" spans="2:33" x14ac:dyDescent="0.2">
      <c r="B1414" s="184" t="s">
        <v>7060</v>
      </c>
      <c r="C1414" s="73"/>
      <c r="D1414" s="73"/>
      <c r="F1414" s="73"/>
      <c r="G1414" s="73"/>
      <c r="H1414" s="73"/>
      <c r="P1414" s="73"/>
      <c r="Q1414" s="73"/>
      <c r="R1414" s="73"/>
      <c r="S1414" s="73"/>
      <c r="T1414" s="73"/>
      <c r="U1414" s="73"/>
      <c r="V1414" s="73"/>
      <c r="W1414" s="73"/>
      <c r="X1414" s="73"/>
      <c r="Y1414" s="73"/>
      <c r="Z1414" s="73"/>
      <c r="AA1414" s="73"/>
      <c r="AF1414" s="73"/>
      <c r="AG1414" s="73"/>
    </row>
    <row r="1415" spans="2:33" x14ac:dyDescent="0.2">
      <c r="B1415" s="184" t="s">
        <v>7090</v>
      </c>
      <c r="C1415" s="73"/>
      <c r="D1415" s="73"/>
      <c r="F1415" s="73"/>
      <c r="G1415" s="73"/>
      <c r="H1415" s="73"/>
      <c r="P1415" s="73"/>
      <c r="Q1415" s="73"/>
      <c r="R1415" s="73"/>
      <c r="S1415" s="73"/>
      <c r="T1415" s="73"/>
      <c r="U1415" s="73"/>
      <c r="V1415" s="73"/>
      <c r="W1415" s="73"/>
      <c r="X1415" s="73"/>
      <c r="Y1415" s="73"/>
      <c r="Z1415" s="73"/>
      <c r="AA1415" s="73"/>
      <c r="AF1415" s="73"/>
      <c r="AG1415" s="73"/>
    </row>
    <row r="1416" spans="2:33" x14ac:dyDescent="0.2">
      <c r="B1416" s="184" t="s">
        <v>7091</v>
      </c>
      <c r="C1416" s="73"/>
      <c r="D1416" s="73"/>
      <c r="F1416" s="73"/>
      <c r="G1416" s="73"/>
      <c r="H1416" s="73"/>
      <c r="P1416" s="73"/>
      <c r="Q1416" s="73"/>
      <c r="R1416" s="73"/>
      <c r="S1416" s="73"/>
      <c r="T1416" s="73"/>
      <c r="U1416" s="73"/>
      <c r="V1416" s="73"/>
      <c r="W1416" s="73"/>
      <c r="X1416" s="73"/>
      <c r="Y1416" s="73"/>
      <c r="Z1416" s="73"/>
      <c r="AA1416" s="73"/>
      <c r="AF1416" s="73"/>
      <c r="AG1416" s="73"/>
    </row>
    <row r="1417" spans="2:33" x14ac:dyDescent="0.2">
      <c r="B1417" s="73" t="s">
        <v>7308</v>
      </c>
    </row>
    <row r="1418" spans="2:33" x14ac:dyDescent="0.2">
      <c r="B1418" s="73" t="s">
        <v>7309</v>
      </c>
    </row>
    <row r="1419" spans="2:33" x14ac:dyDescent="0.2">
      <c r="B1419" s="73" t="s">
        <v>7310</v>
      </c>
    </row>
    <row r="1420" spans="2:33" x14ac:dyDescent="0.2">
      <c r="B1420" s="250" t="s">
        <v>7396</v>
      </c>
    </row>
    <row r="1421" spans="2:33" x14ac:dyDescent="0.2">
      <c r="B1421" s="250" t="s">
        <v>7419</v>
      </c>
      <c r="I1421" s="250" t="s">
        <v>7420</v>
      </c>
      <c r="AE1421" s="250" t="s">
        <v>7421</v>
      </c>
    </row>
    <row r="1422" spans="2:33" x14ac:dyDescent="0.2">
      <c r="B1422" s="250" t="s">
        <v>7424</v>
      </c>
    </row>
    <row r="1423" spans="2:33" x14ac:dyDescent="0.2">
      <c r="B1423" s="250" t="s">
        <v>7425</v>
      </c>
    </row>
    <row r="1424" spans="2:33" x14ac:dyDescent="0.2">
      <c r="B1424" s="250" t="s">
        <v>7435</v>
      </c>
    </row>
    <row r="1425" spans="2:2" x14ac:dyDescent="0.2">
      <c r="B1425" s="250" t="s">
        <v>7436</v>
      </c>
    </row>
    <row r="1426" spans="2:2" x14ac:dyDescent="0.2">
      <c r="B1426" s="250" t="s">
        <v>7437</v>
      </c>
    </row>
    <row r="1427" spans="2:2" x14ac:dyDescent="0.2">
      <c r="B1427" s="250" t="s">
        <v>7466</v>
      </c>
    </row>
    <row r="1428" spans="2:2" x14ac:dyDescent="0.2">
      <c r="B1428" s="250" t="s">
        <v>7533</v>
      </c>
    </row>
    <row r="1429" spans="2:2" x14ac:dyDescent="0.2">
      <c r="B1429" s="250" t="s">
        <v>7534</v>
      </c>
    </row>
    <row r="1430" spans="2:2" x14ac:dyDescent="0.2">
      <c r="B1430" s="250" t="s">
        <v>7535</v>
      </c>
    </row>
    <row r="1431" spans="2:2" x14ac:dyDescent="0.2">
      <c r="B1431" s="250" t="s">
        <v>7536</v>
      </c>
    </row>
    <row r="1432" spans="2:2" x14ac:dyDescent="0.2">
      <c r="B1432" s="250" t="s">
        <v>7537</v>
      </c>
    </row>
    <row r="1433" spans="2:2" x14ac:dyDescent="0.2">
      <c r="B1433" s="250" t="s">
        <v>7538</v>
      </c>
    </row>
    <row r="1434" spans="2:2" x14ac:dyDescent="0.2">
      <c r="B1434" s="250" t="s">
        <v>7540</v>
      </c>
    </row>
    <row r="1435" spans="2:2" x14ac:dyDescent="0.2">
      <c r="B1435" s="250" t="s">
        <v>7541</v>
      </c>
    </row>
    <row r="1436" spans="2:2" x14ac:dyDescent="0.2">
      <c r="B1436" s="250" t="s">
        <v>7542</v>
      </c>
    </row>
    <row r="1437" spans="2:2" x14ac:dyDescent="0.2">
      <c r="B1437" s="250" t="s">
        <v>7548</v>
      </c>
    </row>
    <row r="1438" spans="2:2" x14ac:dyDescent="0.2">
      <c r="B1438" s="250" t="s">
        <v>7551</v>
      </c>
    </row>
    <row r="1439" spans="2:2" x14ac:dyDescent="0.2">
      <c r="B1439" s="250" t="s">
        <v>7552</v>
      </c>
    </row>
    <row r="1440" spans="2:2" x14ac:dyDescent="0.2">
      <c r="B1440" s="250" t="s">
        <v>7553</v>
      </c>
    </row>
    <row r="1441" spans="2:9" x14ac:dyDescent="0.2">
      <c r="B1441" s="250" t="s">
        <v>7671</v>
      </c>
      <c r="I1441" s="250" t="s">
        <v>7611</v>
      </c>
    </row>
    <row r="1442" spans="2:9" x14ac:dyDescent="0.2">
      <c r="B1442" s="250" t="s">
        <v>7693</v>
      </c>
    </row>
    <row r="1443" spans="2:9" x14ac:dyDescent="0.2">
      <c r="B1443" s="250" t="s">
        <v>7694</v>
      </c>
    </row>
    <row r="1444" spans="2:9" x14ac:dyDescent="0.2">
      <c r="B1444" s="281" t="s">
        <v>7927</v>
      </c>
      <c r="I1444" s="281" t="s">
        <v>7928</v>
      </c>
    </row>
    <row r="1445" spans="2:9" x14ac:dyDescent="0.2">
      <c r="B1445" s="281" t="s">
        <v>7988</v>
      </c>
    </row>
    <row r="1446" spans="2:9" x14ac:dyDescent="0.2">
      <c r="B1446" s="281" t="s">
        <v>7989</v>
      </c>
    </row>
  </sheetData>
  <autoFilter ref="A2:M454" xr:uid="{DC9C89C9-C58C-431A-80D5-5C7D568EC13B}"/>
  <sortState xmlns:xlrd2="http://schemas.microsoft.com/office/spreadsheetml/2017/richdata2" ref="A4:AH546">
    <sortCondition descending="1" ref="AF4:AF546"/>
  </sortState>
  <hyperlinks>
    <hyperlink ref="A1" location="Main!A1" display="Main" xr:uid="{7DC47930-6FDD-2A40-A215-ADB7D7D212D9}"/>
    <hyperlink ref="N55" r:id="rId1" xr:uid="{37B348D1-62FB-CB42-8FDE-DB2286F85AF4}"/>
    <hyperlink ref="N420" r:id="rId2" xr:uid="{63A7BC90-DBBE-514D-9915-3C6B5CB87487}"/>
    <hyperlink ref="AM4" r:id="rId3" location="gid=503924035" xr:uid="{EB939790-927D-6F49-9F17-5978E943E6F0}"/>
    <hyperlink ref="AM3" r:id="rId4" xr:uid="{72758097-3595-0D4C-8A1A-A922DD9B3ACA}"/>
    <hyperlink ref="AE337" r:id="rId5" xr:uid="{ED4C4901-26B0-DD47-8A57-E9851FDE4E45}"/>
    <hyperlink ref="AE361" r:id="rId6" xr:uid="{2DAB4514-E808-DB40-9A64-A8C67F3ECD93}"/>
    <hyperlink ref="AE131" r:id="rId7" xr:uid="{AB3930FA-F679-A344-BA29-64D2D2FEC47E}"/>
    <hyperlink ref="AE122" r:id="rId8" xr:uid="{6CE92E7C-8B8B-A342-AB1F-A673F4460D55}"/>
    <hyperlink ref="AE335" r:id="rId9" xr:uid="{E179990D-B264-E64C-8A3F-16A0D4E9B53C}"/>
    <hyperlink ref="AE76" r:id="rId10" xr:uid="{8C90E27D-4F9D-5D4E-8EA0-BE3C7413319F}"/>
    <hyperlink ref="AE338" r:id="rId11" xr:uid="{B959BFB5-FA17-4049-9F1C-D181B14C9BAC}"/>
    <hyperlink ref="AE21" r:id="rId12" xr:uid="{D3F3CAAC-B165-8641-B49B-D1D231AC1BB5}"/>
    <hyperlink ref="AE25" r:id="rId13" xr:uid="{0D93FA7F-DF31-464B-B7DB-6643E2D277F9}"/>
    <hyperlink ref="AE32" r:id="rId14" xr:uid="{764D5E85-2FA7-3F4A-847E-36641C8801B6}"/>
    <hyperlink ref="AE29" r:id="rId15" xr:uid="{920F94BA-DE8E-5146-98C8-1B194655CBEE}"/>
    <hyperlink ref="AE47" r:id="rId16" xr:uid="{E93BB48A-3B55-A94A-BF1D-F1DB95DB5FE8}"/>
    <hyperlink ref="AE34" r:id="rId17" xr:uid="{031CC666-5E7E-9B40-9CDA-8EDFDCC1E307}"/>
    <hyperlink ref="AE84" r:id="rId18" xr:uid="{72FD1EF1-B4ED-0941-9B52-50EE94060A4E}"/>
    <hyperlink ref="AE20" r:id="rId19" xr:uid="{5ED8BADD-3E21-1647-B238-2661DB750F6A}"/>
    <hyperlink ref="AE31" r:id="rId20" xr:uid="{BFBA0651-87AB-954B-9475-1E4DBB347C42}"/>
    <hyperlink ref="AE402" r:id="rId21" xr:uid="{A8B20ECF-8056-E242-9021-7197D22C0B38}"/>
    <hyperlink ref="AE383" r:id="rId22" xr:uid="{2D8D9379-6E23-AD4C-A876-0968872143E5}"/>
    <hyperlink ref="AE395" r:id="rId23" xr:uid="{022F52CA-9B2E-1044-A61A-10BCCE89F5FA}"/>
    <hyperlink ref="AE389" r:id="rId24" xr:uid="{C6B6BF51-25A9-D149-ADD8-8643DC8033F2}"/>
    <hyperlink ref="AE443" r:id="rId25" xr:uid="{58B96F6A-4A47-594B-AA9F-64985A0568AD}"/>
    <hyperlink ref="AE83" r:id="rId26" xr:uid="{F6F3BAEB-0D08-9A41-AA5D-8FC4FAEE90C4}"/>
    <hyperlink ref="AE180" r:id="rId27" xr:uid="{AF414F64-2DC8-B34A-A112-4B02EDC8CC31}"/>
    <hyperlink ref="AE392" r:id="rId28" xr:uid="{1443711D-B9DB-714F-ADE4-0E99FF7F5888}"/>
    <hyperlink ref="AE33" r:id="rId29" xr:uid="{0E1B45F4-A047-DC46-BBEA-367B4042C6F5}"/>
    <hyperlink ref="AE439" r:id="rId30" xr:uid="{95F915AF-5880-204B-94D3-5AE3004DEF67}"/>
    <hyperlink ref="AE166" r:id="rId31" xr:uid="{720ED47E-6D0B-9D46-A96E-D501FDBC5DEC}"/>
    <hyperlink ref="AE174" r:id="rId32" xr:uid="{7B645E94-5A15-6D40-AC9E-C5EDCCE27A44}"/>
    <hyperlink ref="AE202" r:id="rId33" xr:uid="{06A5BC78-FA4C-1D4F-AB34-ADA02902E774}"/>
    <hyperlink ref="AE17" r:id="rId34" xr:uid="{F13C139A-0782-844D-B0AD-57F47BFEC853}"/>
    <hyperlink ref="AE362" r:id="rId35" xr:uid="{78942238-C074-2F4E-993D-1790D1BAB63C}"/>
    <hyperlink ref="AE128" r:id="rId36" xr:uid="{171EBBA1-AB06-4341-B724-8DD665D29B80}"/>
    <hyperlink ref="AE10" r:id="rId37" xr:uid="{EBFFA5AE-9580-C441-8CBA-814F45F518A6}"/>
    <hyperlink ref="AE396" r:id="rId38" xr:uid="{0C119BC3-D578-2941-AE8A-3F57B9639DE1}"/>
    <hyperlink ref="AE50" r:id="rId39" xr:uid="{6BF6AEA6-6D03-6B4E-83CE-101A2D8F2EAD}"/>
    <hyperlink ref="AE27" r:id="rId40" xr:uid="{C1FD3CDF-9167-074F-AF1C-4ABFE7C01B56}"/>
    <hyperlink ref="AE73" r:id="rId41" xr:uid="{E81664D1-DEF0-324B-B3FE-7F80B17C89A0}"/>
    <hyperlink ref="AE52" r:id="rId42" xr:uid="{18983DD3-B944-F34D-BD3E-3547A0838F94}"/>
    <hyperlink ref="AE23" r:id="rId43" xr:uid="{4390AFC5-4DA5-5B4F-80CE-6A61C4C29D2F}"/>
    <hyperlink ref="AE49" r:id="rId44" xr:uid="{9C818224-4DC6-D34D-9304-6F79AAEA9CDB}"/>
    <hyperlink ref="AE71" r:id="rId45" xr:uid="{72EBC7D9-5D60-C944-8533-1D90793FF099}"/>
    <hyperlink ref="AE390" r:id="rId46" xr:uid="{4E63B0C1-3987-4D40-9857-B61C3A4446FD}"/>
    <hyperlink ref="AE38" r:id="rId47" xr:uid="{8B81CD89-B13C-E246-A976-CBFA55B11F26}"/>
    <hyperlink ref="AE79" r:id="rId48" xr:uid="{E698049E-CA87-2440-A514-617669A5F2DE}"/>
    <hyperlink ref="AE387" r:id="rId49" xr:uid="{EF08B206-7BC2-B347-B3C3-099A76A6C98B}"/>
    <hyperlink ref="AE132" r:id="rId50" xr:uid="{57F72F8F-C3C2-2340-BB94-064E315D07EA}"/>
    <hyperlink ref="AE77" r:id="rId51" xr:uid="{4FE35350-6B01-CE4D-9AA6-C9547D5251C7}"/>
    <hyperlink ref="AE43" r:id="rId52" xr:uid="{822DE1CE-F100-6140-A115-CC1D7D91EB06}"/>
    <hyperlink ref="AE48" r:id="rId53" xr:uid="{5C527B46-95F8-3949-A59B-0C85E4B8FD01}"/>
    <hyperlink ref="AE35" r:id="rId54" xr:uid="{786DD53F-75EA-C54E-8222-9C3C805CDED3}"/>
    <hyperlink ref="AE400" r:id="rId55" xr:uid="{CC40D851-813C-B745-BB91-B1FBA1A75411}"/>
    <hyperlink ref="AE372" r:id="rId56" xr:uid="{718F0717-0D80-D749-AFAC-503136FD614D}"/>
    <hyperlink ref="AE42" r:id="rId57" xr:uid="{3B3A7990-C704-2F48-8F13-639726F48493}"/>
    <hyperlink ref="AE54" r:id="rId58" xr:uid="{8D834950-57B6-1C42-9BD8-9A11223A1EE7}"/>
    <hyperlink ref="AE380" r:id="rId59" xr:uid="{6DEE1342-B5DE-8A4A-9202-3E064FA3552E}"/>
    <hyperlink ref="AE367" r:id="rId60" xr:uid="{0F558832-98B6-A04D-9F3E-A9DD31237A57}"/>
    <hyperlink ref="AE82" r:id="rId61" xr:uid="{8432CAA1-9EA3-3445-B38D-B2C1FB98CAFF}"/>
    <hyperlink ref="AE30" r:id="rId62" xr:uid="{D822643C-567F-9B4F-A9B7-4AA9131C4992}"/>
    <hyperlink ref="AE19" r:id="rId63" xr:uid="{8AEC09E9-BAFC-1747-A44C-E3AC8638062E}"/>
    <hyperlink ref="AE100" r:id="rId64" xr:uid="{C049C314-E5E6-124D-986D-B4ABAA8971A5}"/>
    <hyperlink ref="AE89" r:id="rId65" xr:uid="{41E3F6C5-FE57-7F4C-ABC1-0A929B321F55}"/>
    <hyperlink ref="AE78" r:id="rId66" xr:uid="{EF76843A-20C1-0C40-A724-B82D6732F343}"/>
    <hyperlink ref="AE414" r:id="rId67" xr:uid="{2F3CAC6A-88CD-4446-B4C7-33F81E485CD2}"/>
    <hyperlink ref="AE365" r:id="rId68" xr:uid="{B2CA3E12-3DD8-8042-A982-B5CC5EFFFF91}"/>
    <hyperlink ref="AE90" r:id="rId69" xr:uid="{6C539E22-DAF2-5E4E-9D5C-1E03772465DA}"/>
    <hyperlink ref="AE399" r:id="rId70" xr:uid="{87C25159-B1AC-BF46-9340-62733348B7E0}"/>
    <hyperlink ref="AE91" r:id="rId71" xr:uid="{34C39878-848E-C14A-9B44-00A8BABEE64D}"/>
    <hyperlink ref="AE45" r:id="rId72" xr:uid="{232D0BD7-F897-F845-A366-566DFA7F934D}"/>
    <hyperlink ref="AE110" r:id="rId73" xr:uid="{595EAB48-8F0F-8F40-B4AD-C1440DC5AE74}"/>
    <hyperlink ref="AE109" r:id="rId74" xr:uid="{EED3C4C4-851A-D742-99D1-B00136F25814}"/>
    <hyperlink ref="AE111" r:id="rId75" xr:uid="{25F55270-8D06-1C44-997C-0EFA27FDDE7D}"/>
    <hyperlink ref="AE108" r:id="rId76" xr:uid="{7D172C89-55BA-C74E-9FB6-1B577B13328F}"/>
    <hyperlink ref="AE74" r:id="rId77" xr:uid="{F6B807EF-5B29-A94F-90FB-FBA22E01FFE3}"/>
    <hyperlink ref="AE93" r:id="rId78" xr:uid="{DF04C472-E93F-8D49-883D-3A3083FCFA55}"/>
    <hyperlink ref="AE112" r:id="rId79" xr:uid="{F10A53D6-C97B-5D41-A44E-3A64FC7FC182}"/>
    <hyperlink ref="AE116" r:id="rId80" xr:uid="{C64CEDF1-FA29-CD40-AB6A-A14C8C0914DB}"/>
    <hyperlink ref="AE410" r:id="rId81" xr:uid="{FC157F44-7D10-0D47-9AFE-34FD994F50EF}"/>
    <hyperlink ref="AE124" r:id="rId82" xr:uid="{A71DBD10-F8F8-464A-8ECA-E2701F4707CB}"/>
    <hyperlink ref="AE123" r:id="rId83" xr:uid="{C081AFBB-180A-1245-9F9B-8E5A28D427C8}"/>
    <hyperlink ref="AE248" r:id="rId84" xr:uid="{F3A98648-33B7-224A-A09D-D75043161E67}"/>
    <hyperlink ref="AE141" r:id="rId85" xr:uid="{7D2B6361-8F02-5444-93D0-988B992D86D2}"/>
    <hyperlink ref="AE9" r:id="rId86" xr:uid="{95E7B413-0724-E144-99E9-AA34945E946B}"/>
    <hyperlink ref="AE8" r:id="rId87" xr:uid="{A59A742F-38AD-7047-86D5-6E5D926656E6}"/>
    <hyperlink ref="AE6" r:id="rId88" xr:uid="{CBEC7E01-9F9D-3240-981E-121F02ECC7C0}"/>
    <hyperlink ref="AE7" r:id="rId89" xr:uid="{2413E0E7-66FC-DB43-8E2C-9A0FB2856189}"/>
    <hyperlink ref="AE4" r:id="rId90" xr:uid="{73594C4D-1F19-174B-8EDF-B7B59FE45F56}"/>
    <hyperlink ref="AE3" r:id="rId91" xr:uid="{B35AA33E-6440-8E41-AA74-8887F76170E8}"/>
    <hyperlink ref="AE217" r:id="rId92" xr:uid="{E6BDCB95-87C5-194B-86DD-A6D87ABB61A7}"/>
    <hyperlink ref="AE1002" r:id="rId93" xr:uid="{66BC287C-4E47-2144-AD96-65C577525380}"/>
    <hyperlink ref="AE114" r:id="rId94" xr:uid="{FFF327F4-5C55-A349-AFE2-746952199BBE}"/>
    <hyperlink ref="AE5" r:id="rId95" xr:uid="{4263060B-2033-724A-8D13-455A838F3C0C}"/>
    <hyperlink ref="AE12" r:id="rId96" xr:uid="{D7214A73-B44A-644A-8C81-49C743571541}"/>
    <hyperlink ref="AE11" r:id="rId97" xr:uid="{35BB026E-6743-FE4B-B130-FCE5E9D4AFFD}"/>
    <hyperlink ref="AE15" r:id="rId98" xr:uid="{752CA68D-EF0B-FC49-8B6B-4276B4AC78C5}"/>
    <hyperlink ref="AE13" r:id="rId99" xr:uid="{CE5D58C7-F1C9-F64C-876B-C55C50A18A7D}"/>
    <hyperlink ref="AE16" r:id="rId100" xr:uid="{07E5AC65-BAA0-7F4E-935A-411ACE776173}"/>
    <hyperlink ref="AE18" r:id="rId101" xr:uid="{B6AEBDB8-0696-5F45-BC3E-310DFDF06ED0}"/>
    <hyperlink ref="AE22" r:id="rId102" xr:uid="{88DD3D1B-9840-6341-B1AD-DD0D5176365F}"/>
    <hyperlink ref="AE88" r:id="rId103" xr:uid="{2B2237B7-71A7-2748-B616-CD86EE1251A4}"/>
    <hyperlink ref="AE14" r:id="rId104" xr:uid="{F2075492-7E7A-8B49-9F40-57E8B37CD4D4}"/>
    <hyperlink ref="AE26" r:id="rId105" xr:uid="{054990A6-8D35-D14D-B18E-5D87ACDE132A}"/>
    <hyperlink ref="AE28" r:id="rId106" xr:uid="{21FDF57F-F07F-094B-A2E4-BED4F719F594}"/>
    <hyperlink ref="AE61" r:id="rId107" xr:uid="{AC762AC4-0727-1B4F-B144-DF9EB3F24517}"/>
    <hyperlink ref="AE36" r:id="rId108" xr:uid="{8888E035-8F99-5941-8628-08B4C8962CDB}"/>
    <hyperlink ref="AE39" r:id="rId109" xr:uid="{AD5B981B-F2A5-2145-AC1F-9DDCEB0F8CE2}"/>
    <hyperlink ref="AE37" r:id="rId110" xr:uid="{8216AD65-7A39-F64F-8848-092966213C2C}"/>
    <hyperlink ref="AE251" r:id="rId111" xr:uid="{44EEF2A2-0D97-2340-A353-E6DBC2DA382F}"/>
    <hyperlink ref="AE58" r:id="rId112" xr:uid="{7BE63379-BF9A-7E4B-97DB-FF614886D4FB}"/>
    <hyperlink ref="AE1349" r:id="rId113" xr:uid="{1FE48E92-AC62-274A-893A-145FF5FC4532}"/>
    <hyperlink ref="AE127" r:id="rId114" xr:uid="{8FB42B19-1A8D-F542-9437-186FE8BB6134}"/>
    <hyperlink ref="AE344" r:id="rId115" xr:uid="{FCCC7729-ED5B-3F4E-B1A2-05F6FE381007}"/>
    <hyperlink ref="AE40" r:id="rId116" xr:uid="{990F5320-3B93-42FE-AEFB-F794669BA45D}"/>
    <hyperlink ref="AE339" r:id="rId117" xr:uid="{398B524B-2EF1-45B9-9353-FE15AE719578}"/>
    <hyperlink ref="AE196" r:id="rId118" xr:uid="{3F3503C6-B8FC-493A-B233-C0E80C6B5087}"/>
    <hyperlink ref="AE200" r:id="rId119" xr:uid="{80492207-9DF0-431B-8AC9-0208FAA1BA95}"/>
    <hyperlink ref="AE198" r:id="rId120" xr:uid="{94CCCCD8-53B7-4D82-8980-E75B4AE8658E}"/>
    <hyperlink ref="AE194" r:id="rId121" xr:uid="{8210ED98-C3BC-42F6-B4EB-E990B7F5030E}"/>
    <hyperlink ref="AE193" r:id="rId122" xr:uid="{E1F2E0C9-A428-42BD-BE2F-B6DD4ACD965D}"/>
    <hyperlink ref="AE195" r:id="rId123" xr:uid="{AA82B750-7F33-46A3-8EF1-BAD4E381845A}"/>
    <hyperlink ref="AE199" r:id="rId124" xr:uid="{3DD79ED6-6824-4B66-9AB0-0747EF1570A2}"/>
    <hyperlink ref="AE197" r:id="rId125" xr:uid="{ED72A748-76CA-4959-860E-545788AEC490}"/>
    <hyperlink ref="AE315" r:id="rId126" xr:uid="{2A46D5BC-D2D0-4E9C-9570-2A1AA378909B}"/>
    <hyperlink ref="AE51" r:id="rId127" xr:uid="{0AEAEEA3-1DDA-4713-B310-071B945BF382}"/>
    <hyperlink ref="AE53" r:id="rId128" xr:uid="{F0FE1A7E-AA13-4454-99FA-92546ADBA951}"/>
    <hyperlink ref="AE57" r:id="rId129" xr:uid="{D02EFA09-480E-4E2F-B8E1-C66D33A63C52}"/>
    <hyperlink ref="AE46" r:id="rId130" xr:uid="{E46090F7-8E78-3B4D-B33D-208D8E84BAD6}"/>
    <hyperlink ref="AE59" r:id="rId131" xr:uid="{0A45D2DB-AD10-6743-AA52-F683ADC2807F}"/>
    <hyperlink ref="AE56" r:id="rId132" xr:uid="{287DAC41-74ED-3145-8D6F-AB83DFBB1512}"/>
    <hyperlink ref="AE63" r:id="rId133" xr:uid="{44E30C16-AB80-924A-99D7-9F94F5BD679E}"/>
    <hyperlink ref="AE62" r:id="rId134" xr:uid="{5CF07AED-8491-DE46-A728-2C23F0746031}"/>
    <hyperlink ref="AE70" r:id="rId135" xr:uid="{E0F07144-562B-624B-9953-EBE464AC3725}"/>
    <hyperlink ref="AE67" r:id="rId136" xr:uid="{1527D306-FF1E-3B4D-A06C-6CCE0B837D94}"/>
    <hyperlink ref="AE66" r:id="rId137" xr:uid="{35813410-337F-ED49-9DA5-CBD5D54E5A38}"/>
    <hyperlink ref="AE69" r:id="rId138" xr:uid="{CAB7B190-B358-1A4D-86E6-11A52D535E37}"/>
    <hyperlink ref="AE64" r:id="rId139" xr:uid="{83B8ED7C-26C5-1C4F-AC48-ACEA8B14B965}"/>
    <hyperlink ref="AE209" r:id="rId140" xr:uid="{41C8697D-3284-7F41-8941-BCE95A6D657E}"/>
    <hyperlink ref="AE60" r:id="rId141" xr:uid="{36179F68-B149-6C43-880C-D6DBD071E5E2}"/>
    <hyperlink ref="AE68" r:id="rId142" xr:uid="{9E91F0B4-85AC-DA4F-895B-A2BC8437ACA7}"/>
    <hyperlink ref="AE65" r:id="rId143" xr:uid="{22E1505F-29F7-3A4E-9845-12BDCFBE0C17}"/>
    <hyperlink ref="AE75" r:id="rId144" xr:uid="{503BD61A-567B-1E43-ADC2-6777C017A7CD}"/>
    <hyperlink ref="AE154" r:id="rId145" xr:uid="{00726223-8E26-284E-A769-3F8547042B33}"/>
    <hyperlink ref="AE81" r:id="rId146" xr:uid="{C440704F-6D38-B24A-B860-8800297D28C4}"/>
    <hyperlink ref="AE80" r:id="rId147" xr:uid="{26EE7D3C-38A7-9545-AD98-540CEE640343}"/>
    <hyperlink ref="AE55" r:id="rId148" xr:uid="{69CD3547-9B40-074E-9FB0-7B615CC6E7B8}"/>
    <hyperlink ref="AE85" r:id="rId149" xr:uid="{7C5C3E2F-7780-DE47-A7E4-444ED1AF9A8B}"/>
    <hyperlink ref="AE95" r:id="rId150" xr:uid="{03FE0D2F-F61E-5B4D-B197-FAAE35634B9A}"/>
    <hyperlink ref="AE96" r:id="rId151" xr:uid="{BF971618-A986-104A-BC23-6C3BA9C0B36D}"/>
    <hyperlink ref="AE99" r:id="rId152" xr:uid="{223727F9-C07D-3D4D-B021-C05C36DED526}"/>
    <hyperlink ref="AE86" r:id="rId153" xr:uid="{219A0428-5EC9-9344-BCB4-FDF7372029A0}"/>
    <hyperlink ref="AE97" r:id="rId154" xr:uid="{CD9EF797-F18D-7649-8CF0-D54C545AB75C}"/>
    <hyperlink ref="AE98" r:id="rId155" xr:uid="{2F70E2FB-12D5-D549-8305-6824D2E50448}"/>
    <hyperlink ref="AE94" r:id="rId156" xr:uid="{2E67CCF7-494D-894E-8236-8BD17BFE71EA}"/>
    <hyperlink ref="AE92" r:id="rId157" xr:uid="{404EAABD-FC74-2147-A95F-BD65E4E07E71}"/>
    <hyperlink ref="AE102" r:id="rId158" xr:uid="{796D9E0D-EF83-074B-80EA-7F7A566BBD0C}"/>
    <hyperlink ref="AE101" r:id="rId159" xr:uid="{AFC648B0-0244-9B48-B12F-0B898AEEFA19}"/>
    <hyperlink ref="AE104" r:id="rId160" xr:uid="{AA7FD59A-D95D-5248-8AB6-F9524301B028}"/>
    <hyperlink ref="AE107" r:id="rId161" xr:uid="{92CDA0B7-604C-E045-B8CB-8BABBE89F2EE}"/>
    <hyperlink ref="AE106" r:id="rId162" xr:uid="{822C5D50-DBFA-5D49-AB79-B292DC7F93D1}"/>
    <hyperlink ref="AE113" r:id="rId163" xr:uid="{F56C0C8B-9B2A-6346-A98D-1FE4DA5C251A}"/>
    <hyperlink ref="AE118" r:id="rId164" xr:uid="{64056387-0ADF-6642-B168-15E124BD2D55}"/>
    <hyperlink ref="AE115" r:id="rId165" xr:uid="{04BBB9EC-4AAC-0943-B479-8A3876728243}"/>
    <hyperlink ref="AE117" r:id="rId166" xr:uid="{4D296595-F92A-6C44-A43F-558089F50506}"/>
    <hyperlink ref="AE119" r:id="rId167" xr:uid="{3581FDD4-ABDC-2943-AADD-0752CD3EB218}"/>
    <hyperlink ref="AE120" r:id="rId168" xr:uid="{95705588-C65B-6940-B637-780ECF494B91}"/>
    <hyperlink ref="AE130" r:id="rId169" xr:uid="{7D3E777C-622C-2744-B80B-27DC780661DD}"/>
    <hyperlink ref="AE121" r:id="rId170" xr:uid="{CD9364D2-4793-9341-9EF0-CC3483BDAD70}"/>
    <hyperlink ref="AE129" r:id="rId171" xr:uid="{AEEC97F4-4A4C-0847-ABFF-7C532AD78935}"/>
    <hyperlink ref="AE133" r:id="rId172" xr:uid="{2FD0DC1B-E796-4345-BEE8-D14CC6F5CFF2}"/>
    <hyperlink ref="AE125" r:id="rId173" xr:uid="{F2A69100-160F-2F4B-8F38-C4F1C1EADC4E}"/>
    <hyperlink ref="AE165" r:id="rId174" xr:uid="{9FACA1BB-7F21-544E-9B33-3FE13E3E4FD9}"/>
    <hyperlink ref="AE126" r:id="rId175" xr:uid="{C2CE7640-A6C6-6143-8D90-89F0FC47E93B}"/>
    <hyperlink ref="AE87" r:id="rId176" xr:uid="{189165D7-24F6-E74A-886C-08338AE6EED7}"/>
    <hyperlink ref="AE136" r:id="rId177" xr:uid="{FC5EEB0D-36F1-4241-B7E8-CF9AA3FABC7F}"/>
    <hyperlink ref="AE140" r:id="rId178" xr:uid="{D8D5AD6A-D021-7A44-9696-B49D5C8C028D}"/>
    <hyperlink ref="AE135" r:id="rId179" xr:uid="{A85E971E-1BEF-2843-80C2-8D7C45FC7072}"/>
    <hyperlink ref="AE143" r:id="rId180" xr:uid="{AB845885-3F0E-4148-A81C-198356FF0A4A}"/>
    <hyperlink ref="AE138" r:id="rId181" xr:uid="{1CA8DED2-44B4-A647-AF37-4FA139F70198}"/>
    <hyperlink ref="AE139" r:id="rId182" xr:uid="{CD01578E-B5F4-D844-8CE7-4FDE6910B80D}"/>
    <hyperlink ref="AE134" r:id="rId183" xr:uid="{9FAFF344-E781-7245-B996-1B1302CD28BC}"/>
    <hyperlink ref="AE105" r:id="rId184" xr:uid="{EDEAD548-8B9D-AB47-9AE1-53164F58CC1E}"/>
    <hyperlink ref="AE146" r:id="rId185" xr:uid="{C1462C4F-9289-6242-B7E8-21D217F7911C}"/>
    <hyperlink ref="AE137" r:id="rId186" xr:uid="{F80B3C12-3FFF-C945-99BB-C596BFF957AD}"/>
    <hyperlink ref="AE145" r:id="rId187" xr:uid="{FE972754-0E6E-854B-B0C0-70C72FE34827}"/>
    <hyperlink ref="AE144" r:id="rId188" xr:uid="{02B49A03-4DCA-8F47-9667-A7C3E132B5D1}"/>
    <hyperlink ref="AE147" r:id="rId189" xr:uid="{179D7B5C-E319-0F4C-B610-7C8883F22AAD}"/>
    <hyperlink ref="AE148" r:id="rId190" xr:uid="{94FC1DC2-3C2F-9C4A-B0FA-7C6059C8C77A}"/>
    <hyperlink ref="AE186" r:id="rId191" xr:uid="{47686162-7D56-DA46-B1D8-626585D8762F}"/>
    <hyperlink ref="AE158" r:id="rId192" xr:uid="{93BE207F-A76D-7045-A175-B4FA6D509849}"/>
    <hyperlink ref="AE155" r:id="rId193" xr:uid="{5A3D8CFA-FE3D-9640-8978-3C3C7C73BC35}"/>
    <hyperlink ref="AE179" r:id="rId194" xr:uid="{81A0CF52-2E72-BF45-930C-F428B6C53DFE}"/>
    <hyperlink ref="AE160" r:id="rId195" xr:uid="{0D704F84-17D6-1041-818C-F3B155B318F6}"/>
    <hyperlink ref="AE167" r:id="rId196" xr:uid="{FEE85570-2183-D140-A941-2EA309E048AF}"/>
    <hyperlink ref="AE168" r:id="rId197" xr:uid="{849EBCBE-1E6B-A148-B10B-04C74C75E93C}"/>
    <hyperlink ref="AE150" r:id="rId198" xr:uid="{D2DF8E8C-C408-0C41-BAEC-50FB7E038728}"/>
    <hyperlink ref="AE156" r:id="rId199" xr:uid="{B88943CC-5F3C-FE48-B652-DE2F3B1E584A}"/>
    <hyperlink ref="AE163" r:id="rId200" xr:uid="{3D5A9B18-CD60-F746-8E5B-13FFD613636F}"/>
    <hyperlink ref="AE192" r:id="rId201" xr:uid="{389DFFD7-FB4D-6043-9782-E76E6C1D0F9C}"/>
    <hyperlink ref="AE181" r:id="rId202" xr:uid="{3E4C2378-E2BC-8B4D-B14E-D6B8B19583CF}"/>
    <hyperlink ref="AE162" r:id="rId203" xr:uid="{465E564D-CA8B-7646-BD18-7D80BF9083F3}"/>
    <hyperlink ref="AE41" r:id="rId204" xr:uid="{4FFC79B8-43A3-F74B-988A-C198CCDF051B}"/>
    <hyperlink ref="AE149" r:id="rId205" xr:uid="{F6FC6F0F-BC0F-1945-9673-8BF2326966F4}"/>
    <hyperlink ref="AE169" r:id="rId206" xr:uid="{3044799F-AFA0-6541-AC03-39C4067AF3A7}"/>
    <hyperlink ref="AE159" r:id="rId207" xr:uid="{7A7C1715-EFE7-DC45-80A6-13C06C8CF8AB}"/>
    <hyperlink ref="AE185" r:id="rId208" xr:uid="{E2A94A5E-090A-7745-8227-DDE9B55DC0DB}"/>
    <hyperlink ref="AE157" r:id="rId209" xr:uid="{40A9F733-A6F0-794F-A0AA-71CFA22C7937}"/>
    <hyperlink ref="AE170" r:id="rId210" xr:uid="{5FF881BA-77A5-7646-99CD-77CEFCDB2C5E}"/>
    <hyperlink ref="AE153" r:id="rId211" xr:uid="{8DE1E36E-C230-5E44-BC8B-0064B23E8FA9}"/>
    <hyperlink ref="AE314" r:id="rId212" xr:uid="{DF3626E1-ACB5-B641-8D51-9FD727656B56}"/>
    <hyperlink ref="AE319" r:id="rId213" xr:uid="{05482C5A-7E9E-A04A-8B22-568613912ACC}"/>
    <hyperlink ref="AE332" r:id="rId214" xr:uid="{78A84723-46EC-0344-9897-7DD8CE22AF88}"/>
    <hyperlink ref="AE184" r:id="rId215" xr:uid="{A7005CF4-69AC-2B4D-99A7-37F6148A563A}"/>
    <hyperlink ref="AE182" r:id="rId216" xr:uid="{3D938CEA-38CE-AA40-B0BF-C8F9154BD1B6}"/>
    <hyperlink ref="AE161" r:id="rId217" xr:uid="{C1E46E5A-12EC-2148-928B-63837E4882B7}"/>
    <hyperlink ref="AE171" r:id="rId218" xr:uid="{5502C466-408F-EC46-8627-2098010E205C}"/>
    <hyperlink ref="AE175" r:id="rId219" xr:uid="{635B6037-C220-6C4D-A146-9DF57FEDA72F}"/>
    <hyperlink ref="AE164" r:id="rId220" xr:uid="{71917D6A-2B74-436A-9646-B3E33BD136A2}"/>
    <hyperlink ref="AE172" r:id="rId221" xr:uid="{672CFC1C-1345-435C-B738-4DFE3047F2E1}"/>
    <hyperlink ref="AE177" r:id="rId222" xr:uid="{79E3DCEA-F083-4456-A3C3-47CC711B627B}"/>
    <hyperlink ref="AE178" r:id="rId223" xr:uid="{DCD406E8-9A05-45CC-ABC4-B0FFC6FFC3A8}"/>
    <hyperlink ref="AE329" r:id="rId224" xr:uid="{382A1147-57FF-4F42-8F1B-02F825E14D0F}"/>
    <hyperlink ref="AE176" r:id="rId225" xr:uid="{94BB643C-B897-4ECE-95E8-32F3C61916CD}"/>
    <hyperlink ref="AE152" r:id="rId226" xr:uid="{A6E686A2-D3AD-436E-97EF-9ACB22472403}"/>
    <hyperlink ref="AE173" r:id="rId227" xr:uid="{C78813BD-4FE3-7546-9ABA-91E99EB6FDBF}"/>
    <hyperlink ref="AE201" r:id="rId228" xr:uid="{D7F8333A-B4E9-7B44-AFAC-0A61BD2204D2}"/>
    <hyperlink ref="AE151" r:id="rId229" xr:uid="{1E134B6B-F61A-2D4A-8655-D7E5F2109F28}"/>
    <hyperlink ref="AE183" r:id="rId230" xr:uid="{49AE46D0-F7E8-A844-A5D0-8C78ABA77C3A}"/>
    <hyperlink ref="AE191" r:id="rId231" xr:uid="{1E39F6FF-D503-FD4B-B0B1-5C850DC7BDBC}"/>
    <hyperlink ref="AE142" r:id="rId232" xr:uid="{226F56C4-2CCA-4C0B-B984-92D0358049BA}"/>
    <hyperlink ref="AE456" r:id="rId233" xr:uid="{EFB33F59-3B9A-4172-A43D-594E7561E827}"/>
    <hyperlink ref="AE212" r:id="rId234" xr:uid="{13ECD8E8-1075-4D6F-AFA3-2297D4C486B9}"/>
    <hyperlink ref="AE213" r:id="rId235" xr:uid="{056CFA4B-51AB-4619-AD67-3A74C810CFDF}"/>
    <hyperlink ref="AE215" r:id="rId236" xr:uid="{3F18A77A-4474-4F96-8538-97E60E5DC9C6}"/>
    <hyperlink ref="AE457" r:id="rId237" xr:uid="{C3E9D7AB-3C74-403E-8033-F607ECEEC5E9}"/>
    <hyperlink ref="AE218" r:id="rId238" xr:uid="{1EEC32DF-CDBB-CE4E-895D-6A759C2B9708}"/>
    <hyperlink ref="AE220" r:id="rId239" xr:uid="{3D3C0744-27C6-0746-9E7C-4E6356697DF5}"/>
    <hyperlink ref="AE228" r:id="rId240" xr:uid="{F4827E95-667D-4505-ABD7-FA036BC6EFAC}"/>
    <hyperlink ref="AE205" r:id="rId241" xr:uid="{AA9B6F83-C7CF-4638-BE2E-24169F5EBC8C}"/>
    <hyperlink ref="AE207" r:id="rId242" xr:uid="{615A2B3B-A6A7-4324-93C5-80F6B0523868}"/>
    <hyperlink ref="AE203" r:id="rId243" xr:uid="{23B31A01-AAA1-D841-BA57-62844A7410D0}"/>
    <hyperlink ref="AE206" r:id="rId244" xr:uid="{46A5B2E5-8F4E-BC4D-B887-83EC1EEE8C11}"/>
    <hyperlink ref="AE204" r:id="rId245" xr:uid="{795ED42A-37FC-CA49-AB60-18F9E8350F52}"/>
    <hyperlink ref="AE341" r:id="rId246" xr:uid="{436B0629-F3A6-FD42-A069-7F84C3DCBD76}"/>
    <hyperlink ref="AE342" r:id="rId247" xr:uid="{95723F2F-AA94-5443-98BA-E5717EFF634F}"/>
    <hyperlink ref="AE219" r:id="rId248" xr:uid="{54384C20-B1F9-6D4D-965D-2A929B9D4416}"/>
    <hyperlink ref="AE415" r:id="rId249" xr:uid="{4188DEE7-4934-F148-B803-CF98133B0096}"/>
    <hyperlink ref="AE434" r:id="rId250" xr:uid="{BA085312-B83B-0646-8F76-150DEC1537F9}"/>
    <hyperlink ref="AE103" r:id="rId251" xr:uid="{467F8089-B1B9-0F49-AF05-F9D8796B98B3}"/>
    <hyperlink ref="AE281" r:id="rId252" xr:uid="{47FAD4DB-533D-A141-8D7D-AA7FF92DFCF4}"/>
    <hyperlink ref="AE451" r:id="rId253" xr:uid="{095AFFD9-D256-6445-A825-D0102405CFCA}"/>
    <hyperlink ref="AE254" r:id="rId254" xr:uid="{35E68EDB-C078-DF4F-8678-C4D1F30D1AB0}"/>
    <hyperlink ref="AE24" r:id="rId255" xr:uid="{1BBED3C7-7FB5-F04A-8776-A2610F38ECF5}"/>
    <hyperlink ref="N24" r:id="rId256" xr:uid="{F34DB0AF-F289-024D-AF53-614380091A79}"/>
    <hyperlink ref="AM6" r:id="rId257" xr:uid="{B29AA56E-584F-43FF-B525-838D2ED88232}"/>
    <hyperlink ref="AE190" r:id="rId258" xr:uid="{70ADC80D-201B-414D-B32A-BFCC964CC1C4}"/>
    <hyperlink ref="AE189" r:id="rId259" xr:uid="{0AD08137-F2D4-9742-9A7A-7180CA870641}"/>
    <hyperlink ref="AE188" r:id="rId260" xr:uid="{A9E252BD-17D8-AB4E-BF09-E436A57BCBCF}"/>
    <hyperlink ref="AE187" r:id="rId261" xr:uid="{7B1673DC-4957-CE47-A468-FAA16C79EB1D}"/>
    <hyperlink ref="AE327" r:id="rId262" xr:uid="{26FC4FD2-D5CD-4912-B51E-7896FAD3EBEF}"/>
    <hyperlink ref="AE328" r:id="rId263" xr:uid="{F468CBDE-58BC-4A00-86A8-33F824E35FE7}"/>
    <hyperlink ref="AE411" r:id="rId264" xr:uid="{29F91D18-746A-1941-882C-6831B9F0BC14}"/>
    <hyperlink ref="AE289" r:id="rId265" xr:uid="{DAB31EF2-B5D4-6544-BC54-72CB05ED9B3A}"/>
    <hyperlink ref="AE298" r:id="rId266" xr:uid="{77735A64-3B48-6B4C-A027-6E2D226FD271}"/>
    <hyperlink ref="AE336" r:id="rId267" xr:uid="{58040DD2-16B1-5C49-AE33-0D0F0BE4E7DF}"/>
    <hyperlink ref="AE343" r:id="rId268" xr:uid="{9B8CB591-DBEB-3049-A3C6-AD603150F331}"/>
    <hyperlink ref="AE297" r:id="rId269" xr:uid="{D3F4F672-DF6C-7E41-AF90-01A69DC4E0C6}"/>
  </hyperlinks>
  <pageMargins left="0.7" right="0.7" top="0.75" bottom="0.75" header="0.3" footer="0.3"/>
  <pageSetup orientation="portrait" r:id="rId270"/>
  <legacyDrawing r:id="rId27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F5242-91BF-8241-B524-89EDDA759ED9}">
  <dimension ref="A1:S4233"/>
  <sheetViews>
    <sheetView zoomScale="130" zoomScaleNormal="130" workbookViewId="0">
      <pane xSplit="2" ySplit="2" topLeftCell="C576" activePane="bottomRight" state="frozen"/>
      <selection pane="topRight" activeCell="C1" sqref="C1"/>
      <selection pane="bottomLeft" activeCell="A3" sqref="A3"/>
      <selection pane="bottomRight" activeCell="F605" sqref="F605"/>
    </sheetView>
  </sheetViews>
  <sheetFormatPr defaultColWidth="9.125" defaultRowHeight="12.75" x14ac:dyDescent="0.2"/>
  <cols>
    <col min="1" max="1" width="5" style="1" bestFit="1" customWidth="1"/>
    <col min="2" max="2" width="28.625" style="1" customWidth="1"/>
    <col min="3" max="3" width="11.125" style="2" customWidth="1"/>
    <col min="4" max="4" width="25" style="2" customWidth="1"/>
    <col min="5" max="5" width="9.125" style="3"/>
    <col min="6" max="6" width="10.875" style="3" bestFit="1" customWidth="1"/>
    <col min="7" max="7" width="11.5" style="2" customWidth="1"/>
    <col min="8" max="8" width="9.125" style="1"/>
    <col min="9" max="9" width="15.375" style="1" customWidth="1"/>
    <col min="10" max="10" width="9.125" style="1"/>
    <col min="11" max="11" width="9.125" style="1" customWidth="1"/>
    <col min="12" max="12" width="9.125" style="1"/>
    <col min="13" max="18" width="9.125" style="2"/>
    <col min="19" max="16384" width="9.125" style="1"/>
  </cols>
  <sheetData>
    <row r="1" spans="1:19" x14ac:dyDescent="0.2">
      <c r="A1" s="25" t="s">
        <v>1165</v>
      </c>
      <c r="B1" s="92"/>
      <c r="I1" s="1" t="s">
        <v>1164</v>
      </c>
      <c r="J1" s="1" t="s">
        <v>1163</v>
      </c>
      <c r="K1" s="1" t="s">
        <v>1162</v>
      </c>
    </row>
    <row r="2" spans="1:19" x14ac:dyDescent="0.2">
      <c r="B2" s="1" t="s">
        <v>1161</v>
      </c>
      <c r="C2" s="2" t="s">
        <v>1160</v>
      </c>
      <c r="D2" s="2" t="s">
        <v>1159</v>
      </c>
      <c r="E2" s="3" t="s">
        <v>1158</v>
      </c>
      <c r="F2" s="3" t="s">
        <v>1157</v>
      </c>
      <c r="G2" s="2" t="s">
        <v>1156</v>
      </c>
      <c r="I2" s="1" t="s">
        <v>1155</v>
      </c>
      <c r="J2" s="1" t="s">
        <v>1154</v>
      </c>
      <c r="K2" s="1" t="s">
        <v>1153</v>
      </c>
      <c r="L2" s="1" t="s">
        <v>1152</v>
      </c>
      <c r="M2" s="2" t="s">
        <v>278</v>
      </c>
      <c r="N2" s="2" t="s">
        <v>4</v>
      </c>
      <c r="O2" s="2" t="s">
        <v>5</v>
      </c>
      <c r="P2" s="2" t="s">
        <v>7</v>
      </c>
      <c r="Q2" s="2" t="s">
        <v>18</v>
      </c>
      <c r="R2" s="2" t="s">
        <v>1151</v>
      </c>
      <c r="S2" s="1" t="s">
        <v>1150</v>
      </c>
    </row>
    <row r="3" spans="1:19" x14ac:dyDescent="0.2">
      <c r="A3" s="1">
        <v>1</v>
      </c>
      <c r="B3" s="276" t="s">
        <v>1149</v>
      </c>
      <c r="C3" s="13" t="s">
        <v>969</v>
      </c>
      <c r="D3" s="13" t="s">
        <v>968</v>
      </c>
      <c r="E3" s="15"/>
      <c r="F3" s="15">
        <f>SUM(F4:F20)</f>
        <v>2139</v>
      </c>
      <c r="G3" s="14">
        <f>+G6</f>
        <v>44663</v>
      </c>
      <c r="I3" s="24" t="s">
        <v>1</v>
      </c>
      <c r="J3" s="13" t="s">
        <v>1</v>
      </c>
      <c r="K3" s="13" t="s">
        <v>1</v>
      </c>
    </row>
    <row r="4" spans="1:19" x14ac:dyDescent="0.2">
      <c r="B4" s="277" t="s">
        <v>7093</v>
      </c>
      <c r="C4" s="2" t="s">
        <v>7</v>
      </c>
      <c r="D4" s="2" t="s">
        <v>1148</v>
      </c>
      <c r="E4" s="3">
        <v>140</v>
      </c>
      <c r="F4" s="3">
        <v>100</v>
      </c>
      <c r="G4" s="4">
        <v>44363</v>
      </c>
      <c r="I4" s="184" t="s">
        <v>7088</v>
      </c>
      <c r="J4" s="184" t="s">
        <v>7096</v>
      </c>
    </row>
    <row r="5" spans="1:19" x14ac:dyDescent="0.2">
      <c r="B5" s="266" t="s">
        <v>7663</v>
      </c>
      <c r="C5" s="2" t="s">
        <v>4</v>
      </c>
      <c r="D5" s="2" t="s">
        <v>632</v>
      </c>
      <c r="E5" s="3">
        <v>3</v>
      </c>
      <c r="F5" s="3">
        <v>1</v>
      </c>
      <c r="G5" s="4">
        <v>44539</v>
      </c>
      <c r="I5" s="184" t="s">
        <v>7089</v>
      </c>
      <c r="J5" s="184" t="s">
        <v>7097</v>
      </c>
    </row>
    <row r="6" spans="1:19" x14ac:dyDescent="0.2">
      <c r="B6" s="266" t="s">
        <v>7832</v>
      </c>
      <c r="C6" s="2" t="s">
        <v>18</v>
      </c>
      <c r="D6" s="2" t="s">
        <v>599</v>
      </c>
      <c r="E6" s="3">
        <v>125</v>
      </c>
      <c r="F6" s="3">
        <v>50</v>
      </c>
      <c r="G6" s="4">
        <v>44663</v>
      </c>
      <c r="I6" s="184" t="s">
        <v>7092</v>
      </c>
      <c r="J6" s="184" t="s">
        <v>7098</v>
      </c>
    </row>
    <row r="7" spans="1:19" x14ac:dyDescent="0.2">
      <c r="C7" s="2" t="s">
        <v>4</v>
      </c>
      <c r="D7" s="2" t="s">
        <v>439</v>
      </c>
      <c r="E7" s="3">
        <v>7</v>
      </c>
      <c r="F7" s="3">
        <v>1.5</v>
      </c>
      <c r="G7" s="4">
        <v>44602</v>
      </c>
      <c r="I7" s="184" t="s">
        <v>7094</v>
      </c>
      <c r="J7" s="184" t="s">
        <v>7099</v>
      </c>
    </row>
    <row r="8" spans="1:19" x14ac:dyDescent="0.2">
      <c r="C8" s="2" t="s">
        <v>7</v>
      </c>
      <c r="D8" s="2" t="s">
        <v>431</v>
      </c>
      <c r="E8" s="3">
        <v>93</v>
      </c>
      <c r="F8" s="3">
        <v>83</v>
      </c>
      <c r="G8" s="4">
        <v>43018</v>
      </c>
      <c r="I8" s="184" t="s">
        <v>7095</v>
      </c>
      <c r="J8" s="184" t="s">
        <v>7100</v>
      </c>
    </row>
    <row r="9" spans="1:19" x14ac:dyDescent="0.2">
      <c r="C9" s="2" t="s">
        <v>8</v>
      </c>
      <c r="D9" s="2" t="s">
        <v>253</v>
      </c>
      <c r="E9" s="3">
        <v>600</v>
      </c>
      <c r="F9" s="3">
        <f>500/8</f>
        <v>62.5</v>
      </c>
      <c r="G9" s="4">
        <v>44502</v>
      </c>
    </row>
    <row r="10" spans="1:19" x14ac:dyDescent="0.2">
      <c r="C10" s="2" t="s">
        <v>18</v>
      </c>
      <c r="D10" s="2" t="s">
        <v>253</v>
      </c>
      <c r="E10" s="3">
        <v>500</v>
      </c>
      <c r="F10" s="3">
        <v>75</v>
      </c>
      <c r="G10" s="4">
        <v>44144</v>
      </c>
    </row>
    <row r="11" spans="1:19" x14ac:dyDescent="0.2">
      <c r="C11" s="2" t="s">
        <v>7</v>
      </c>
      <c r="D11" s="2" t="s">
        <v>253</v>
      </c>
      <c r="E11" s="3">
        <v>940</v>
      </c>
      <c r="F11" s="3">
        <v>940</v>
      </c>
      <c r="G11" s="4">
        <v>43507</v>
      </c>
    </row>
    <row r="12" spans="1:19" x14ac:dyDescent="0.2">
      <c r="C12" s="2" t="s">
        <v>8</v>
      </c>
      <c r="D12" s="2" t="s">
        <v>208</v>
      </c>
      <c r="E12" s="3">
        <v>676</v>
      </c>
      <c r="F12" s="3">
        <v>176</v>
      </c>
      <c r="G12" s="4">
        <v>44299</v>
      </c>
      <c r="I12" s="1">
        <v>4400</v>
      </c>
      <c r="J12" s="1">
        <v>500</v>
      </c>
    </row>
    <row r="13" spans="1:19" x14ac:dyDescent="0.2">
      <c r="C13" s="2" t="s">
        <v>5</v>
      </c>
      <c r="D13" s="2" t="s">
        <v>208</v>
      </c>
      <c r="E13" s="3">
        <v>56</v>
      </c>
      <c r="F13" s="3">
        <v>20</v>
      </c>
      <c r="G13" s="4">
        <v>43174</v>
      </c>
      <c r="J13" s="1">
        <v>500</v>
      </c>
    </row>
    <row r="14" spans="1:19" x14ac:dyDescent="0.2">
      <c r="C14" s="2" t="s">
        <v>9</v>
      </c>
      <c r="D14" s="2" t="s">
        <v>148</v>
      </c>
      <c r="E14" s="3">
        <v>300</v>
      </c>
      <c r="F14" s="6" t="s">
        <v>1047</v>
      </c>
      <c r="G14" s="4">
        <v>44271</v>
      </c>
    </row>
    <row r="15" spans="1:19" x14ac:dyDescent="0.2">
      <c r="C15" s="2" t="s">
        <v>18</v>
      </c>
      <c r="D15" s="2" t="s">
        <v>192</v>
      </c>
      <c r="E15" s="3">
        <v>235</v>
      </c>
      <c r="F15" s="6">
        <v>75</v>
      </c>
      <c r="G15" s="4">
        <v>44384</v>
      </c>
    </row>
    <row r="16" spans="1:19" x14ac:dyDescent="0.2">
      <c r="C16" s="2" t="s">
        <v>9</v>
      </c>
      <c r="D16" s="2" t="s">
        <v>52</v>
      </c>
      <c r="E16" s="3">
        <v>220</v>
      </c>
      <c r="F16" s="6">
        <v>80</v>
      </c>
      <c r="G16" s="4">
        <v>44357</v>
      </c>
      <c r="I16" s="1">
        <v>1900</v>
      </c>
      <c r="J16" s="1">
        <v>1900</v>
      </c>
    </row>
    <row r="17" spans="1:18" x14ac:dyDescent="0.2">
      <c r="C17" s="55" t="s">
        <v>8</v>
      </c>
      <c r="D17" s="55" t="s">
        <v>2112</v>
      </c>
      <c r="E17" s="3">
        <v>110</v>
      </c>
      <c r="F17" s="6">
        <v>40</v>
      </c>
      <c r="G17" s="4">
        <v>44567</v>
      </c>
      <c r="I17" s="1">
        <v>790</v>
      </c>
      <c r="J17" s="1">
        <v>790</v>
      </c>
    </row>
    <row r="18" spans="1:18" x14ac:dyDescent="0.2">
      <c r="C18" s="93" t="s">
        <v>18</v>
      </c>
      <c r="D18" s="93" t="s">
        <v>5248</v>
      </c>
      <c r="E18" s="3">
        <v>115</v>
      </c>
      <c r="F18" s="6">
        <v>100</v>
      </c>
      <c r="G18" s="4">
        <v>44469</v>
      </c>
    </row>
    <row r="19" spans="1:18" x14ac:dyDescent="0.2">
      <c r="C19" s="93" t="s">
        <v>18</v>
      </c>
      <c r="D19" s="93" t="s">
        <v>2075</v>
      </c>
      <c r="E19" s="3">
        <v>65</v>
      </c>
      <c r="F19" s="6">
        <v>35</v>
      </c>
      <c r="G19" s="4">
        <v>44644</v>
      </c>
      <c r="I19" s="1">
        <v>500</v>
      </c>
      <c r="J19" s="1">
        <v>500</v>
      </c>
    </row>
    <row r="20" spans="1:18" x14ac:dyDescent="0.2">
      <c r="C20" s="282" t="s">
        <v>1</v>
      </c>
      <c r="D20" s="282" t="s">
        <v>3934</v>
      </c>
      <c r="E20" s="3">
        <v>1200</v>
      </c>
      <c r="F20" s="6">
        <f>E20/4</f>
        <v>300</v>
      </c>
      <c r="G20" s="4">
        <v>43592</v>
      </c>
    </row>
    <row r="21" spans="1:18" x14ac:dyDescent="0.2">
      <c r="G21" s="4"/>
    </row>
    <row r="22" spans="1:18" s="12" customFormat="1" x14ac:dyDescent="0.2">
      <c r="A22" s="12">
        <v>2</v>
      </c>
      <c r="B22" s="12" t="s">
        <v>1147</v>
      </c>
      <c r="C22" s="13" t="s">
        <v>969</v>
      </c>
      <c r="D22" s="13" t="s">
        <v>968</v>
      </c>
      <c r="E22" s="15"/>
      <c r="F22" s="15">
        <f>SUM(F23:F54)</f>
        <v>2077.6054347826089</v>
      </c>
      <c r="G22" s="14">
        <f>G51</f>
        <v>45183</v>
      </c>
      <c r="I22" s="12" t="s">
        <v>1</v>
      </c>
      <c r="J22" s="12" t="s">
        <v>1</v>
      </c>
      <c r="K22" s="12" t="s">
        <v>1</v>
      </c>
      <c r="M22" s="15">
        <f>SUM(F36)</f>
        <v>1.5</v>
      </c>
      <c r="N22" s="15">
        <f>SUM(F29,F34)</f>
        <v>16</v>
      </c>
      <c r="O22" s="15">
        <f>SUM(F28,F31,F32,F33)</f>
        <v>226</v>
      </c>
      <c r="P22" s="15">
        <f>SUM(F27,F30,F35,F38)</f>
        <v>519.16666666666674</v>
      </c>
      <c r="Q22" s="15">
        <f>SUM(F23,F26,F37)</f>
        <v>81</v>
      </c>
      <c r="R22" s="15">
        <f>SUM(F24,F25)</f>
        <v>350</v>
      </c>
    </row>
    <row r="23" spans="1:18" x14ac:dyDescent="0.2">
      <c r="B23" s="250" t="s">
        <v>7663</v>
      </c>
      <c r="C23" s="2" t="s">
        <v>18</v>
      </c>
      <c r="D23" s="2" t="s">
        <v>964</v>
      </c>
      <c r="E23" s="3">
        <v>450</v>
      </c>
      <c r="F23" s="3">
        <f>300/5</f>
        <v>60</v>
      </c>
      <c r="G23" s="4">
        <v>45069</v>
      </c>
    </row>
    <row r="24" spans="1:18" x14ac:dyDescent="0.2">
      <c r="C24" s="2" t="s">
        <v>1089</v>
      </c>
      <c r="D24" s="2" t="s">
        <v>964</v>
      </c>
      <c r="E24" s="3">
        <v>300</v>
      </c>
      <c r="F24" s="3">
        <v>300</v>
      </c>
      <c r="G24" s="4">
        <v>44960</v>
      </c>
    </row>
    <row r="25" spans="1:18" x14ac:dyDescent="0.2">
      <c r="C25" s="282" t="s">
        <v>1040</v>
      </c>
      <c r="D25" s="2" t="s">
        <v>957</v>
      </c>
      <c r="E25" s="3">
        <v>141</v>
      </c>
      <c r="F25" s="3">
        <v>50</v>
      </c>
      <c r="G25" s="4">
        <v>45106</v>
      </c>
      <c r="I25" s="1">
        <v>1400</v>
      </c>
      <c r="J25" s="1">
        <v>1400</v>
      </c>
    </row>
    <row r="26" spans="1:18" x14ac:dyDescent="0.2">
      <c r="C26" s="2" t="s">
        <v>18</v>
      </c>
      <c r="D26" s="2" t="s">
        <v>877</v>
      </c>
      <c r="E26" s="3">
        <v>85</v>
      </c>
      <c r="F26" s="3">
        <v>6</v>
      </c>
      <c r="G26" s="4">
        <v>44417</v>
      </c>
    </row>
    <row r="27" spans="1:18" x14ac:dyDescent="0.2">
      <c r="C27" s="2" t="s">
        <v>7</v>
      </c>
      <c r="D27" s="2" t="s">
        <v>877</v>
      </c>
      <c r="E27" s="3">
        <v>35</v>
      </c>
      <c r="F27" s="3">
        <f>25/6</f>
        <v>4.166666666666667</v>
      </c>
      <c r="G27" s="4">
        <v>44293</v>
      </c>
    </row>
    <row r="28" spans="1:18" x14ac:dyDescent="0.2">
      <c r="C28" s="2" t="s">
        <v>5</v>
      </c>
      <c r="D28" s="2" t="s">
        <v>877</v>
      </c>
      <c r="E28" s="3">
        <v>12</v>
      </c>
      <c r="F28" s="3">
        <v>3</v>
      </c>
      <c r="G28" s="4">
        <v>44026</v>
      </c>
    </row>
    <row r="29" spans="1:18" x14ac:dyDescent="0.2">
      <c r="C29" s="2" t="s">
        <v>4</v>
      </c>
      <c r="D29" s="2" t="s">
        <v>877</v>
      </c>
      <c r="E29" s="3">
        <v>3.3</v>
      </c>
      <c r="F29" s="3">
        <v>1</v>
      </c>
      <c r="G29" s="4">
        <v>44026</v>
      </c>
    </row>
    <row r="30" spans="1:18" x14ac:dyDescent="0.2">
      <c r="C30" s="2" t="s">
        <v>7</v>
      </c>
      <c r="D30" s="2" t="s">
        <v>1125</v>
      </c>
      <c r="E30" s="3">
        <v>2500</v>
      </c>
      <c r="F30" s="3">
        <v>500</v>
      </c>
      <c r="G30" s="4">
        <v>44363</v>
      </c>
    </row>
    <row r="31" spans="1:18" x14ac:dyDescent="0.2">
      <c r="C31" s="2" t="s">
        <v>5</v>
      </c>
      <c r="D31" s="2" t="s">
        <v>1125</v>
      </c>
      <c r="E31" s="3">
        <v>3000</v>
      </c>
      <c r="F31" s="3">
        <f>800/4</f>
        <v>200</v>
      </c>
      <c r="G31" s="4">
        <v>43892</v>
      </c>
      <c r="H31" s="4"/>
    </row>
    <row r="32" spans="1:18" x14ac:dyDescent="0.2">
      <c r="C32" s="2" t="s">
        <v>5</v>
      </c>
      <c r="D32" s="2" t="s">
        <v>1063</v>
      </c>
      <c r="E32" s="3">
        <v>65</v>
      </c>
      <c r="F32" s="3">
        <v>10</v>
      </c>
      <c r="G32" s="4">
        <v>44984</v>
      </c>
      <c r="H32" s="4"/>
    </row>
    <row r="33" spans="3:9" x14ac:dyDescent="0.2">
      <c r="C33" s="2" t="s">
        <v>5</v>
      </c>
      <c r="D33" s="2" t="s">
        <v>994</v>
      </c>
      <c r="E33" s="3">
        <v>23</v>
      </c>
      <c r="F33" s="3">
        <v>13</v>
      </c>
      <c r="G33" s="4">
        <v>44963</v>
      </c>
      <c r="H33" s="4"/>
    </row>
    <row r="34" spans="3:9" x14ac:dyDescent="0.2">
      <c r="C34" s="2" t="s">
        <v>4</v>
      </c>
      <c r="D34" s="2" t="s">
        <v>690</v>
      </c>
      <c r="E34" s="3">
        <v>30</v>
      </c>
      <c r="F34" s="3">
        <v>15</v>
      </c>
      <c r="G34" s="4">
        <v>44742</v>
      </c>
      <c r="H34" s="4"/>
    </row>
    <row r="35" spans="3:9" x14ac:dyDescent="0.2">
      <c r="C35" s="2" t="s">
        <v>7</v>
      </c>
      <c r="D35" s="2" t="s">
        <v>871</v>
      </c>
      <c r="E35" s="3">
        <v>30</v>
      </c>
      <c r="F35" s="3">
        <v>10</v>
      </c>
      <c r="G35" s="4">
        <v>44510</v>
      </c>
      <c r="H35" s="4"/>
    </row>
    <row r="36" spans="3:9" x14ac:dyDescent="0.2">
      <c r="C36" s="2" t="s">
        <v>278</v>
      </c>
      <c r="D36" s="2" t="s">
        <v>776</v>
      </c>
      <c r="E36" s="3">
        <v>4.5</v>
      </c>
      <c r="F36" s="3">
        <v>1.5</v>
      </c>
      <c r="G36" s="4">
        <v>44691</v>
      </c>
      <c r="H36" s="4"/>
    </row>
    <row r="37" spans="3:9" x14ac:dyDescent="0.2">
      <c r="C37" s="2" t="s">
        <v>18</v>
      </c>
      <c r="D37" s="2" t="s">
        <v>403</v>
      </c>
      <c r="E37" s="3">
        <v>90</v>
      </c>
      <c r="F37" s="3">
        <v>15</v>
      </c>
      <c r="G37" s="4">
        <v>45090</v>
      </c>
      <c r="H37" s="4"/>
    </row>
    <row r="38" spans="3:9" x14ac:dyDescent="0.2">
      <c r="C38" s="2" t="s">
        <v>7</v>
      </c>
      <c r="D38" s="2" t="s">
        <v>403</v>
      </c>
      <c r="E38" s="3">
        <v>50</v>
      </c>
      <c r="F38" s="3">
        <v>5</v>
      </c>
      <c r="G38" s="4">
        <v>44538</v>
      </c>
      <c r="H38" s="4"/>
    </row>
    <row r="39" spans="3:9" x14ac:dyDescent="0.2">
      <c r="C39" s="2" t="s">
        <v>7</v>
      </c>
      <c r="D39" s="2" t="s">
        <v>318</v>
      </c>
      <c r="E39" s="3">
        <v>55</v>
      </c>
      <c r="F39" s="3">
        <v>5</v>
      </c>
      <c r="G39" s="4">
        <v>44200</v>
      </c>
      <c r="H39" s="4"/>
    </row>
    <row r="40" spans="3:9" x14ac:dyDescent="0.2">
      <c r="C40" s="2" t="s">
        <v>18</v>
      </c>
      <c r="D40" s="2" t="s">
        <v>318</v>
      </c>
      <c r="E40" s="3">
        <v>91</v>
      </c>
      <c r="F40" s="3">
        <v>8.75</v>
      </c>
      <c r="G40" s="4">
        <v>44867</v>
      </c>
      <c r="H40" s="4"/>
    </row>
    <row r="41" spans="3:9" x14ac:dyDescent="0.2">
      <c r="C41" s="2" t="s">
        <v>18</v>
      </c>
      <c r="D41" s="2" t="s">
        <v>1056</v>
      </c>
      <c r="E41" s="3">
        <v>40</v>
      </c>
      <c r="F41" s="3">
        <f>20/3</f>
        <v>6.666666666666667</v>
      </c>
      <c r="G41" s="4">
        <v>44599</v>
      </c>
      <c r="H41" s="4"/>
    </row>
    <row r="42" spans="3:9" x14ac:dyDescent="0.2">
      <c r="C42" s="2" t="s">
        <v>8</v>
      </c>
      <c r="D42" s="2" t="s">
        <v>253</v>
      </c>
      <c r="E42" s="3">
        <v>600</v>
      </c>
      <c r="F42" s="3">
        <f>500/8</f>
        <v>62.5</v>
      </c>
      <c r="G42" s="4">
        <v>44502</v>
      </c>
      <c r="H42" s="4"/>
    </row>
    <row r="43" spans="3:9" x14ac:dyDescent="0.2">
      <c r="C43" s="2" t="s">
        <v>8</v>
      </c>
      <c r="D43" s="2" t="s">
        <v>208</v>
      </c>
      <c r="E43" s="3">
        <v>676</v>
      </c>
      <c r="F43" s="3">
        <f>500/7</f>
        <v>71.428571428571431</v>
      </c>
      <c r="G43" s="4">
        <v>44299</v>
      </c>
      <c r="H43" s="4"/>
      <c r="I43" s="1">
        <v>4400</v>
      </c>
    </row>
    <row r="44" spans="3:9" x14ac:dyDescent="0.2">
      <c r="C44" s="2" t="s">
        <v>18</v>
      </c>
      <c r="D44" s="2" t="s">
        <v>208</v>
      </c>
      <c r="E44" s="3">
        <v>250</v>
      </c>
      <c r="F44" s="3">
        <f>170/5</f>
        <v>34</v>
      </c>
      <c r="G44" s="4">
        <v>43886</v>
      </c>
      <c r="H44" s="4"/>
      <c r="I44" s="1">
        <v>2300</v>
      </c>
    </row>
    <row r="45" spans="3:9" x14ac:dyDescent="0.2">
      <c r="C45" s="2" t="s">
        <v>7</v>
      </c>
      <c r="D45" s="2" t="s">
        <v>208</v>
      </c>
      <c r="E45" s="3">
        <v>150</v>
      </c>
      <c r="F45" s="3">
        <v>20</v>
      </c>
      <c r="G45" s="4">
        <v>43556</v>
      </c>
      <c r="H45" s="4"/>
    </row>
    <row r="46" spans="3:9" x14ac:dyDescent="0.2">
      <c r="C46" s="2" t="s">
        <v>9</v>
      </c>
      <c r="D46" s="2" t="s">
        <v>154</v>
      </c>
      <c r="E46" s="3">
        <v>400</v>
      </c>
      <c r="F46" s="3">
        <v>36</v>
      </c>
      <c r="G46" s="4">
        <v>44413</v>
      </c>
      <c r="H46" s="4"/>
      <c r="I46" s="1">
        <v>4200</v>
      </c>
    </row>
    <row r="47" spans="3:9" x14ac:dyDescent="0.2">
      <c r="C47" s="2" t="s">
        <v>8</v>
      </c>
      <c r="D47" s="2" t="s">
        <v>154</v>
      </c>
      <c r="E47" s="3">
        <v>100</v>
      </c>
      <c r="F47" s="3">
        <f>75/6</f>
        <v>12.5</v>
      </c>
      <c r="G47" s="4">
        <v>44067</v>
      </c>
      <c r="H47" s="4"/>
    </row>
    <row r="48" spans="3:9" x14ac:dyDescent="0.2">
      <c r="C48" s="2" t="s">
        <v>7</v>
      </c>
      <c r="D48" s="2" t="s">
        <v>1063</v>
      </c>
      <c r="E48" s="3">
        <v>100</v>
      </c>
      <c r="F48" s="3">
        <v>15</v>
      </c>
      <c r="G48" s="4">
        <v>45106</v>
      </c>
      <c r="H48" s="4"/>
    </row>
    <row r="49" spans="1:18" x14ac:dyDescent="0.2">
      <c r="C49" s="93" t="s">
        <v>18</v>
      </c>
      <c r="D49" s="93" t="s">
        <v>2075</v>
      </c>
      <c r="E49" s="3">
        <v>65</v>
      </c>
      <c r="F49" s="3">
        <v>10</v>
      </c>
      <c r="G49" s="4">
        <v>44644</v>
      </c>
      <c r="H49" s="4"/>
      <c r="I49" s="1">
        <v>500</v>
      </c>
      <c r="J49" s="1">
        <v>500</v>
      </c>
    </row>
    <row r="50" spans="1:18" x14ac:dyDescent="0.2">
      <c r="C50" s="93" t="s">
        <v>7</v>
      </c>
      <c r="D50" s="93" t="s">
        <v>2075</v>
      </c>
      <c r="E50" s="3">
        <v>22</v>
      </c>
      <c r="F50" s="3">
        <v>12</v>
      </c>
      <c r="G50" s="4">
        <v>43944</v>
      </c>
      <c r="H50" s="4"/>
      <c r="J50" s="1">
        <v>500</v>
      </c>
    </row>
    <row r="51" spans="1:18" x14ac:dyDescent="0.2">
      <c r="C51" s="282" t="s">
        <v>7933</v>
      </c>
      <c r="D51" s="282" t="s">
        <v>1006</v>
      </c>
      <c r="E51" s="3">
        <v>684.6</v>
      </c>
      <c r="F51" s="283">
        <f>584.6/21</f>
        <v>27.838095238095239</v>
      </c>
      <c r="G51" s="4">
        <v>45183</v>
      </c>
      <c r="H51" s="4"/>
      <c r="I51" s="1">
        <v>36000</v>
      </c>
      <c r="J51" s="1">
        <v>42500</v>
      </c>
    </row>
    <row r="52" spans="1:18" x14ac:dyDescent="0.2">
      <c r="C52" s="282" t="s">
        <v>504</v>
      </c>
      <c r="D52" s="282" t="s">
        <v>1006</v>
      </c>
      <c r="E52" s="3">
        <v>1000</v>
      </c>
      <c r="F52" s="283">
        <f>900/23</f>
        <v>39.130434782608695</v>
      </c>
      <c r="G52" s="4">
        <v>44228</v>
      </c>
      <c r="H52" s="4"/>
      <c r="I52" s="1">
        <v>27000</v>
      </c>
      <c r="J52" s="1">
        <v>42500</v>
      </c>
    </row>
    <row r="53" spans="1:18" x14ac:dyDescent="0.2">
      <c r="C53" s="282" t="s">
        <v>8</v>
      </c>
      <c r="D53" s="282" t="s">
        <v>3736</v>
      </c>
      <c r="E53" s="3">
        <v>235</v>
      </c>
      <c r="F53" s="283">
        <f>185/8</f>
        <v>23.125</v>
      </c>
      <c r="G53" s="4">
        <v>45161</v>
      </c>
      <c r="H53" s="4"/>
      <c r="I53" s="1">
        <v>4300</v>
      </c>
      <c r="J53" s="1">
        <v>4300</v>
      </c>
    </row>
    <row r="54" spans="1:18" x14ac:dyDescent="0.2">
      <c r="C54" s="282" t="s">
        <v>1</v>
      </c>
      <c r="D54" s="282" t="s">
        <v>964</v>
      </c>
      <c r="E54" s="3">
        <v>500</v>
      </c>
      <c r="F54" s="283">
        <v>500</v>
      </c>
      <c r="G54" s="4">
        <v>45226</v>
      </c>
      <c r="H54" s="4"/>
    </row>
    <row r="55" spans="1:18" x14ac:dyDescent="0.2">
      <c r="G55" s="4"/>
    </row>
    <row r="56" spans="1:18" s="12" customFormat="1" x14ac:dyDescent="0.2">
      <c r="A56" s="12">
        <v>3</v>
      </c>
      <c r="B56" s="12" t="s">
        <v>7407</v>
      </c>
      <c r="C56" s="13" t="s">
        <v>969</v>
      </c>
      <c r="D56" s="13" t="s">
        <v>968</v>
      </c>
      <c r="E56" s="15"/>
      <c r="F56" s="15">
        <f>SUM(F57:F106)</f>
        <v>1223.2732804232808</v>
      </c>
      <c r="G56" s="14">
        <f>G68</f>
        <v>45062</v>
      </c>
      <c r="I56" s="12">
        <v>32400</v>
      </c>
      <c r="J56" s="22">
        <f>+F56/I56</f>
        <v>3.7755348161212371E-2</v>
      </c>
      <c r="K56" s="12">
        <v>2009</v>
      </c>
      <c r="M56" s="13">
        <v>0</v>
      </c>
      <c r="N56" s="15">
        <f>SUM(F64,F68,F72)</f>
        <v>30.5</v>
      </c>
      <c r="O56" s="15">
        <f>SUM(F57,F60,F63,F67,F71,F73,F74)</f>
        <v>322.66666666666669</v>
      </c>
      <c r="P56" s="15">
        <f>SUM(F58,F59,F62,F66,F70,F76)</f>
        <v>357.5</v>
      </c>
      <c r="Q56" s="15">
        <f>SUM(F61,F65,F75)</f>
        <v>45</v>
      </c>
      <c r="R56" s="13">
        <v>0</v>
      </c>
    </row>
    <row r="57" spans="1:18" x14ac:dyDescent="0.2">
      <c r="C57" s="2" t="s">
        <v>5</v>
      </c>
      <c r="D57" s="2" t="s">
        <v>935</v>
      </c>
      <c r="E57" s="3">
        <v>150</v>
      </c>
      <c r="F57" s="3">
        <v>90</v>
      </c>
      <c r="G57" s="4">
        <v>45008</v>
      </c>
      <c r="K57" s="92" t="s">
        <v>5932</v>
      </c>
    </row>
    <row r="58" spans="1:18" x14ac:dyDescent="0.2">
      <c r="C58" s="2" t="s">
        <v>7</v>
      </c>
      <c r="D58" s="2" t="s">
        <v>1086</v>
      </c>
      <c r="E58" s="3">
        <v>100</v>
      </c>
      <c r="F58" s="3">
        <v>85</v>
      </c>
      <c r="G58" s="4">
        <v>45042</v>
      </c>
      <c r="K58" s="92" t="s">
        <v>5933</v>
      </c>
    </row>
    <row r="59" spans="1:18" x14ac:dyDescent="0.2">
      <c r="C59" s="2" t="s">
        <v>7</v>
      </c>
      <c r="D59" s="2" t="s">
        <v>1125</v>
      </c>
      <c r="E59" s="3">
        <v>2500</v>
      </c>
      <c r="F59" s="3">
        <v>182</v>
      </c>
      <c r="G59" s="4">
        <v>44363</v>
      </c>
      <c r="K59" s="92" t="s">
        <v>5934</v>
      </c>
    </row>
    <row r="60" spans="1:18" x14ac:dyDescent="0.2">
      <c r="C60" s="2" t="s">
        <v>5</v>
      </c>
      <c r="D60" s="2" t="s">
        <v>1125</v>
      </c>
      <c r="E60" s="3">
        <v>3000</v>
      </c>
      <c r="F60" s="3">
        <f>800/4</f>
        <v>200</v>
      </c>
      <c r="G60" s="4">
        <v>43892</v>
      </c>
      <c r="K60" s="184" t="s">
        <v>7101</v>
      </c>
    </row>
    <row r="61" spans="1:18" x14ac:dyDescent="0.2">
      <c r="C61" s="2" t="s">
        <v>18</v>
      </c>
      <c r="D61" s="2" t="s">
        <v>1005</v>
      </c>
      <c r="E61" s="3">
        <v>100</v>
      </c>
      <c r="F61" s="3">
        <v>10</v>
      </c>
      <c r="G61" s="4">
        <v>44754</v>
      </c>
      <c r="K61" s="184" t="s">
        <v>7103</v>
      </c>
    </row>
    <row r="62" spans="1:18" x14ac:dyDescent="0.2">
      <c r="C62" s="2" t="s">
        <v>7</v>
      </c>
      <c r="D62" s="2" t="s">
        <v>1005</v>
      </c>
      <c r="E62" s="3">
        <v>35</v>
      </c>
      <c r="F62" s="3">
        <f>E62/2</f>
        <v>17.5</v>
      </c>
      <c r="G62" s="4">
        <v>44172</v>
      </c>
      <c r="K62" s="184" t="s">
        <v>7102</v>
      </c>
    </row>
    <row r="63" spans="1:18" x14ac:dyDescent="0.2">
      <c r="C63" s="2" t="s">
        <v>5</v>
      </c>
      <c r="D63" s="2" t="s">
        <v>1005</v>
      </c>
      <c r="E63" s="3">
        <v>20</v>
      </c>
      <c r="F63" s="3">
        <v>8</v>
      </c>
      <c r="G63" s="4">
        <v>43949</v>
      </c>
      <c r="K63" s="250" t="s">
        <v>7526</v>
      </c>
    </row>
    <row r="64" spans="1:18" x14ac:dyDescent="0.2">
      <c r="C64" s="2" t="s">
        <v>4</v>
      </c>
      <c r="D64" s="2" t="s">
        <v>1005</v>
      </c>
      <c r="E64" s="3">
        <v>5</v>
      </c>
      <c r="F64" s="3">
        <v>1</v>
      </c>
      <c r="G64" s="4">
        <v>43438</v>
      </c>
      <c r="L64" s="250" t="s">
        <v>7513</v>
      </c>
      <c r="M64" s="1"/>
      <c r="N64" s="1"/>
      <c r="O64" s="250" t="s">
        <v>7519</v>
      </c>
    </row>
    <row r="65" spans="3:15" x14ac:dyDescent="0.2">
      <c r="C65" s="2" t="s">
        <v>1116</v>
      </c>
      <c r="D65" s="2" t="s">
        <v>832</v>
      </c>
      <c r="E65" s="3">
        <v>100</v>
      </c>
      <c r="F65" s="3">
        <v>30</v>
      </c>
      <c r="G65" s="4">
        <v>44537</v>
      </c>
      <c r="L65" s="250" t="s">
        <v>7514</v>
      </c>
      <c r="M65" s="1"/>
      <c r="N65" s="1"/>
      <c r="O65" s="250" t="s">
        <v>7520</v>
      </c>
    </row>
    <row r="66" spans="3:15" x14ac:dyDescent="0.2">
      <c r="C66" s="2" t="s">
        <v>7</v>
      </c>
      <c r="D66" s="2" t="s">
        <v>832</v>
      </c>
      <c r="E66" s="3">
        <v>40</v>
      </c>
      <c r="F66" s="3">
        <v>8</v>
      </c>
      <c r="G66" s="4">
        <v>44125</v>
      </c>
      <c r="L66" s="250" t="s">
        <v>7515</v>
      </c>
      <c r="M66" s="1"/>
      <c r="N66" s="1"/>
      <c r="O66" s="250" t="s">
        <v>7521</v>
      </c>
    </row>
    <row r="67" spans="3:15" x14ac:dyDescent="0.2">
      <c r="C67" s="2" t="s">
        <v>5</v>
      </c>
      <c r="D67" s="2" t="s">
        <v>832</v>
      </c>
      <c r="E67" s="3">
        <v>20</v>
      </c>
      <c r="F67" s="3">
        <v>8</v>
      </c>
      <c r="G67" s="4">
        <v>43816</v>
      </c>
      <c r="L67" s="250" t="s">
        <v>7503</v>
      </c>
      <c r="M67" s="1"/>
      <c r="N67" s="1"/>
      <c r="O67" s="250" t="s">
        <v>7522</v>
      </c>
    </row>
    <row r="68" spans="3:15" x14ac:dyDescent="0.2">
      <c r="C68" s="2" t="s">
        <v>4</v>
      </c>
      <c r="D68" s="2" t="s">
        <v>1145</v>
      </c>
      <c r="E68" s="3">
        <v>50</v>
      </c>
      <c r="F68" s="3">
        <v>25</v>
      </c>
      <c r="G68" s="4">
        <v>45062</v>
      </c>
      <c r="L68" s="250" t="s">
        <v>7504</v>
      </c>
      <c r="M68" s="1"/>
      <c r="N68" s="1"/>
      <c r="O68" s="250" t="s">
        <v>7523</v>
      </c>
    </row>
    <row r="69" spans="3:15" x14ac:dyDescent="0.2">
      <c r="C69" s="2" t="s">
        <v>5</v>
      </c>
      <c r="D69" s="2" t="s">
        <v>1144</v>
      </c>
      <c r="E69" s="3">
        <v>19</v>
      </c>
      <c r="F69" s="3">
        <v>5</v>
      </c>
      <c r="G69" s="4">
        <v>45097</v>
      </c>
      <c r="I69" s="1">
        <v>100</v>
      </c>
      <c r="J69" s="1">
        <v>100</v>
      </c>
      <c r="L69" s="250" t="s">
        <v>7505</v>
      </c>
      <c r="M69" s="1"/>
      <c r="N69" s="1"/>
      <c r="O69" s="250" t="s">
        <v>7524</v>
      </c>
    </row>
    <row r="70" spans="3:15" x14ac:dyDescent="0.2">
      <c r="C70" s="2" t="s">
        <v>7</v>
      </c>
      <c r="D70" s="2" t="s">
        <v>907</v>
      </c>
      <c r="E70" s="3">
        <v>97.4</v>
      </c>
      <c r="F70" s="3">
        <v>50</v>
      </c>
      <c r="G70" s="4">
        <v>45041</v>
      </c>
      <c r="L70" s="250" t="s">
        <v>7507</v>
      </c>
      <c r="M70" s="1"/>
      <c r="N70" s="1"/>
      <c r="O70" s="250" t="s">
        <v>7525</v>
      </c>
    </row>
    <row r="71" spans="3:15" x14ac:dyDescent="0.2">
      <c r="C71" s="2" t="s">
        <v>5</v>
      </c>
      <c r="D71" s="2" t="s">
        <v>907</v>
      </c>
      <c r="E71" s="3">
        <v>80</v>
      </c>
      <c r="F71" s="3">
        <f>40/6</f>
        <v>6.666666666666667</v>
      </c>
      <c r="G71" s="4">
        <v>44539</v>
      </c>
      <c r="L71" s="250" t="s">
        <v>7502</v>
      </c>
      <c r="M71" s="1"/>
      <c r="N71" s="1"/>
      <c r="O71" s="1"/>
    </row>
    <row r="72" spans="3:15" x14ac:dyDescent="0.2">
      <c r="C72" s="2" t="s">
        <v>4</v>
      </c>
      <c r="D72" s="2" t="s">
        <v>907</v>
      </c>
      <c r="E72" s="3">
        <v>4.5</v>
      </c>
      <c r="F72" s="3">
        <v>4.5</v>
      </c>
      <c r="G72" s="4">
        <v>43395</v>
      </c>
      <c r="L72" s="250" t="s">
        <v>7508</v>
      </c>
      <c r="M72" s="1"/>
      <c r="N72" s="1"/>
      <c r="O72" s="250"/>
    </row>
    <row r="73" spans="3:15" x14ac:dyDescent="0.2">
      <c r="C73" s="2" t="s">
        <v>5</v>
      </c>
      <c r="D73" s="2" t="s">
        <v>697</v>
      </c>
      <c r="E73" s="3">
        <v>5.6</v>
      </c>
      <c r="F73" s="3">
        <v>3</v>
      </c>
      <c r="G73" s="4">
        <v>44292</v>
      </c>
      <c r="L73" s="250" t="s">
        <v>7509</v>
      </c>
      <c r="M73" s="1"/>
      <c r="N73" s="1"/>
      <c r="O73" s="1"/>
    </row>
    <row r="74" spans="3:15" x14ac:dyDescent="0.2">
      <c r="C74" s="2" t="s">
        <v>5</v>
      </c>
      <c r="D74" s="2" t="s">
        <v>1069</v>
      </c>
      <c r="E74" s="3">
        <v>12.5</v>
      </c>
      <c r="F74" s="3">
        <v>7</v>
      </c>
      <c r="G74" s="4">
        <v>44978</v>
      </c>
      <c r="L74" s="250" t="s">
        <v>7506</v>
      </c>
      <c r="M74" s="1"/>
      <c r="N74" s="1"/>
      <c r="O74" s="1"/>
    </row>
    <row r="75" spans="3:15" x14ac:dyDescent="0.2">
      <c r="C75" s="2" t="s">
        <v>18</v>
      </c>
      <c r="D75" s="2" t="s">
        <v>520</v>
      </c>
      <c r="E75" s="3">
        <v>60</v>
      </c>
      <c r="F75" s="3">
        <v>5</v>
      </c>
      <c r="G75" s="4">
        <v>43606</v>
      </c>
      <c r="L75" s="250" t="s">
        <v>7510</v>
      </c>
      <c r="M75" s="1"/>
      <c r="N75" s="1"/>
      <c r="O75" s="1"/>
    </row>
    <row r="76" spans="3:15" x14ac:dyDescent="0.2">
      <c r="C76" s="2" t="s">
        <v>7</v>
      </c>
      <c r="D76" s="2" t="s">
        <v>520</v>
      </c>
      <c r="E76" s="3">
        <v>30</v>
      </c>
      <c r="F76" s="3">
        <v>15</v>
      </c>
      <c r="G76" s="4">
        <v>43396</v>
      </c>
      <c r="L76" s="250" t="s">
        <v>7511</v>
      </c>
      <c r="M76" s="1"/>
      <c r="N76" s="1"/>
      <c r="O76" s="1"/>
    </row>
    <row r="77" spans="3:15" x14ac:dyDescent="0.2">
      <c r="C77" s="2" t="s">
        <v>5</v>
      </c>
      <c r="D77" s="2" t="s">
        <v>289</v>
      </c>
      <c r="E77" s="3">
        <v>30</v>
      </c>
      <c r="F77" s="3">
        <v>4</v>
      </c>
      <c r="G77" s="4">
        <v>44474</v>
      </c>
      <c r="L77" s="250" t="s">
        <v>7512</v>
      </c>
      <c r="M77" s="1"/>
      <c r="N77" s="1"/>
      <c r="O77" s="1"/>
    </row>
    <row r="78" spans="3:15" x14ac:dyDescent="0.2">
      <c r="C78" s="2" t="s">
        <v>4</v>
      </c>
      <c r="D78" s="2" t="s">
        <v>289</v>
      </c>
      <c r="E78" s="3">
        <v>15</v>
      </c>
      <c r="F78" s="3">
        <f>10/4</f>
        <v>2.5</v>
      </c>
      <c r="G78" s="4">
        <v>43775</v>
      </c>
      <c r="L78" s="250" t="s">
        <v>7516</v>
      </c>
      <c r="M78" s="1"/>
      <c r="N78" s="1"/>
      <c r="O78" s="1"/>
    </row>
    <row r="79" spans="3:15" x14ac:dyDescent="0.2">
      <c r="C79" s="2" t="s">
        <v>9</v>
      </c>
      <c r="D79" s="2" t="s">
        <v>39</v>
      </c>
      <c r="E79" s="3">
        <v>230</v>
      </c>
      <c r="F79" s="3">
        <v>24</v>
      </c>
      <c r="G79" s="4">
        <v>44984</v>
      </c>
      <c r="I79" s="1">
        <v>2000</v>
      </c>
      <c r="J79" s="1">
        <v>2000</v>
      </c>
      <c r="L79" s="250" t="s">
        <v>7517</v>
      </c>
      <c r="M79" s="1"/>
      <c r="N79" s="1"/>
      <c r="O79" s="1"/>
    </row>
    <row r="80" spans="3:15" x14ac:dyDescent="0.2">
      <c r="C80" s="2" t="s">
        <v>8</v>
      </c>
      <c r="D80" s="2" t="s">
        <v>39</v>
      </c>
      <c r="E80" s="3">
        <v>170</v>
      </c>
      <c r="F80" s="3">
        <v>60</v>
      </c>
      <c r="G80" s="4">
        <v>44255</v>
      </c>
      <c r="I80" s="1">
        <v>830</v>
      </c>
      <c r="J80" s="1">
        <v>2000</v>
      </c>
      <c r="L80" s="250" t="s">
        <v>7518</v>
      </c>
      <c r="M80" s="1"/>
      <c r="N80" s="1"/>
      <c r="O80" s="1"/>
    </row>
    <row r="81" spans="3:12" x14ac:dyDescent="0.2">
      <c r="C81" s="2" t="s">
        <v>7</v>
      </c>
      <c r="D81" s="2" t="s">
        <v>39</v>
      </c>
      <c r="E81" s="3">
        <v>42</v>
      </c>
      <c r="F81" s="3">
        <f>22/3</f>
        <v>7.333333333333333</v>
      </c>
      <c r="G81" s="4">
        <v>43144</v>
      </c>
      <c r="J81" s="1">
        <v>2000</v>
      </c>
    </row>
    <row r="82" spans="3:12" x14ac:dyDescent="0.2">
      <c r="C82" s="2" t="s">
        <v>5</v>
      </c>
      <c r="D82" s="2" t="s">
        <v>39</v>
      </c>
      <c r="E82" s="3">
        <v>25</v>
      </c>
      <c r="F82" s="3">
        <v>15</v>
      </c>
      <c r="G82" s="4">
        <v>42374</v>
      </c>
      <c r="J82" s="1">
        <v>2000</v>
      </c>
      <c r="L82" s="250" t="s">
        <v>7531</v>
      </c>
    </row>
    <row r="83" spans="3:12" x14ac:dyDescent="0.2">
      <c r="C83" s="2" t="s">
        <v>4</v>
      </c>
      <c r="D83" s="2" t="s">
        <v>39</v>
      </c>
      <c r="E83" s="3">
        <v>3</v>
      </c>
      <c r="F83" s="3">
        <v>2</v>
      </c>
      <c r="G83" s="4">
        <v>42019</v>
      </c>
      <c r="J83" s="1">
        <v>2000</v>
      </c>
      <c r="L83" s="250" t="s">
        <v>7530</v>
      </c>
    </row>
    <row r="84" spans="3:12" x14ac:dyDescent="0.2">
      <c r="C84" s="2" t="s">
        <v>9</v>
      </c>
      <c r="D84" s="2" t="s">
        <v>3</v>
      </c>
      <c r="E84" s="3">
        <v>90</v>
      </c>
      <c r="F84" s="3">
        <v>10</v>
      </c>
      <c r="G84" s="4">
        <v>44721</v>
      </c>
      <c r="I84" s="1">
        <v>2200</v>
      </c>
      <c r="J84" s="1">
        <v>2200</v>
      </c>
      <c r="L84" s="250" t="s">
        <v>7529</v>
      </c>
    </row>
    <row r="85" spans="3:12" x14ac:dyDescent="0.2">
      <c r="C85" s="2" t="s">
        <v>8</v>
      </c>
      <c r="D85" s="2" t="s">
        <v>3</v>
      </c>
      <c r="E85" s="3">
        <v>210</v>
      </c>
      <c r="F85" s="3">
        <v>33.333333333333336</v>
      </c>
      <c r="G85" s="4">
        <v>44432</v>
      </c>
      <c r="I85" s="1">
        <v>1000</v>
      </c>
      <c r="J85" s="1">
        <v>2200</v>
      </c>
      <c r="L85" s="250" t="s">
        <v>7528</v>
      </c>
    </row>
    <row r="86" spans="3:12" x14ac:dyDescent="0.2">
      <c r="C86" s="2" t="s">
        <v>7</v>
      </c>
      <c r="D86" s="2" t="s">
        <v>3</v>
      </c>
      <c r="E86" s="3">
        <v>25</v>
      </c>
      <c r="F86" s="3">
        <v>4</v>
      </c>
      <c r="G86" s="4">
        <v>43697</v>
      </c>
      <c r="J86" s="1">
        <v>2200</v>
      </c>
      <c r="L86" s="250" t="s">
        <v>7527</v>
      </c>
    </row>
    <row r="87" spans="3:12" x14ac:dyDescent="0.2">
      <c r="C87" s="2" t="s">
        <v>5</v>
      </c>
      <c r="D87" s="2" t="s">
        <v>3</v>
      </c>
      <c r="E87" s="3">
        <v>10</v>
      </c>
      <c r="F87" s="3">
        <v>2.5</v>
      </c>
      <c r="G87" s="4">
        <v>43456</v>
      </c>
      <c r="J87" s="1">
        <v>2200</v>
      </c>
    </row>
    <row r="88" spans="3:12" x14ac:dyDescent="0.2">
      <c r="C88" s="2" t="s">
        <v>5</v>
      </c>
      <c r="D88" s="2" t="s">
        <v>3</v>
      </c>
      <c r="E88" s="3">
        <v>10.5</v>
      </c>
      <c r="F88" s="3">
        <v>4.5</v>
      </c>
      <c r="G88" s="4">
        <v>42828</v>
      </c>
      <c r="J88" s="1">
        <v>2200</v>
      </c>
    </row>
    <row r="89" spans="3:12" x14ac:dyDescent="0.2">
      <c r="C89" s="2" t="s">
        <v>1</v>
      </c>
      <c r="D89" s="2" t="s">
        <v>0</v>
      </c>
      <c r="E89" s="3">
        <v>300</v>
      </c>
      <c r="F89" s="3">
        <v>50</v>
      </c>
      <c r="G89" s="4">
        <v>45044</v>
      </c>
      <c r="I89" s="1">
        <v>28700</v>
      </c>
      <c r="J89" s="1">
        <v>28700</v>
      </c>
    </row>
    <row r="90" spans="3:12" x14ac:dyDescent="0.2">
      <c r="C90" s="52" t="s">
        <v>8</v>
      </c>
      <c r="D90" s="52" t="s">
        <v>2119</v>
      </c>
      <c r="E90" s="3">
        <v>175</v>
      </c>
      <c r="F90" s="3">
        <f>75/4</f>
        <v>18.75</v>
      </c>
      <c r="G90" s="4">
        <v>44511</v>
      </c>
      <c r="I90" s="1">
        <v>3400</v>
      </c>
      <c r="J90" s="1">
        <v>3400</v>
      </c>
    </row>
    <row r="91" spans="3:12" x14ac:dyDescent="0.2">
      <c r="C91" s="52" t="s">
        <v>18</v>
      </c>
      <c r="D91" s="52" t="s">
        <v>2119</v>
      </c>
      <c r="E91" s="3">
        <v>125</v>
      </c>
      <c r="F91" s="3">
        <v>35</v>
      </c>
      <c r="G91" s="4">
        <v>44126</v>
      </c>
      <c r="I91" s="1">
        <v>1100</v>
      </c>
      <c r="J91" s="1">
        <v>3400</v>
      </c>
    </row>
    <row r="92" spans="3:12" x14ac:dyDescent="0.2">
      <c r="C92" s="52" t="s">
        <v>7</v>
      </c>
      <c r="D92" s="52" t="s">
        <v>2119</v>
      </c>
      <c r="E92" s="3">
        <v>40</v>
      </c>
      <c r="F92" s="3">
        <v>3</v>
      </c>
      <c r="G92" s="4">
        <v>43720</v>
      </c>
      <c r="J92" s="1">
        <v>3400</v>
      </c>
    </row>
    <row r="93" spans="3:12" x14ac:dyDescent="0.2">
      <c r="C93" s="52" t="s">
        <v>5</v>
      </c>
      <c r="D93" s="52" t="s">
        <v>2119</v>
      </c>
      <c r="E93" s="3">
        <v>11.5</v>
      </c>
      <c r="F93" s="3">
        <v>3</v>
      </c>
      <c r="G93" s="4">
        <v>43355</v>
      </c>
      <c r="J93" s="1">
        <v>3400</v>
      </c>
    </row>
    <row r="94" spans="3:12" x14ac:dyDescent="0.2">
      <c r="C94" s="55" t="s">
        <v>8</v>
      </c>
      <c r="D94" s="55" t="s">
        <v>2112</v>
      </c>
      <c r="E94" s="3">
        <v>110</v>
      </c>
      <c r="F94" s="3">
        <f>70/4</f>
        <v>17.5</v>
      </c>
      <c r="G94" s="4">
        <v>44567</v>
      </c>
      <c r="I94" s="1">
        <v>790</v>
      </c>
      <c r="J94" s="1">
        <v>790</v>
      </c>
    </row>
    <row r="95" spans="3:12" x14ac:dyDescent="0.2">
      <c r="C95" s="55" t="s">
        <v>18</v>
      </c>
      <c r="D95" s="55" t="s">
        <v>2112</v>
      </c>
      <c r="E95" s="3">
        <v>40</v>
      </c>
      <c r="F95" s="3">
        <v>5</v>
      </c>
      <c r="G95" s="4">
        <v>44238</v>
      </c>
      <c r="J95" s="1">
        <v>790</v>
      </c>
    </row>
    <row r="96" spans="3:12" x14ac:dyDescent="0.2">
      <c r="C96" s="55" t="s">
        <v>7</v>
      </c>
      <c r="D96" s="55" t="s">
        <v>2112</v>
      </c>
      <c r="E96" s="3">
        <v>25</v>
      </c>
      <c r="F96" s="3">
        <v>10</v>
      </c>
      <c r="G96" s="4">
        <v>43865</v>
      </c>
      <c r="J96" s="1">
        <v>790</v>
      </c>
    </row>
    <row r="97" spans="1:18" x14ac:dyDescent="0.2">
      <c r="C97" s="93" t="s">
        <v>18</v>
      </c>
      <c r="D97" s="93" t="s">
        <v>2093</v>
      </c>
      <c r="E97" s="3">
        <v>80</v>
      </c>
      <c r="F97" s="3">
        <v>7</v>
      </c>
      <c r="G97" s="4">
        <v>44637</v>
      </c>
      <c r="I97" s="1">
        <v>1500</v>
      </c>
      <c r="J97" s="1">
        <v>1500</v>
      </c>
    </row>
    <row r="98" spans="1:18" x14ac:dyDescent="0.2">
      <c r="C98" s="93" t="s">
        <v>7</v>
      </c>
      <c r="D98" s="93" t="s">
        <v>2093</v>
      </c>
      <c r="E98" s="3">
        <v>50</v>
      </c>
      <c r="F98" s="3">
        <f>35/4</f>
        <v>8.75</v>
      </c>
      <c r="G98" s="4">
        <v>44286</v>
      </c>
      <c r="J98" s="1">
        <v>1500</v>
      </c>
    </row>
    <row r="99" spans="1:18" x14ac:dyDescent="0.2">
      <c r="C99" s="93" t="s">
        <v>5</v>
      </c>
      <c r="D99" s="93" t="s">
        <v>2093</v>
      </c>
      <c r="E99" s="3">
        <v>15</v>
      </c>
      <c r="F99" s="3">
        <f>E99/4</f>
        <v>3.75</v>
      </c>
      <c r="G99" s="4">
        <v>43864</v>
      </c>
      <c r="J99" s="1">
        <v>1500</v>
      </c>
    </row>
    <row r="100" spans="1:18" x14ac:dyDescent="0.2">
      <c r="C100" s="93" t="s">
        <v>4</v>
      </c>
      <c r="D100" s="93" t="s">
        <v>2093</v>
      </c>
      <c r="E100" s="3">
        <v>6</v>
      </c>
      <c r="F100" s="3">
        <v>6</v>
      </c>
      <c r="G100" s="4">
        <v>43863</v>
      </c>
      <c r="J100" s="1">
        <v>1500</v>
      </c>
    </row>
    <row r="101" spans="1:18" x14ac:dyDescent="0.2">
      <c r="C101" s="93" t="s">
        <v>7</v>
      </c>
      <c r="D101" s="93" t="s">
        <v>2072</v>
      </c>
      <c r="E101" s="3">
        <v>60</v>
      </c>
      <c r="F101" s="3">
        <v>20</v>
      </c>
      <c r="G101" s="4">
        <v>44278</v>
      </c>
    </row>
    <row r="102" spans="1:18" x14ac:dyDescent="0.2">
      <c r="C102" s="93" t="s">
        <v>5</v>
      </c>
      <c r="D102" s="93" t="s">
        <v>2072</v>
      </c>
      <c r="E102" s="3">
        <v>20</v>
      </c>
      <c r="F102" s="3">
        <v>15</v>
      </c>
      <c r="G102" s="4">
        <v>43992</v>
      </c>
    </row>
    <row r="103" spans="1:18" x14ac:dyDescent="0.2">
      <c r="C103" s="93" t="s">
        <v>4</v>
      </c>
      <c r="D103" s="93" t="s">
        <v>2072</v>
      </c>
      <c r="E103" s="3">
        <v>5</v>
      </c>
      <c r="F103" s="3">
        <v>3</v>
      </c>
      <c r="G103" s="4">
        <v>43466</v>
      </c>
    </row>
    <row r="104" spans="1:18" x14ac:dyDescent="0.2">
      <c r="C104" s="185" t="s">
        <v>4</v>
      </c>
      <c r="D104" s="185" t="s">
        <v>6786</v>
      </c>
      <c r="E104" s="3">
        <v>10</v>
      </c>
      <c r="F104" s="3">
        <v>8</v>
      </c>
      <c r="G104" s="4">
        <v>44866</v>
      </c>
      <c r="I104" s="1">
        <v>65</v>
      </c>
      <c r="J104" s="1">
        <v>350</v>
      </c>
    </row>
    <row r="105" spans="1:18" x14ac:dyDescent="0.2">
      <c r="C105" s="282" t="s">
        <v>7933</v>
      </c>
      <c r="D105" s="282" t="s">
        <v>1006</v>
      </c>
      <c r="E105" s="3">
        <v>684.6</v>
      </c>
      <c r="F105" s="3">
        <f>584.6/21</f>
        <v>27.838095238095239</v>
      </c>
      <c r="G105" s="4">
        <v>45183</v>
      </c>
      <c r="I105" s="1">
        <v>42500</v>
      </c>
      <c r="J105" s="1">
        <v>42500</v>
      </c>
    </row>
    <row r="106" spans="1:18" x14ac:dyDescent="0.2">
      <c r="C106" s="282" t="s">
        <v>2489</v>
      </c>
      <c r="D106" s="282" t="s">
        <v>1006</v>
      </c>
      <c r="E106" s="3">
        <v>1600</v>
      </c>
      <c r="F106" s="3">
        <f>1400/27</f>
        <v>51.851851851851855</v>
      </c>
      <c r="G106" s="4">
        <v>44439</v>
      </c>
      <c r="I106" s="1">
        <v>36400</v>
      </c>
      <c r="J106" s="1">
        <v>42500</v>
      </c>
    </row>
    <row r="107" spans="1:18" x14ac:dyDescent="0.2">
      <c r="C107" s="282" t="s">
        <v>504</v>
      </c>
      <c r="D107" s="282" t="s">
        <v>1006</v>
      </c>
      <c r="E107" s="3">
        <v>1000</v>
      </c>
      <c r="F107" s="3">
        <f>900/23</f>
        <v>39.130434782608695</v>
      </c>
      <c r="G107" s="4">
        <v>44228</v>
      </c>
      <c r="I107" s="1">
        <v>27000</v>
      </c>
      <c r="J107" s="1">
        <v>42500</v>
      </c>
    </row>
    <row r="108" spans="1:18" x14ac:dyDescent="0.2">
      <c r="G108" s="4"/>
    </row>
    <row r="109" spans="1:18" s="12" customFormat="1" x14ac:dyDescent="0.2">
      <c r="A109" s="12">
        <v>4</v>
      </c>
      <c r="B109" s="12" t="s">
        <v>7408</v>
      </c>
      <c r="C109" s="13" t="s">
        <v>969</v>
      </c>
      <c r="D109" s="13" t="s">
        <v>968</v>
      </c>
      <c r="E109" s="15"/>
      <c r="F109" s="15">
        <f>SUM(F110:F142)</f>
        <v>1217.7576113097855</v>
      </c>
      <c r="G109" s="14">
        <f>G140</f>
        <v>45240</v>
      </c>
      <c r="I109" s="12">
        <v>58000</v>
      </c>
      <c r="J109" s="23">
        <f>+F109/I109</f>
        <v>2.0995820884651475E-2</v>
      </c>
      <c r="K109" s="12">
        <v>2001</v>
      </c>
      <c r="M109" s="13">
        <v>0</v>
      </c>
      <c r="N109" s="13">
        <v>0</v>
      </c>
      <c r="O109" s="15">
        <f>SUM(F113,F120,F121,F123)</f>
        <v>23.333333333333332</v>
      </c>
      <c r="P109" s="15">
        <f>SUM(F112,F115,F118,F119)</f>
        <v>260.81818181818181</v>
      </c>
      <c r="Q109" s="15">
        <f>SUM(F116,F117,F122,F126)</f>
        <v>99.285714285714292</v>
      </c>
      <c r="R109" s="15">
        <f>SUM(F110,F111,F124,F125)</f>
        <v>179</v>
      </c>
    </row>
    <row r="110" spans="1:18" x14ac:dyDescent="0.2">
      <c r="C110" s="2" t="s">
        <v>9</v>
      </c>
      <c r="D110" s="2" t="s">
        <v>803</v>
      </c>
      <c r="E110" s="3">
        <v>325</v>
      </c>
      <c r="F110" s="3">
        <v>65</v>
      </c>
      <c r="G110" s="4">
        <v>44299</v>
      </c>
    </row>
    <row r="111" spans="1:18" x14ac:dyDescent="0.2">
      <c r="B111" s="250" t="s">
        <v>7532</v>
      </c>
      <c r="C111" s="2" t="s">
        <v>8</v>
      </c>
      <c r="D111" s="2" t="s">
        <v>803</v>
      </c>
      <c r="E111" s="3">
        <v>155</v>
      </c>
      <c r="F111" s="3">
        <v>50</v>
      </c>
      <c r="G111" s="4">
        <v>44166</v>
      </c>
    </row>
    <row r="112" spans="1:18" x14ac:dyDescent="0.2">
      <c r="C112" s="2" t="s">
        <v>7</v>
      </c>
      <c r="D112" s="2" t="s">
        <v>952</v>
      </c>
      <c r="E112" s="3">
        <v>130</v>
      </c>
      <c r="F112" s="3">
        <v>60</v>
      </c>
      <c r="G112" s="4">
        <v>44607</v>
      </c>
      <c r="I112" s="92" t="s">
        <v>5939</v>
      </c>
      <c r="K112" s="1">
        <v>12700</v>
      </c>
      <c r="M112" s="92" t="s">
        <v>5931</v>
      </c>
    </row>
    <row r="113" spans="3:13" x14ac:dyDescent="0.2">
      <c r="C113" s="2" t="s">
        <v>5</v>
      </c>
      <c r="D113" s="2" t="s">
        <v>1086</v>
      </c>
      <c r="E113" s="3">
        <v>28</v>
      </c>
      <c r="F113" s="3">
        <v>6</v>
      </c>
      <c r="G113" s="4">
        <v>44649</v>
      </c>
      <c r="I113" s="92" t="s">
        <v>5942</v>
      </c>
      <c r="K113" s="1">
        <v>6700</v>
      </c>
      <c r="M113" s="250" t="s">
        <v>7543</v>
      </c>
    </row>
    <row r="114" spans="3:13" x14ac:dyDescent="0.2">
      <c r="C114" s="2" t="s">
        <v>18</v>
      </c>
      <c r="D114" s="2" t="s">
        <v>1064</v>
      </c>
      <c r="E114" s="3">
        <v>85</v>
      </c>
      <c r="F114" s="3">
        <v>55</v>
      </c>
      <c r="G114" s="4">
        <v>44501</v>
      </c>
      <c r="I114" s="92" t="s">
        <v>5938</v>
      </c>
      <c r="K114" s="1">
        <v>3750</v>
      </c>
      <c r="M114" s="252" t="s">
        <v>7627</v>
      </c>
    </row>
    <row r="115" spans="3:13" x14ac:dyDescent="0.2">
      <c r="C115" s="2" t="s">
        <v>7</v>
      </c>
      <c r="D115" s="2" t="s">
        <v>1125</v>
      </c>
      <c r="E115" s="3">
        <v>2500</v>
      </c>
      <c r="F115" s="3">
        <f>2000/11</f>
        <v>181.81818181818181</v>
      </c>
      <c r="G115" s="4">
        <v>44363</v>
      </c>
      <c r="I115" s="92" t="s">
        <v>5937</v>
      </c>
      <c r="J115" s="105">
        <v>0.09</v>
      </c>
      <c r="K115" s="1">
        <v>5000</v>
      </c>
    </row>
    <row r="116" spans="3:13" x14ac:dyDescent="0.2">
      <c r="C116" s="2" t="s">
        <v>18</v>
      </c>
      <c r="D116" s="2" t="s">
        <v>1005</v>
      </c>
      <c r="E116" s="3">
        <v>100</v>
      </c>
      <c r="F116" s="3">
        <v>10</v>
      </c>
      <c r="G116" s="4">
        <v>44754</v>
      </c>
      <c r="I116" s="92" t="s">
        <v>5940</v>
      </c>
      <c r="J116" s="19">
        <v>0.13</v>
      </c>
    </row>
    <row r="117" spans="3:13" x14ac:dyDescent="0.2">
      <c r="C117" s="2" t="s">
        <v>18</v>
      </c>
      <c r="D117" s="2" t="s">
        <v>798</v>
      </c>
      <c r="E117" s="3">
        <v>50</v>
      </c>
      <c r="F117" s="3">
        <v>25</v>
      </c>
      <c r="G117" s="4">
        <v>44496</v>
      </c>
      <c r="I117" s="92" t="s">
        <v>5941</v>
      </c>
      <c r="J117" s="19">
        <v>0.35</v>
      </c>
    </row>
    <row r="118" spans="3:13" x14ac:dyDescent="0.2">
      <c r="C118" s="2" t="s">
        <v>7</v>
      </c>
      <c r="D118" s="2" t="s">
        <v>864</v>
      </c>
      <c r="E118" s="3">
        <v>50</v>
      </c>
      <c r="F118" s="3">
        <v>7</v>
      </c>
      <c r="G118" s="4">
        <v>44628</v>
      </c>
      <c r="I118" s="92" t="s">
        <v>5943</v>
      </c>
    </row>
    <row r="119" spans="3:13" x14ac:dyDescent="0.2">
      <c r="C119" s="2" t="s">
        <v>7</v>
      </c>
      <c r="D119" s="2" t="s">
        <v>1008</v>
      </c>
      <c r="E119" s="3">
        <v>30</v>
      </c>
      <c r="F119" s="3">
        <v>12</v>
      </c>
      <c r="G119" s="4">
        <v>44539</v>
      </c>
    </row>
    <row r="120" spans="3:13" x14ac:dyDescent="0.2">
      <c r="C120" s="2" t="s">
        <v>5</v>
      </c>
      <c r="D120" s="2" t="s">
        <v>986</v>
      </c>
      <c r="E120" s="3">
        <v>25</v>
      </c>
      <c r="F120" s="3">
        <v>10</v>
      </c>
      <c r="G120" s="4">
        <v>44615</v>
      </c>
    </row>
    <row r="121" spans="3:13" x14ac:dyDescent="0.2">
      <c r="C121" s="2" t="s">
        <v>5</v>
      </c>
      <c r="D121" s="2" t="s">
        <v>669</v>
      </c>
      <c r="E121" s="3">
        <v>14</v>
      </c>
      <c r="F121" s="3">
        <v>5</v>
      </c>
      <c r="G121" s="4">
        <v>44705</v>
      </c>
    </row>
    <row r="122" spans="3:13" x14ac:dyDescent="0.2">
      <c r="C122" s="2" t="s">
        <v>18</v>
      </c>
      <c r="D122" s="2" t="s">
        <v>883</v>
      </c>
      <c r="E122" s="3">
        <v>200</v>
      </c>
      <c r="F122" s="3">
        <v>50</v>
      </c>
      <c r="G122" s="4">
        <v>44377</v>
      </c>
    </row>
    <row r="123" spans="3:13" x14ac:dyDescent="0.2">
      <c r="C123" s="2" t="s">
        <v>5</v>
      </c>
      <c r="D123" s="2" t="s">
        <v>719</v>
      </c>
      <c r="E123" s="3">
        <v>11</v>
      </c>
      <c r="F123" s="3">
        <f>7/3</f>
        <v>2.3333333333333335</v>
      </c>
      <c r="G123" s="4">
        <v>44483</v>
      </c>
    </row>
    <row r="124" spans="3:13" x14ac:dyDescent="0.2">
      <c r="C124" s="2" t="s">
        <v>504</v>
      </c>
      <c r="D124" s="2" t="s">
        <v>489</v>
      </c>
      <c r="E124" s="3">
        <v>250</v>
      </c>
      <c r="F124" s="3">
        <v>50</v>
      </c>
      <c r="G124" s="4">
        <v>44376</v>
      </c>
    </row>
    <row r="125" spans="3:13" x14ac:dyDescent="0.2">
      <c r="C125" s="2" t="s">
        <v>9</v>
      </c>
      <c r="D125" s="2" t="s">
        <v>489</v>
      </c>
      <c r="E125" s="3">
        <v>206</v>
      </c>
      <c r="F125" s="3">
        <v>14</v>
      </c>
      <c r="G125" s="4">
        <v>43725</v>
      </c>
    </row>
    <row r="126" spans="3:13" x14ac:dyDescent="0.2">
      <c r="C126" s="2" t="s">
        <v>18</v>
      </c>
      <c r="D126" s="2" t="s">
        <v>374</v>
      </c>
      <c r="E126" s="3">
        <v>130</v>
      </c>
      <c r="F126" s="3">
        <f>100/7</f>
        <v>14.285714285714286</v>
      </c>
      <c r="G126" s="4">
        <v>44323</v>
      </c>
    </row>
    <row r="127" spans="3:13" x14ac:dyDescent="0.2">
      <c r="C127" s="2" t="s">
        <v>5</v>
      </c>
      <c r="D127" s="2" t="s">
        <v>281</v>
      </c>
      <c r="E127" s="3">
        <v>32</v>
      </c>
      <c r="F127" s="3">
        <v>11</v>
      </c>
      <c r="G127" s="4">
        <v>44851</v>
      </c>
    </row>
    <row r="128" spans="3:13" x14ac:dyDescent="0.2">
      <c r="C128" s="2" t="s">
        <v>5</v>
      </c>
      <c r="D128" s="2" t="s">
        <v>281</v>
      </c>
      <c r="E128" s="3">
        <v>26</v>
      </c>
      <c r="F128" s="3">
        <v>13</v>
      </c>
      <c r="G128" s="4">
        <v>44453</v>
      </c>
    </row>
    <row r="129" spans="1:18" x14ac:dyDescent="0.2">
      <c r="C129" s="2" t="s">
        <v>8</v>
      </c>
      <c r="D129" s="2" t="s">
        <v>253</v>
      </c>
      <c r="E129" s="3">
        <v>600</v>
      </c>
      <c r="F129" s="3">
        <v>100</v>
      </c>
      <c r="G129" s="4">
        <v>44502</v>
      </c>
      <c r="I129" s="1">
        <v>8600</v>
      </c>
      <c r="J129" s="1">
        <v>8600</v>
      </c>
    </row>
    <row r="130" spans="1:18" x14ac:dyDescent="0.2">
      <c r="C130" s="2" t="s">
        <v>9</v>
      </c>
      <c r="D130" s="2" t="s">
        <v>154</v>
      </c>
      <c r="E130" s="3">
        <v>400</v>
      </c>
      <c r="F130" s="3">
        <v>80</v>
      </c>
      <c r="G130" s="4">
        <v>44413</v>
      </c>
    </row>
    <row r="131" spans="1:18" x14ac:dyDescent="0.2">
      <c r="C131" s="2" t="s">
        <v>8</v>
      </c>
      <c r="D131" s="2" t="s">
        <v>154</v>
      </c>
      <c r="E131" s="3">
        <v>100</v>
      </c>
      <c r="F131" s="3">
        <f>75/6</f>
        <v>12.5</v>
      </c>
      <c r="G131" s="4">
        <v>44067</v>
      </c>
    </row>
    <row r="132" spans="1:18" x14ac:dyDescent="0.2">
      <c r="C132" s="2" t="s">
        <v>9</v>
      </c>
      <c r="D132" s="2" t="s">
        <v>55</v>
      </c>
      <c r="E132" s="3">
        <v>250</v>
      </c>
      <c r="F132" s="3">
        <f>150/5</f>
        <v>30</v>
      </c>
      <c r="G132" s="4">
        <v>44350</v>
      </c>
      <c r="I132" s="1">
        <v>7000</v>
      </c>
      <c r="J132" s="1">
        <v>7000</v>
      </c>
    </row>
    <row r="133" spans="1:18" x14ac:dyDescent="0.2">
      <c r="C133" s="52" t="s">
        <v>18</v>
      </c>
      <c r="D133" s="52" t="s">
        <v>2121</v>
      </c>
      <c r="E133" s="3">
        <v>300</v>
      </c>
      <c r="F133" s="3">
        <v>50</v>
      </c>
      <c r="G133" s="4">
        <v>44300</v>
      </c>
      <c r="I133" s="1">
        <v>700</v>
      </c>
      <c r="J133" s="1">
        <v>700</v>
      </c>
    </row>
    <row r="134" spans="1:18" x14ac:dyDescent="0.2">
      <c r="C134" s="52" t="s">
        <v>8</v>
      </c>
      <c r="D134" s="52" t="s">
        <v>4897</v>
      </c>
      <c r="E134" s="3">
        <v>83</v>
      </c>
      <c r="F134" s="3">
        <v>15</v>
      </c>
      <c r="G134" s="4">
        <v>44320</v>
      </c>
      <c r="I134" s="1">
        <v>3600</v>
      </c>
      <c r="J134" s="1">
        <v>3600</v>
      </c>
    </row>
    <row r="135" spans="1:18" x14ac:dyDescent="0.2">
      <c r="C135" s="93" t="s">
        <v>18</v>
      </c>
      <c r="D135" s="93" t="s">
        <v>2104</v>
      </c>
      <c r="E135" s="3">
        <v>100</v>
      </c>
      <c r="F135" s="3">
        <v>60</v>
      </c>
      <c r="G135" s="4">
        <v>44397</v>
      </c>
    </row>
    <row r="136" spans="1:18" x14ac:dyDescent="0.2">
      <c r="C136" s="93" t="s">
        <v>18</v>
      </c>
      <c r="D136" s="93" t="s">
        <v>2093</v>
      </c>
      <c r="E136" s="3">
        <v>80</v>
      </c>
      <c r="F136" s="3">
        <v>10</v>
      </c>
      <c r="G136" s="4">
        <v>44637</v>
      </c>
      <c r="I136" s="1">
        <v>1500</v>
      </c>
      <c r="J136" s="1">
        <v>1500</v>
      </c>
    </row>
    <row r="137" spans="1:18" x14ac:dyDescent="0.2">
      <c r="C137" s="93" t="s">
        <v>7</v>
      </c>
      <c r="D137" s="93" t="s">
        <v>5459</v>
      </c>
      <c r="E137" s="3">
        <v>75</v>
      </c>
      <c r="F137" s="3">
        <v>25</v>
      </c>
      <c r="G137" s="4">
        <v>44677</v>
      </c>
    </row>
    <row r="138" spans="1:18" x14ac:dyDescent="0.2">
      <c r="C138" s="93" t="s">
        <v>5935</v>
      </c>
      <c r="D138" s="93" t="s">
        <v>0</v>
      </c>
      <c r="E138" s="3">
        <v>50</v>
      </c>
      <c r="F138" s="3">
        <v>50</v>
      </c>
      <c r="G138" s="104" t="s">
        <v>5936</v>
      </c>
    </row>
    <row r="139" spans="1:18" x14ac:dyDescent="0.2">
      <c r="C139" s="93" t="s">
        <v>18</v>
      </c>
      <c r="D139" s="93" t="s">
        <v>5668</v>
      </c>
      <c r="E139" s="3">
        <v>75</v>
      </c>
      <c r="F139" s="3">
        <v>25</v>
      </c>
      <c r="G139" s="4">
        <v>44627</v>
      </c>
    </row>
    <row r="140" spans="1:18" x14ac:dyDescent="0.2">
      <c r="C140" s="282" t="s">
        <v>7933</v>
      </c>
      <c r="D140" s="282" t="s">
        <v>1006</v>
      </c>
      <c r="E140" s="3">
        <v>684.6</v>
      </c>
      <c r="F140" s="283">
        <f>584.6/21</f>
        <v>27.838095238095239</v>
      </c>
      <c r="G140" s="4">
        <v>45240</v>
      </c>
      <c r="I140" s="1">
        <v>42500</v>
      </c>
      <c r="J140" s="1">
        <v>42500</v>
      </c>
    </row>
    <row r="141" spans="1:18" x14ac:dyDescent="0.2">
      <c r="C141" s="282" t="s">
        <v>2489</v>
      </c>
      <c r="D141" s="282" t="s">
        <v>1006</v>
      </c>
      <c r="E141" s="3">
        <v>1600</v>
      </c>
      <c r="F141" s="3">
        <v>51.851851851851855</v>
      </c>
      <c r="G141" s="4">
        <v>44439</v>
      </c>
      <c r="I141" s="1">
        <v>36400</v>
      </c>
      <c r="J141" s="1">
        <v>42500</v>
      </c>
    </row>
    <row r="142" spans="1:18" x14ac:dyDescent="0.2">
      <c r="C142" s="282" t="s">
        <v>504</v>
      </c>
      <c r="D142" s="282" t="s">
        <v>1006</v>
      </c>
      <c r="E142" s="3">
        <v>1000</v>
      </c>
      <c r="F142" s="3">
        <f>900/23</f>
        <v>39.130434782608695</v>
      </c>
      <c r="G142" s="4">
        <v>44228</v>
      </c>
      <c r="I142" s="1">
        <v>27000</v>
      </c>
      <c r="J142" s="1">
        <v>42500</v>
      </c>
    </row>
    <row r="143" spans="1:18" x14ac:dyDescent="0.2">
      <c r="G143" s="4"/>
    </row>
    <row r="144" spans="1:18" s="12" customFormat="1" x14ac:dyDescent="0.2">
      <c r="A144" s="12">
        <v>5</v>
      </c>
      <c r="B144" s="12" t="s">
        <v>1141</v>
      </c>
      <c r="C144" s="13" t="s">
        <v>969</v>
      </c>
      <c r="D144" s="13" t="s">
        <v>968</v>
      </c>
      <c r="E144" s="15"/>
      <c r="F144" s="15">
        <f>SUM(F145:F153)</f>
        <v>1207.3004684526422</v>
      </c>
      <c r="G144" s="14">
        <f>G148</f>
        <v>44502</v>
      </c>
      <c r="I144" s="13" t="s">
        <v>1</v>
      </c>
      <c r="J144" s="13" t="s">
        <v>1</v>
      </c>
      <c r="K144" s="13" t="s">
        <v>1</v>
      </c>
      <c r="M144" s="13">
        <v>0</v>
      </c>
      <c r="N144" s="13">
        <v>0</v>
      </c>
      <c r="O144" s="15">
        <f>F146</f>
        <v>250</v>
      </c>
      <c r="P144" s="15">
        <f>F145</f>
        <v>181.81818181818181</v>
      </c>
      <c r="Q144" s="13">
        <v>0</v>
      </c>
      <c r="R144" s="15">
        <f>F147</f>
        <v>22</v>
      </c>
    </row>
    <row r="145" spans="1:18" x14ac:dyDescent="0.2">
      <c r="B145" s="250" t="s">
        <v>7557</v>
      </c>
      <c r="C145" s="2" t="s">
        <v>7</v>
      </c>
      <c r="D145" s="2" t="s">
        <v>1125</v>
      </c>
      <c r="E145" s="3">
        <v>2500</v>
      </c>
      <c r="F145" s="3">
        <f>2000/11</f>
        <v>181.81818181818181</v>
      </c>
      <c r="G145" s="4">
        <v>44363</v>
      </c>
      <c r="I145" s="282" t="s">
        <v>7934</v>
      </c>
    </row>
    <row r="146" spans="1:18" x14ac:dyDescent="0.2">
      <c r="B146" s="266" t="s">
        <v>7663</v>
      </c>
      <c r="C146" s="2" t="s">
        <v>5</v>
      </c>
      <c r="D146" s="2" t="s">
        <v>1125</v>
      </c>
      <c r="E146" s="3">
        <v>3000</v>
      </c>
      <c r="F146" s="3">
        <v>250</v>
      </c>
      <c r="G146" s="4">
        <v>43963</v>
      </c>
    </row>
    <row r="147" spans="1:18" x14ac:dyDescent="0.2">
      <c r="C147" s="2" t="s">
        <v>53</v>
      </c>
      <c r="D147" s="2" t="s">
        <v>489</v>
      </c>
      <c r="E147" s="3">
        <v>270</v>
      </c>
      <c r="F147" s="3">
        <v>22</v>
      </c>
      <c r="G147" s="4">
        <v>44152</v>
      </c>
    </row>
    <row r="148" spans="1:18" x14ac:dyDescent="0.2">
      <c r="C148" s="2" t="s">
        <v>8</v>
      </c>
      <c r="D148" s="2" t="s">
        <v>253</v>
      </c>
      <c r="E148" s="3">
        <v>600</v>
      </c>
      <c r="F148" s="3">
        <f>500/8</f>
        <v>62.5</v>
      </c>
      <c r="G148" s="4">
        <v>44502</v>
      </c>
    </row>
    <row r="149" spans="1:18" x14ac:dyDescent="0.2">
      <c r="C149" s="2" t="s">
        <v>18</v>
      </c>
      <c r="D149" s="2" t="s">
        <v>253</v>
      </c>
      <c r="E149" s="3">
        <v>500</v>
      </c>
      <c r="F149" s="3">
        <v>200</v>
      </c>
      <c r="G149" s="4">
        <v>44144</v>
      </c>
    </row>
    <row r="150" spans="1:18" x14ac:dyDescent="0.2">
      <c r="C150" s="282" t="s">
        <v>7933</v>
      </c>
      <c r="D150" s="282" t="s">
        <v>1006</v>
      </c>
      <c r="E150" s="3">
        <v>684.6</v>
      </c>
      <c r="F150" s="3">
        <v>100</v>
      </c>
      <c r="G150" s="4">
        <v>45183</v>
      </c>
      <c r="I150" s="1">
        <v>42500</v>
      </c>
      <c r="J150" s="1">
        <v>42500</v>
      </c>
    </row>
    <row r="151" spans="1:18" x14ac:dyDescent="0.2">
      <c r="C151" s="282" t="s">
        <v>2489</v>
      </c>
      <c r="D151" s="282" t="s">
        <v>1006</v>
      </c>
      <c r="E151" s="3">
        <v>1600</v>
      </c>
      <c r="F151" s="3">
        <v>51.851851851851855</v>
      </c>
      <c r="G151" s="4">
        <v>44439</v>
      </c>
      <c r="I151" s="1">
        <v>36400</v>
      </c>
      <c r="J151" s="1">
        <v>42500</v>
      </c>
    </row>
    <row r="152" spans="1:18" x14ac:dyDescent="0.2">
      <c r="C152" s="282" t="s">
        <v>504</v>
      </c>
      <c r="D152" s="282" t="s">
        <v>1006</v>
      </c>
      <c r="E152" s="3">
        <v>1000</v>
      </c>
      <c r="F152" s="3">
        <f>900/23</f>
        <v>39.130434782608695</v>
      </c>
      <c r="G152" s="4">
        <v>44228</v>
      </c>
      <c r="I152" s="1">
        <v>27000</v>
      </c>
      <c r="J152" s="1">
        <v>42500</v>
      </c>
    </row>
    <row r="153" spans="1:18" x14ac:dyDescent="0.2">
      <c r="C153" s="282" t="s">
        <v>1</v>
      </c>
      <c r="D153" s="282" t="s">
        <v>3934</v>
      </c>
      <c r="E153" s="3">
        <v>1200</v>
      </c>
      <c r="F153" s="3">
        <f>E153/4</f>
        <v>300</v>
      </c>
      <c r="G153" s="4">
        <v>43592</v>
      </c>
      <c r="I153" s="1">
        <v>17900</v>
      </c>
    </row>
    <row r="154" spans="1:18" x14ac:dyDescent="0.2">
      <c r="G154" s="4"/>
    </row>
    <row r="155" spans="1:18" s="12" customFormat="1" x14ac:dyDescent="0.2">
      <c r="A155" s="12">
        <v>6</v>
      </c>
      <c r="B155" s="12" t="s">
        <v>1143</v>
      </c>
      <c r="C155" s="13" t="s">
        <v>969</v>
      </c>
      <c r="D155" s="13" t="s">
        <v>968</v>
      </c>
      <c r="E155" s="15"/>
      <c r="F155" s="15">
        <f>SUM(F156:F162)</f>
        <v>753.15151515151513</v>
      </c>
      <c r="G155" s="14">
        <f>+G156</f>
        <v>44363</v>
      </c>
      <c r="I155" s="13" t="s">
        <v>1</v>
      </c>
      <c r="J155" s="13" t="s">
        <v>1</v>
      </c>
      <c r="K155" s="13" t="s">
        <v>1</v>
      </c>
      <c r="M155" s="13">
        <v>0</v>
      </c>
      <c r="N155" s="13">
        <v>0</v>
      </c>
      <c r="O155" s="15">
        <f>F157</f>
        <v>500</v>
      </c>
      <c r="P155" s="15">
        <f>F156</f>
        <v>181.81818181818181</v>
      </c>
      <c r="Q155" s="13">
        <v>0</v>
      </c>
      <c r="R155" s="15">
        <f>F158</f>
        <v>25</v>
      </c>
    </row>
    <row r="156" spans="1:18" x14ac:dyDescent="0.2">
      <c r="B156" s="250" t="s">
        <v>7485</v>
      </c>
      <c r="C156" s="2" t="s">
        <v>7</v>
      </c>
      <c r="D156" s="2" t="s">
        <v>1125</v>
      </c>
      <c r="E156" s="3">
        <v>2500</v>
      </c>
      <c r="F156" s="3">
        <f>2000/11</f>
        <v>181.81818181818181</v>
      </c>
      <c r="G156" s="4">
        <v>44363</v>
      </c>
    </row>
    <row r="157" spans="1:18" x14ac:dyDescent="0.2">
      <c r="B157" s="250" t="s">
        <v>7558</v>
      </c>
      <c r="C157" s="2" t="s">
        <v>5</v>
      </c>
      <c r="D157" s="2" t="s">
        <v>1125</v>
      </c>
      <c r="E157" s="3">
        <v>3000</v>
      </c>
      <c r="F157" s="3">
        <v>500</v>
      </c>
      <c r="G157" s="4">
        <v>43892</v>
      </c>
    </row>
    <row r="158" spans="1:18" x14ac:dyDescent="0.2">
      <c r="B158" s="265" t="s">
        <v>7664</v>
      </c>
      <c r="C158" s="2" t="s">
        <v>8</v>
      </c>
      <c r="D158" s="2" t="s">
        <v>520</v>
      </c>
      <c r="E158" s="3">
        <v>100</v>
      </c>
      <c r="F158" s="3">
        <v>25</v>
      </c>
      <c r="G158" s="4">
        <v>44419</v>
      </c>
    </row>
    <row r="159" spans="1:18" x14ac:dyDescent="0.2">
      <c r="C159" s="2" t="s">
        <v>7</v>
      </c>
      <c r="D159" s="2" t="s">
        <v>310</v>
      </c>
      <c r="E159" s="3">
        <v>40</v>
      </c>
      <c r="F159" s="3">
        <v>4</v>
      </c>
      <c r="G159" s="4">
        <v>43419</v>
      </c>
    </row>
    <row r="160" spans="1:18" x14ac:dyDescent="0.2">
      <c r="C160" s="2" t="s">
        <v>8</v>
      </c>
      <c r="D160" s="2" t="s">
        <v>211</v>
      </c>
      <c r="E160" s="3">
        <v>700</v>
      </c>
      <c r="F160" s="3">
        <f>400/12</f>
        <v>33.333333333333336</v>
      </c>
      <c r="G160" s="4">
        <v>44218</v>
      </c>
    </row>
    <row r="161" spans="1:18" x14ac:dyDescent="0.2">
      <c r="C161" s="93" t="s">
        <v>7</v>
      </c>
      <c r="D161" s="93" t="s">
        <v>6010</v>
      </c>
      <c r="E161" s="3">
        <v>50</v>
      </c>
      <c r="F161" s="3">
        <v>7</v>
      </c>
      <c r="G161" s="4">
        <v>44670</v>
      </c>
      <c r="J161" s="1">
        <v>250</v>
      </c>
    </row>
    <row r="162" spans="1:18" x14ac:dyDescent="0.2">
      <c r="C162" s="93" t="s">
        <v>5</v>
      </c>
      <c r="D162" s="93" t="s">
        <v>6010</v>
      </c>
      <c r="E162" s="3">
        <v>12</v>
      </c>
      <c r="F162" s="3">
        <v>2</v>
      </c>
      <c r="G162" s="4">
        <v>43941</v>
      </c>
      <c r="J162" s="1">
        <v>250</v>
      </c>
    </row>
    <row r="163" spans="1:18" x14ac:dyDescent="0.2">
      <c r="G163" s="4"/>
    </row>
    <row r="164" spans="1:18" s="12" customFormat="1" x14ac:dyDescent="0.2">
      <c r="A164" s="12">
        <v>7</v>
      </c>
      <c r="B164" s="12" t="s">
        <v>1142</v>
      </c>
      <c r="C164" s="13" t="s">
        <v>969</v>
      </c>
      <c r="D164" s="13" t="s">
        <v>968</v>
      </c>
      <c r="E164" s="15"/>
      <c r="F164" s="15">
        <f>SUM(F165:F169)</f>
        <v>744.31818181818176</v>
      </c>
      <c r="G164" s="14">
        <f>G167</f>
        <v>44819</v>
      </c>
      <c r="I164" s="12">
        <v>92000</v>
      </c>
      <c r="J164" s="22">
        <f>+F164/I164</f>
        <v>8.090415019762846E-3</v>
      </c>
      <c r="K164" s="12">
        <v>1999</v>
      </c>
      <c r="M164" s="13">
        <v>0</v>
      </c>
      <c r="N164" s="13">
        <v>0</v>
      </c>
      <c r="O164" s="15">
        <f>SUM(F166:F167)</f>
        <v>503</v>
      </c>
      <c r="P164" s="15">
        <f>SUM(F165)</f>
        <v>181.81818181818181</v>
      </c>
      <c r="Q164" s="13">
        <v>0</v>
      </c>
      <c r="R164" s="15">
        <f>SUM(F168)</f>
        <v>22</v>
      </c>
    </row>
    <row r="165" spans="1:18" x14ac:dyDescent="0.2">
      <c r="B165" s="250" t="s">
        <v>7486</v>
      </c>
      <c r="C165" s="2" t="s">
        <v>7</v>
      </c>
      <c r="D165" s="2" t="s">
        <v>1125</v>
      </c>
      <c r="E165" s="3">
        <v>2500</v>
      </c>
      <c r="F165" s="3">
        <f>2000/11</f>
        <v>181.81818181818181</v>
      </c>
      <c r="G165" s="4">
        <v>44363</v>
      </c>
    </row>
    <row r="166" spans="1:18" x14ac:dyDescent="0.2">
      <c r="B166" s="266" t="s">
        <v>7663</v>
      </c>
      <c r="C166" s="2" t="s">
        <v>5</v>
      </c>
      <c r="D166" s="2" t="s">
        <v>1125</v>
      </c>
      <c r="E166" s="3">
        <v>3000</v>
      </c>
      <c r="F166" s="3">
        <v>500</v>
      </c>
      <c r="G166" s="4">
        <v>43892</v>
      </c>
    </row>
    <row r="167" spans="1:18" x14ac:dyDescent="0.2">
      <c r="C167" s="2" t="s">
        <v>5</v>
      </c>
      <c r="D167" s="2" t="s">
        <v>1017</v>
      </c>
      <c r="E167" s="3">
        <v>10.6</v>
      </c>
      <c r="F167" s="3">
        <v>3</v>
      </c>
      <c r="G167" s="4">
        <v>44819</v>
      </c>
    </row>
    <row r="168" spans="1:18" x14ac:dyDescent="0.2">
      <c r="C168" s="2" t="s">
        <v>53</v>
      </c>
      <c r="D168" s="2" t="s">
        <v>489</v>
      </c>
      <c r="E168" s="3">
        <v>270</v>
      </c>
      <c r="F168" s="3">
        <v>22</v>
      </c>
      <c r="G168" s="4">
        <v>44152</v>
      </c>
    </row>
    <row r="169" spans="1:18" x14ac:dyDescent="0.2">
      <c r="C169" s="2" t="s">
        <v>9</v>
      </c>
      <c r="D169" s="2" t="s">
        <v>47</v>
      </c>
      <c r="E169" s="3">
        <v>248</v>
      </c>
      <c r="F169" s="3">
        <f>150/4</f>
        <v>37.5</v>
      </c>
      <c r="G169" s="4">
        <v>43678</v>
      </c>
    </row>
    <row r="170" spans="1:18" x14ac:dyDescent="0.2">
      <c r="G170" s="4"/>
    </row>
    <row r="171" spans="1:18" s="12" customFormat="1" x14ac:dyDescent="0.2">
      <c r="A171" s="12">
        <v>8</v>
      </c>
      <c r="B171" s="12" t="s">
        <v>1140</v>
      </c>
      <c r="C171" s="13" t="s">
        <v>969</v>
      </c>
      <c r="D171" s="13" t="s">
        <v>968</v>
      </c>
      <c r="E171" s="15"/>
      <c r="F171" s="15">
        <f>SUM(F172:F177)</f>
        <v>756.6700336700336</v>
      </c>
      <c r="G171" s="14">
        <f>+G174</f>
        <v>45020</v>
      </c>
      <c r="I171" s="13" t="s">
        <v>1</v>
      </c>
      <c r="J171" s="13" t="s">
        <v>1</v>
      </c>
      <c r="K171" s="13" t="s">
        <v>1</v>
      </c>
      <c r="M171" s="13">
        <v>0</v>
      </c>
      <c r="N171" s="13">
        <v>0</v>
      </c>
      <c r="O171" s="15">
        <f>F173</f>
        <v>500</v>
      </c>
      <c r="P171" s="15">
        <f>F172</f>
        <v>181.81818181818181</v>
      </c>
      <c r="Q171" s="15">
        <f>SUM(F174:F175)</f>
        <v>17</v>
      </c>
      <c r="R171" s="13">
        <v>0</v>
      </c>
    </row>
    <row r="172" spans="1:18" x14ac:dyDescent="0.2">
      <c r="B172" s="250" t="s">
        <v>7487</v>
      </c>
      <c r="C172" s="2" t="s">
        <v>7</v>
      </c>
      <c r="D172" s="2" t="s">
        <v>1125</v>
      </c>
      <c r="E172" s="3">
        <v>2500</v>
      </c>
      <c r="F172" s="3">
        <f>2000/11</f>
        <v>181.81818181818181</v>
      </c>
      <c r="G172" s="4">
        <v>44363</v>
      </c>
    </row>
    <row r="173" spans="1:18" x14ac:dyDescent="0.2">
      <c r="B173" s="266" t="s">
        <v>7663</v>
      </c>
      <c r="C173" s="2" t="s">
        <v>5</v>
      </c>
      <c r="D173" s="2" t="s">
        <v>1125</v>
      </c>
      <c r="E173" s="3">
        <v>3000</v>
      </c>
      <c r="F173" s="3">
        <v>500</v>
      </c>
      <c r="G173" s="4">
        <v>43892</v>
      </c>
    </row>
    <row r="174" spans="1:18" x14ac:dyDescent="0.2">
      <c r="C174" s="2" t="s">
        <v>18</v>
      </c>
      <c r="D174" s="2" t="s">
        <v>424</v>
      </c>
      <c r="E174" s="3">
        <v>75</v>
      </c>
      <c r="F174" s="3">
        <v>7</v>
      </c>
      <c r="G174" s="4">
        <v>45020</v>
      </c>
    </row>
    <row r="175" spans="1:18" x14ac:dyDescent="0.2">
      <c r="C175" s="2" t="s">
        <v>18</v>
      </c>
      <c r="D175" s="2" t="s">
        <v>424</v>
      </c>
      <c r="E175" s="3">
        <v>80</v>
      </c>
      <c r="F175" s="3">
        <v>10</v>
      </c>
      <c r="G175" s="4">
        <v>44404</v>
      </c>
    </row>
    <row r="176" spans="1:18" x14ac:dyDescent="0.2">
      <c r="C176" s="2" t="s">
        <v>5</v>
      </c>
      <c r="D176" s="2" t="s">
        <v>313</v>
      </c>
      <c r="E176" s="3">
        <v>57</v>
      </c>
      <c r="F176" s="3">
        <v>6</v>
      </c>
      <c r="G176" s="4">
        <v>44508</v>
      </c>
    </row>
    <row r="177" spans="1:18" x14ac:dyDescent="0.2">
      <c r="C177" s="282" t="s">
        <v>2489</v>
      </c>
      <c r="D177" s="282" t="s">
        <v>1006</v>
      </c>
      <c r="E177" s="3">
        <f>1600</f>
        <v>1600</v>
      </c>
      <c r="F177" s="3">
        <f>1400/27</f>
        <v>51.851851851851855</v>
      </c>
      <c r="G177" s="4">
        <v>44439</v>
      </c>
      <c r="I177" s="1">
        <v>36400</v>
      </c>
      <c r="J177" s="1">
        <v>42500</v>
      </c>
    </row>
    <row r="178" spans="1:18" x14ac:dyDescent="0.2">
      <c r="C178" s="282" t="s">
        <v>504</v>
      </c>
      <c r="D178" s="282" t="s">
        <v>1006</v>
      </c>
      <c r="E178" s="3">
        <v>1000</v>
      </c>
      <c r="F178" s="3">
        <f>900/23</f>
        <v>39.130434782608695</v>
      </c>
      <c r="G178" s="4">
        <v>44228</v>
      </c>
      <c r="I178" s="1">
        <v>27000</v>
      </c>
      <c r="J178" s="1">
        <v>42500</v>
      </c>
    </row>
    <row r="179" spans="1:18" x14ac:dyDescent="0.2">
      <c r="G179" s="4"/>
    </row>
    <row r="180" spans="1:18" s="12" customFormat="1" x14ac:dyDescent="0.2">
      <c r="A180" s="12">
        <v>9</v>
      </c>
      <c r="B180" s="12" t="s">
        <v>1139</v>
      </c>
      <c r="C180" s="13" t="s">
        <v>969</v>
      </c>
      <c r="D180" s="13" t="s">
        <v>968</v>
      </c>
      <c r="E180" s="15"/>
      <c r="F180" s="15">
        <f>SUM(F181:F192)</f>
        <v>795.82427797645187</v>
      </c>
      <c r="G180" s="14">
        <f>G192</f>
        <v>45265</v>
      </c>
      <c r="I180" s="2" t="s">
        <v>1</v>
      </c>
      <c r="J180" s="2" t="s">
        <v>1</v>
      </c>
      <c r="K180" s="2" t="s">
        <v>1</v>
      </c>
      <c r="M180" s="13">
        <v>0</v>
      </c>
      <c r="N180" s="13">
        <v>0</v>
      </c>
      <c r="O180" s="15">
        <f>F182</f>
        <v>250</v>
      </c>
      <c r="P180" s="15">
        <f>SUM(F181,F183,F184,F185)</f>
        <v>235.81818181818181</v>
      </c>
      <c r="Q180" s="13">
        <v>0</v>
      </c>
      <c r="R180" s="13">
        <v>0</v>
      </c>
    </row>
    <row r="181" spans="1:18" x14ac:dyDescent="0.2">
      <c r="B181" s="250" t="s">
        <v>7557</v>
      </c>
      <c r="C181" s="2" t="s">
        <v>7</v>
      </c>
      <c r="D181" s="2" t="s">
        <v>1125</v>
      </c>
      <c r="E181" s="3">
        <v>2500</v>
      </c>
      <c r="F181" s="3">
        <f>2000/11</f>
        <v>181.81818181818181</v>
      </c>
      <c r="G181" s="4">
        <v>44363</v>
      </c>
    </row>
    <row r="182" spans="1:18" x14ac:dyDescent="0.2">
      <c r="B182" s="266" t="s">
        <v>7663</v>
      </c>
      <c r="C182" s="2" t="s">
        <v>5</v>
      </c>
      <c r="D182" s="2" t="s">
        <v>1125</v>
      </c>
      <c r="E182" s="3">
        <v>3000</v>
      </c>
      <c r="F182" s="3">
        <v>250</v>
      </c>
      <c r="G182" s="4">
        <v>43963</v>
      </c>
    </row>
    <row r="183" spans="1:18" x14ac:dyDescent="0.2">
      <c r="C183" s="2" t="s">
        <v>7</v>
      </c>
      <c r="D183" s="2" t="s">
        <v>1072</v>
      </c>
      <c r="E183" s="3">
        <v>37</v>
      </c>
      <c r="F183" s="3">
        <v>4</v>
      </c>
      <c r="G183" s="4">
        <v>44860</v>
      </c>
    </row>
    <row r="184" spans="1:18" x14ac:dyDescent="0.2">
      <c r="C184" s="2" t="s">
        <v>7</v>
      </c>
      <c r="D184" s="2" t="s">
        <v>1072</v>
      </c>
      <c r="E184" s="3">
        <v>30</v>
      </c>
      <c r="F184" s="3">
        <v>30</v>
      </c>
      <c r="G184" s="4">
        <v>44706</v>
      </c>
    </row>
    <row r="185" spans="1:18" x14ac:dyDescent="0.2">
      <c r="C185" s="2" t="s">
        <v>7</v>
      </c>
      <c r="D185" s="2" t="s">
        <v>1072</v>
      </c>
      <c r="E185" s="3">
        <v>80</v>
      </c>
      <c r="F185" s="3">
        <v>20</v>
      </c>
      <c r="G185" s="4">
        <v>44327</v>
      </c>
    </row>
    <row r="186" spans="1:18" x14ac:dyDescent="0.2">
      <c r="C186" s="2" t="s">
        <v>8</v>
      </c>
      <c r="D186" s="2" t="s">
        <v>253</v>
      </c>
      <c r="E186" s="3">
        <v>600</v>
      </c>
      <c r="F186" s="3">
        <f>500/8</f>
        <v>62.5</v>
      </c>
      <c r="G186" s="4">
        <v>44502</v>
      </c>
    </row>
    <row r="187" spans="1:18" x14ac:dyDescent="0.2">
      <c r="C187" s="2" t="s">
        <v>18</v>
      </c>
      <c r="D187" s="2" t="s">
        <v>253</v>
      </c>
      <c r="E187" s="3">
        <v>500</v>
      </c>
      <c r="F187" s="3">
        <f>300/4</f>
        <v>75</v>
      </c>
      <c r="G187" s="4">
        <v>44144</v>
      </c>
    </row>
    <row r="188" spans="1:18" x14ac:dyDescent="0.2">
      <c r="C188" s="2" t="s">
        <v>8</v>
      </c>
      <c r="D188" s="2" t="s">
        <v>176</v>
      </c>
      <c r="E188" s="3">
        <v>130</v>
      </c>
      <c r="F188" s="3">
        <v>22</v>
      </c>
      <c r="G188" s="4">
        <v>42080</v>
      </c>
      <c r="I188" s="1">
        <v>570</v>
      </c>
    </row>
    <row r="189" spans="1:18" x14ac:dyDescent="0.2">
      <c r="C189" s="2" t="s">
        <v>9</v>
      </c>
      <c r="D189" s="2" t="s">
        <v>22</v>
      </c>
      <c r="E189" s="3">
        <v>222</v>
      </c>
      <c r="F189" s="3">
        <f>200/21</f>
        <v>9.5238095238095237</v>
      </c>
      <c r="G189" s="4">
        <v>44194</v>
      </c>
      <c r="I189" s="1">
        <v>2500</v>
      </c>
      <c r="J189" s="1">
        <v>2500</v>
      </c>
    </row>
    <row r="190" spans="1:18" x14ac:dyDescent="0.2">
      <c r="C190" s="282" t="s">
        <v>2489</v>
      </c>
      <c r="D190" s="282" t="s">
        <v>1006</v>
      </c>
      <c r="E190" s="3">
        <v>1600</v>
      </c>
      <c r="F190" s="3">
        <f>1400/27</f>
        <v>51.851851851851855</v>
      </c>
      <c r="G190" s="4">
        <v>44439</v>
      </c>
      <c r="I190" s="1">
        <v>36400</v>
      </c>
      <c r="J190" s="1">
        <v>42500</v>
      </c>
    </row>
    <row r="191" spans="1:18" x14ac:dyDescent="0.2">
      <c r="C191" s="282" t="s">
        <v>504</v>
      </c>
      <c r="D191" s="282" t="s">
        <v>1006</v>
      </c>
      <c r="E191" s="3">
        <v>1000</v>
      </c>
      <c r="F191" s="3">
        <f>900/23</f>
        <v>39.130434782608695</v>
      </c>
      <c r="G191" s="4">
        <v>44228</v>
      </c>
      <c r="I191" s="1">
        <v>27000</v>
      </c>
      <c r="J191" s="1">
        <v>42500</v>
      </c>
    </row>
    <row r="192" spans="1:18" x14ac:dyDescent="0.2">
      <c r="C192" s="282" t="s">
        <v>9</v>
      </c>
      <c r="D192" s="282" t="s">
        <v>4897</v>
      </c>
      <c r="E192" s="3">
        <v>118</v>
      </c>
      <c r="F192" s="3">
        <v>50</v>
      </c>
      <c r="G192" s="4">
        <v>45265</v>
      </c>
      <c r="I192" s="1">
        <v>9000</v>
      </c>
      <c r="J192" s="1">
        <v>9000</v>
      </c>
    </row>
    <row r="193" spans="1:11" x14ac:dyDescent="0.2">
      <c r="G193" s="4"/>
    </row>
    <row r="194" spans="1:11" x14ac:dyDescent="0.2">
      <c r="A194" s="1">
        <v>10</v>
      </c>
      <c r="B194" s="12" t="s">
        <v>7409</v>
      </c>
      <c r="C194" s="13" t="s">
        <v>969</v>
      </c>
      <c r="D194" s="13" t="s">
        <v>968</v>
      </c>
      <c r="F194" s="15">
        <f>SUM(F195:F231)</f>
        <v>564.19761904761913</v>
      </c>
      <c r="G194" s="14">
        <f>G202</f>
        <v>45090</v>
      </c>
      <c r="I194" s="12">
        <v>18000</v>
      </c>
      <c r="J194" s="22">
        <f>+F194/I194</f>
        <v>3.1344312169312175E-2</v>
      </c>
      <c r="K194" s="12">
        <v>2000</v>
      </c>
    </row>
    <row r="195" spans="1:11" x14ac:dyDescent="0.2">
      <c r="B195" s="250" t="s">
        <v>7834</v>
      </c>
      <c r="C195" s="2" t="s">
        <v>4</v>
      </c>
      <c r="D195" s="2" t="s">
        <v>936</v>
      </c>
      <c r="E195" s="3">
        <v>100</v>
      </c>
      <c r="F195" s="3">
        <v>25</v>
      </c>
      <c r="G195" s="4">
        <v>44846</v>
      </c>
    </row>
    <row r="196" spans="1:11" x14ac:dyDescent="0.2">
      <c r="C196" s="2" t="s">
        <v>18</v>
      </c>
      <c r="D196" s="2" t="s">
        <v>877</v>
      </c>
      <c r="E196" s="3">
        <v>85</v>
      </c>
      <c r="F196" s="3">
        <v>6</v>
      </c>
      <c r="G196" s="4">
        <v>44417</v>
      </c>
      <c r="I196" s="250" t="s">
        <v>7544</v>
      </c>
    </row>
    <row r="197" spans="1:11" x14ac:dyDescent="0.2">
      <c r="C197" s="2" t="s">
        <v>7</v>
      </c>
      <c r="D197" s="2" t="s">
        <v>877</v>
      </c>
      <c r="E197" s="3">
        <v>35</v>
      </c>
      <c r="F197" s="3">
        <v>10</v>
      </c>
      <c r="G197" s="4">
        <v>44293</v>
      </c>
      <c r="I197" s="250" t="s">
        <v>7545</v>
      </c>
    </row>
    <row r="198" spans="1:11" x14ac:dyDescent="0.2">
      <c r="C198" s="2" t="s">
        <v>18</v>
      </c>
      <c r="D198" s="2" t="s">
        <v>1043</v>
      </c>
      <c r="E198" s="3">
        <v>100</v>
      </c>
      <c r="F198" s="3">
        <v>15</v>
      </c>
      <c r="G198" s="4">
        <v>44699</v>
      </c>
      <c r="I198" s="250" t="s">
        <v>7554</v>
      </c>
    </row>
    <row r="199" spans="1:11" x14ac:dyDescent="0.2">
      <c r="C199" s="2" t="s">
        <v>7</v>
      </c>
      <c r="D199" s="2" t="s">
        <v>1043</v>
      </c>
      <c r="E199" s="3">
        <v>100</v>
      </c>
      <c r="F199" s="3">
        <f>25/3</f>
        <v>8.3333333333333339</v>
      </c>
      <c r="G199" s="4">
        <v>44286</v>
      </c>
      <c r="I199" s="250" t="s">
        <v>7546</v>
      </c>
    </row>
    <row r="200" spans="1:11" x14ac:dyDescent="0.2">
      <c r="C200" s="2" t="s">
        <v>5</v>
      </c>
      <c r="D200" s="2" t="s">
        <v>1063</v>
      </c>
      <c r="E200" s="3">
        <v>65</v>
      </c>
      <c r="F200" s="3">
        <v>35</v>
      </c>
      <c r="G200" s="4">
        <v>44984</v>
      </c>
      <c r="I200" s="250" t="s">
        <v>7547</v>
      </c>
    </row>
    <row r="201" spans="1:11" x14ac:dyDescent="0.2">
      <c r="C201" s="2" t="s">
        <v>7</v>
      </c>
      <c r="D201" s="2" t="s">
        <v>1011</v>
      </c>
      <c r="E201" s="3">
        <v>43</v>
      </c>
      <c r="F201" s="3">
        <v>13</v>
      </c>
      <c r="G201" s="4">
        <v>44978</v>
      </c>
      <c r="I201" s="250" t="s">
        <v>7549</v>
      </c>
    </row>
    <row r="202" spans="1:11" x14ac:dyDescent="0.2">
      <c r="C202" s="2" t="s">
        <v>4</v>
      </c>
      <c r="D202" s="2" t="s">
        <v>705</v>
      </c>
      <c r="E202" s="3">
        <v>113</v>
      </c>
      <c r="F202" s="3">
        <v>19</v>
      </c>
      <c r="G202" s="4">
        <v>45090</v>
      </c>
      <c r="I202" s="250" t="s">
        <v>7556</v>
      </c>
    </row>
    <row r="203" spans="1:11" x14ac:dyDescent="0.2">
      <c r="C203" s="2" t="s">
        <v>5</v>
      </c>
      <c r="D203" s="2" t="s">
        <v>682</v>
      </c>
      <c r="E203" s="3">
        <v>15</v>
      </c>
      <c r="F203" s="3">
        <v>3</v>
      </c>
      <c r="G203" s="4">
        <v>44838</v>
      </c>
      <c r="I203" s="250" t="s">
        <v>7550</v>
      </c>
    </row>
    <row r="204" spans="1:11" x14ac:dyDescent="0.2">
      <c r="C204" s="2" t="s">
        <v>18</v>
      </c>
      <c r="D204" s="2" t="s">
        <v>883</v>
      </c>
      <c r="E204" s="3">
        <v>200</v>
      </c>
      <c r="F204" s="3">
        <v>20</v>
      </c>
      <c r="G204" s="4">
        <v>44377</v>
      </c>
      <c r="I204" s="250" t="s">
        <v>7555</v>
      </c>
    </row>
    <row r="205" spans="1:11" x14ac:dyDescent="0.2">
      <c r="C205" s="2" t="s">
        <v>7</v>
      </c>
      <c r="D205" s="2" t="s">
        <v>883</v>
      </c>
      <c r="E205" s="3">
        <v>75</v>
      </c>
      <c r="F205" s="3">
        <v>5</v>
      </c>
      <c r="G205" s="4">
        <v>43783</v>
      </c>
      <c r="I205" s="250" t="s">
        <v>7559</v>
      </c>
    </row>
    <row r="206" spans="1:11" x14ac:dyDescent="0.2">
      <c r="C206" s="2" t="s">
        <v>5</v>
      </c>
      <c r="D206" s="2" t="s">
        <v>883</v>
      </c>
      <c r="E206" s="3">
        <v>30</v>
      </c>
      <c r="F206" s="3">
        <v>10</v>
      </c>
      <c r="G206" s="4">
        <v>43573</v>
      </c>
      <c r="I206" s="250" t="s">
        <v>7560</v>
      </c>
    </row>
    <row r="207" spans="1:11" x14ac:dyDescent="0.2">
      <c r="C207" s="2" t="s">
        <v>4</v>
      </c>
      <c r="D207" s="2" t="s">
        <v>1017</v>
      </c>
      <c r="E207" s="3">
        <v>1.5</v>
      </c>
      <c r="F207" s="3">
        <v>1</v>
      </c>
      <c r="G207" s="4">
        <v>44098</v>
      </c>
    </row>
    <row r="208" spans="1:11" x14ac:dyDescent="0.2">
      <c r="C208" s="2" t="s">
        <v>8</v>
      </c>
      <c r="D208" s="2" t="s">
        <v>520</v>
      </c>
      <c r="E208" s="3">
        <v>100</v>
      </c>
      <c r="F208" s="3">
        <f>50/4</f>
        <v>12.5</v>
      </c>
      <c r="G208" s="4">
        <v>44419</v>
      </c>
    </row>
    <row r="209" spans="3:12" x14ac:dyDescent="0.2">
      <c r="C209" s="2" t="s">
        <v>18</v>
      </c>
      <c r="D209" s="2" t="s">
        <v>520</v>
      </c>
      <c r="E209" s="3">
        <v>60</v>
      </c>
      <c r="F209" s="3">
        <v>5</v>
      </c>
      <c r="G209" s="4">
        <v>43606</v>
      </c>
    </row>
    <row r="210" spans="3:12" x14ac:dyDescent="0.2">
      <c r="C210" s="2" t="s">
        <v>7</v>
      </c>
      <c r="D210" s="2" t="s">
        <v>520</v>
      </c>
      <c r="E210" s="3">
        <v>30</v>
      </c>
      <c r="F210" s="3">
        <v>5</v>
      </c>
      <c r="G210" s="4">
        <v>43396</v>
      </c>
    </row>
    <row r="211" spans="3:12" x14ac:dyDescent="0.2">
      <c r="C211" s="2" t="s">
        <v>5</v>
      </c>
      <c r="D211" s="2" t="s">
        <v>520</v>
      </c>
      <c r="E211" s="3">
        <v>7</v>
      </c>
      <c r="F211" s="3">
        <v>3</v>
      </c>
      <c r="G211" s="4">
        <v>42885</v>
      </c>
    </row>
    <row r="212" spans="3:12" x14ac:dyDescent="0.2">
      <c r="C212" s="2" t="s">
        <v>7</v>
      </c>
      <c r="D212" s="2" t="s">
        <v>525</v>
      </c>
      <c r="E212" s="3">
        <v>32</v>
      </c>
      <c r="F212" s="3">
        <v>3</v>
      </c>
      <c r="G212" s="4">
        <v>44364</v>
      </c>
    </row>
    <row r="213" spans="3:12" x14ac:dyDescent="0.2">
      <c r="C213" s="2" t="s">
        <v>5</v>
      </c>
      <c r="D213" s="2" t="s">
        <v>525</v>
      </c>
      <c r="E213" s="3">
        <v>10.199999999999999</v>
      </c>
      <c r="F213" s="3">
        <v>3</v>
      </c>
      <c r="G213" s="4">
        <v>43732</v>
      </c>
    </row>
    <row r="214" spans="3:12" x14ac:dyDescent="0.2">
      <c r="C214" s="2" t="s">
        <v>4</v>
      </c>
      <c r="D214" s="2" t="s">
        <v>525</v>
      </c>
      <c r="E214" s="3">
        <v>3</v>
      </c>
      <c r="F214" s="3">
        <v>0.75</v>
      </c>
      <c r="G214" s="4">
        <v>43374</v>
      </c>
    </row>
    <row r="215" spans="3:12" x14ac:dyDescent="0.2">
      <c r="C215" s="2" t="s">
        <v>4</v>
      </c>
      <c r="D215" s="2" t="s">
        <v>347</v>
      </c>
      <c r="E215" s="3">
        <v>3.5</v>
      </c>
      <c r="F215" s="3">
        <f>E215/10</f>
        <v>0.35</v>
      </c>
      <c r="G215" s="4">
        <v>43046</v>
      </c>
      <c r="L215" s="1">
        <v>0</v>
      </c>
    </row>
    <row r="216" spans="3:12" x14ac:dyDescent="0.2">
      <c r="C216" s="2" t="s">
        <v>53</v>
      </c>
      <c r="D216" s="2" t="s">
        <v>47</v>
      </c>
      <c r="E216" s="3">
        <v>100</v>
      </c>
      <c r="F216" s="3">
        <f>75/7</f>
        <v>10.714285714285714</v>
      </c>
      <c r="G216" s="4">
        <v>44515</v>
      </c>
      <c r="I216" s="5">
        <v>4100</v>
      </c>
      <c r="J216" s="5">
        <v>4100</v>
      </c>
    </row>
    <row r="217" spans="3:12" x14ac:dyDescent="0.2">
      <c r="C217" s="2" t="s">
        <v>9</v>
      </c>
      <c r="D217" s="2" t="s">
        <v>47</v>
      </c>
      <c r="E217" s="3">
        <v>248</v>
      </c>
      <c r="F217" s="3">
        <v>98</v>
      </c>
      <c r="G217" s="4">
        <v>43678</v>
      </c>
      <c r="I217" s="5">
        <v>1700</v>
      </c>
      <c r="J217" s="5">
        <v>4100</v>
      </c>
    </row>
    <row r="218" spans="3:12" x14ac:dyDescent="0.2">
      <c r="C218" s="2" t="s">
        <v>8</v>
      </c>
      <c r="D218" s="2" t="s">
        <v>47</v>
      </c>
      <c r="E218" s="3">
        <v>145</v>
      </c>
      <c r="F218" s="3">
        <v>30</v>
      </c>
      <c r="G218" s="4">
        <v>43228</v>
      </c>
      <c r="I218" s="5">
        <v>855</v>
      </c>
      <c r="J218" s="5">
        <v>4100</v>
      </c>
    </row>
    <row r="219" spans="3:12" x14ac:dyDescent="0.2">
      <c r="C219" s="2" t="s">
        <v>18</v>
      </c>
      <c r="D219" s="2" t="s">
        <v>47</v>
      </c>
      <c r="E219" s="3">
        <v>60</v>
      </c>
      <c r="F219" s="3">
        <v>40</v>
      </c>
      <c r="G219" s="4">
        <v>42964</v>
      </c>
      <c r="I219" s="5"/>
      <c r="J219" s="5">
        <v>4100</v>
      </c>
    </row>
    <row r="220" spans="3:12" x14ac:dyDescent="0.2">
      <c r="C220" s="2" t="s">
        <v>18</v>
      </c>
      <c r="D220" s="2" t="s">
        <v>47</v>
      </c>
      <c r="E220" s="3">
        <v>50</v>
      </c>
      <c r="F220" s="3">
        <f>20/2</f>
        <v>10</v>
      </c>
      <c r="G220" s="4">
        <v>42509</v>
      </c>
      <c r="I220" s="5"/>
      <c r="J220" s="5">
        <v>4100</v>
      </c>
    </row>
    <row r="221" spans="3:12" x14ac:dyDescent="0.2">
      <c r="C221" s="2" t="s">
        <v>7</v>
      </c>
      <c r="D221" s="2" t="s">
        <v>47</v>
      </c>
      <c r="E221" s="3">
        <v>30</v>
      </c>
      <c r="F221" s="3">
        <v>10</v>
      </c>
      <c r="G221" s="4">
        <v>41808</v>
      </c>
      <c r="I221" s="5"/>
      <c r="J221" s="5">
        <v>4100</v>
      </c>
    </row>
    <row r="222" spans="3:12" x14ac:dyDescent="0.2">
      <c r="C222" s="2" t="s">
        <v>5</v>
      </c>
      <c r="D222" s="2" t="s">
        <v>47</v>
      </c>
      <c r="E222" s="3">
        <v>10.7</v>
      </c>
      <c r="F222" s="3">
        <v>5.7</v>
      </c>
      <c r="G222" s="4">
        <v>41076</v>
      </c>
      <c r="I222" s="5"/>
      <c r="J222" s="5">
        <v>4100</v>
      </c>
    </row>
    <row r="223" spans="3:12" x14ac:dyDescent="0.2">
      <c r="C223" s="2" t="s">
        <v>18</v>
      </c>
      <c r="D223" s="2" t="s">
        <v>192</v>
      </c>
      <c r="E223" s="3">
        <v>235</v>
      </c>
      <c r="F223" s="3">
        <f>85/2</f>
        <v>42.5</v>
      </c>
      <c r="G223" s="4">
        <v>44384</v>
      </c>
      <c r="I223" s="5"/>
    </row>
    <row r="224" spans="3:12" x14ac:dyDescent="0.2">
      <c r="C224" s="2" t="s">
        <v>7</v>
      </c>
      <c r="D224" s="2" t="s">
        <v>192</v>
      </c>
      <c r="E224" s="3">
        <v>43</v>
      </c>
      <c r="F224" s="3">
        <f>+E224/5</f>
        <v>8.6</v>
      </c>
      <c r="G224" s="4">
        <v>44077</v>
      </c>
      <c r="I224" s="5"/>
    </row>
    <row r="225" spans="1:11" x14ac:dyDescent="0.2">
      <c r="C225" s="2" t="s">
        <v>5</v>
      </c>
      <c r="D225" s="2" t="s">
        <v>192</v>
      </c>
      <c r="E225" s="3">
        <v>15</v>
      </c>
      <c r="F225" s="3">
        <v>10</v>
      </c>
      <c r="G225" s="4">
        <v>43479</v>
      </c>
      <c r="I225" s="5"/>
    </row>
    <row r="226" spans="1:11" x14ac:dyDescent="0.2">
      <c r="C226" s="2" t="s">
        <v>9</v>
      </c>
      <c r="D226" s="2" t="s">
        <v>52</v>
      </c>
      <c r="E226" s="3">
        <v>220</v>
      </c>
      <c r="F226" s="3">
        <v>28</v>
      </c>
      <c r="G226" s="4">
        <v>44357</v>
      </c>
      <c r="I226" s="5">
        <v>1900</v>
      </c>
      <c r="J226" s="5">
        <v>1900</v>
      </c>
    </row>
    <row r="227" spans="1:11" x14ac:dyDescent="0.2">
      <c r="C227" s="2" t="s">
        <v>8</v>
      </c>
      <c r="D227" s="2" t="s">
        <v>52</v>
      </c>
      <c r="E227" s="3">
        <v>125</v>
      </c>
      <c r="F227" s="3">
        <v>18.75</v>
      </c>
      <c r="G227" s="4">
        <v>44131</v>
      </c>
      <c r="I227" s="5">
        <v>875</v>
      </c>
      <c r="J227" s="5">
        <v>1900</v>
      </c>
    </row>
    <row r="228" spans="1:11" x14ac:dyDescent="0.2">
      <c r="C228" s="2" t="s">
        <v>18</v>
      </c>
      <c r="D228" s="2" t="s">
        <v>52</v>
      </c>
      <c r="E228" s="3">
        <v>28</v>
      </c>
      <c r="F228" s="3">
        <v>7</v>
      </c>
      <c r="G228" s="4">
        <v>43579</v>
      </c>
      <c r="I228" s="5"/>
      <c r="J228" s="5">
        <v>1900</v>
      </c>
    </row>
    <row r="229" spans="1:11" x14ac:dyDescent="0.2">
      <c r="C229" s="2" t="s">
        <v>7</v>
      </c>
      <c r="D229" s="2" t="s">
        <v>1063</v>
      </c>
      <c r="E229" s="3">
        <v>100</v>
      </c>
      <c r="F229" s="3">
        <f>60/4</f>
        <v>15</v>
      </c>
      <c r="G229" s="4">
        <v>45106</v>
      </c>
      <c r="I229" s="5"/>
      <c r="J229" s="5"/>
    </row>
    <row r="230" spans="1:11" x14ac:dyDescent="0.2">
      <c r="C230" s="2" t="s">
        <v>8</v>
      </c>
      <c r="D230" s="2" t="s">
        <v>2137</v>
      </c>
      <c r="E230" s="3">
        <v>200</v>
      </c>
      <c r="F230" s="3">
        <v>20</v>
      </c>
      <c r="G230" s="4">
        <v>44237</v>
      </c>
      <c r="I230" s="5"/>
      <c r="J230" s="5"/>
    </row>
    <row r="231" spans="1:11" x14ac:dyDescent="0.2">
      <c r="C231" s="161" t="s">
        <v>7</v>
      </c>
      <c r="D231" s="161" t="s">
        <v>2039</v>
      </c>
      <c r="E231" s="3">
        <v>25</v>
      </c>
      <c r="F231" s="3">
        <v>7</v>
      </c>
      <c r="G231" s="4">
        <v>43528</v>
      </c>
      <c r="I231" s="5"/>
      <c r="J231" s="5"/>
    </row>
    <row r="232" spans="1:11" x14ac:dyDescent="0.2">
      <c r="G232" s="4"/>
    </row>
    <row r="233" spans="1:11" x14ac:dyDescent="0.2">
      <c r="A233" s="1">
        <v>11</v>
      </c>
      <c r="B233" s="12" t="s">
        <v>7410</v>
      </c>
      <c r="C233" s="13" t="s">
        <v>969</v>
      </c>
      <c r="D233" s="13" t="s">
        <v>968</v>
      </c>
      <c r="E233" s="15"/>
      <c r="F233" s="15">
        <f>SUM(F234:F266)</f>
        <v>582.14895330112734</v>
      </c>
      <c r="G233" s="14">
        <f>+G266</f>
        <v>45147</v>
      </c>
      <c r="I233" s="1">
        <v>70000</v>
      </c>
      <c r="J233" s="20">
        <f>+F233/I233</f>
        <v>8.3164136185875336E-3</v>
      </c>
      <c r="K233" s="1">
        <v>1999</v>
      </c>
    </row>
    <row r="234" spans="1:11" x14ac:dyDescent="0.2">
      <c r="B234" s="250" t="s">
        <v>7488</v>
      </c>
      <c r="C234" s="2" t="s">
        <v>9</v>
      </c>
      <c r="D234" s="2" t="s">
        <v>803</v>
      </c>
      <c r="E234" s="3">
        <v>325</v>
      </c>
      <c r="F234" s="3">
        <v>18.5</v>
      </c>
      <c r="G234" s="4">
        <v>44299</v>
      </c>
      <c r="I234" s="250" t="s">
        <v>7628</v>
      </c>
    </row>
    <row r="235" spans="1:11" x14ac:dyDescent="0.2">
      <c r="B235" s="265" t="s">
        <v>7835</v>
      </c>
      <c r="C235" s="2" t="s">
        <v>18</v>
      </c>
      <c r="D235" s="2" t="s">
        <v>803</v>
      </c>
      <c r="E235" s="3">
        <v>100</v>
      </c>
      <c r="F235" s="3">
        <f>65/5</f>
        <v>13</v>
      </c>
      <c r="G235" s="4">
        <v>43682</v>
      </c>
      <c r="I235" s="250" t="s">
        <v>7569</v>
      </c>
    </row>
    <row r="236" spans="1:11" x14ac:dyDescent="0.2">
      <c r="C236" s="2" t="s">
        <v>4</v>
      </c>
      <c r="D236" s="2" t="s">
        <v>936</v>
      </c>
      <c r="E236" s="3">
        <v>100</v>
      </c>
      <c r="F236" s="3">
        <v>25</v>
      </c>
      <c r="G236" s="4">
        <v>44846</v>
      </c>
    </row>
    <row r="237" spans="1:11" x14ac:dyDescent="0.2">
      <c r="C237" s="2" t="s">
        <v>18</v>
      </c>
      <c r="D237" s="2" t="s">
        <v>926</v>
      </c>
      <c r="E237" s="3">
        <v>100</v>
      </c>
      <c r="F237" s="3">
        <v>9</v>
      </c>
      <c r="G237" s="4">
        <v>44690</v>
      </c>
      <c r="J237" s="1">
        <v>4300</v>
      </c>
    </row>
    <row r="238" spans="1:11" x14ac:dyDescent="0.2">
      <c r="C238" s="2" t="s">
        <v>5</v>
      </c>
      <c r="D238" s="2" t="s">
        <v>763</v>
      </c>
      <c r="E238" s="3">
        <v>125</v>
      </c>
      <c r="F238" s="3">
        <v>15</v>
      </c>
      <c r="G238" s="4">
        <v>44852</v>
      </c>
    </row>
    <row r="239" spans="1:11" x14ac:dyDescent="0.2">
      <c r="C239" s="2" t="s">
        <v>18</v>
      </c>
      <c r="D239" s="2" t="s">
        <v>962</v>
      </c>
      <c r="E239" s="3">
        <v>135</v>
      </c>
      <c r="F239" s="3">
        <v>25</v>
      </c>
      <c r="G239" s="4">
        <v>44500</v>
      </c>
      <c r="J239" s="1">
        <v>1200</v>
      </c>
    </row>
    <row r="240" spans="1:11" x14ac:dyDescent="0.2">
      <c r="C240" s="2" t="s">
        <v>7</v>
      </c>
      <c r="D240" s="2" t="s">
        <v>962</v>
      </c>
      <c r="E240" s="3">
        <v>45</v>
      </c>
      <c r="F240" s="3">
        <v>10</v>
      </c>
      <c r="G240" s="4">
        <v>44228</v>
      </c>
      <c r="J240" s="1">
        <v>1200</v>
      </c>
    </row>
    <row r="241" spans="3:10" x14ac:dyDescent="0.2">
      <c r="C241" s="2" t="s">
        <v>18</v>
      </c>
      <c r="D241" s="2" t="s">
        <v>957</v>
      </c>
      <c r="E241" s="3">
        <v>50</v>
      </c>
      <c r="F241" s="3">
        <v>6</v>
      </c>
      <c r="G241" s="4">
        <v>44900</v>
      </c>
      <c r="I241" s="1">
        <v>450</v>
      </c>
      <c r="J241" s="1">
        <v>1400</v>
      </c>
    </row>
    <row r="242" spans="3:10" x14ac:dyDescent="0.2">
      <c r="C242" s="2" t="s">
        <v>7</v>
      </c>
      <c r="D242" s="2" t="s">
        <v>957</v>
      </c>
      <c r="E242" s="3">
        <v>35</v>
      </c>
      <c r="F242" s="3">
        <v>20</v>
      </c>
      <c r="G242" s="4">
        <v>44543</v>
      </c>
      <c r="J242" s="1">
        <v>1400</v>
      </c>
    </row>
    <row r="243" spans="3:10" x14ac:dyDescent="0.2">
      <c r="C243" s="2" t="s">
        <v>18</v>
      </c>
      <c r="D243" s="2" t="s">
        <v>798</v>
      </c>
      <c r="E243" s="3">
        <v>50</v>
      </c>
      <c r="F243" s="3">
        <v>8</v>
      </c>
      <c r="G243" s="4">
        <v>44496</v>
      </c>
      <c r="I243" s="1" t="s">
        <v>4302</v>
      </c>
    </row>
    <row r="244" spans="3:10" x14ac:dyDescent="0.2">
      <c r="C244" s="2" t="s">
        <v>7</v>
      </c>
      <c r="D244" s="2" t="s">
        <v>798</v>
      </c>
      <c r="E244" s="3">
        <v>22</v>
      </c>
      <c r="F244" s="3">
        <v>12</v>
      </c>
      <c r="G244" s="4">
        <v>44153</v>
      </c>
      <c r="I244" s="250" t="s">
        <v>7570</v>
      </c>
    </row>
    <row r="245" spans="3:10" x14ac:dyDescent="0.2">
      <c r="C245" s="2" t="s">
        <v>7</v>
      </c>
      <c r="D245" s="2" t="s">
        <v>864</v>
      </c>
      <c r="E245" s="3">
        <v>50</v>
      </c>
      <c r="F245" s="3">
        <v>7</v>
      </c>
      <c r="G245" s="4">
        <v>44628</v>
      </c>
      <c r="I245" s="250" t="s">
        <v>7571</v>
      </c>
    </row>
    <row r="246" spans="3:10" x14ac:dyDescent="0.2">
      <c r="C246" s="2" t="s">
        <v>7</v>
      </c>
      <c r="D246" s="2" t="s">
        <v>1011</v>
      </c>
      <c r="E246" s="3">
        <v>43</v>
      </c>
      <c r="F246" s="3">
        <v>6</v>
      </c>
      <c r="G246" s="4">
        <v>44978</v>
      </c>
      <c r="I246" s="1" t="s">
        <v>7572</v>
      </c>
    </row>
    <row r="247" spans="3:10" x14ac:dyDescent="0.2">
      <c r="C247" s="2" t="s">
        <v>5</v>
      </c>
      <c r="D247" s="2" t="s">
        <v>1011</v>
      </c>
      <c r="E247" s="3">
        <v>26</v>
      </c>
      <c r="F247" s="3">
        <v>13</v>
      </c>
      <c r="G247" s="4">
        <v>44453</v>
      </c>
    </row>
    <row r="248" spans="3:10" x14ac:dyDescent="0.2">
      <c r="C248" s="2" t="s">
        <v>7</v>
      </c>
      <c r="D248" s="2" t="s">
        <v>894</v>
      </c>
      <c r="E248" s="3">
        <v>40</v>
      </c>
      <c r="F248" s="3">
        <v>20</v>
      </c>
      <c r="G248" s="4">
        <v>44728</v>
      </c>
    </row>
    <row r="249" spans="3:10" x14ac:dyDescent="0.2">
      <c r="C249" s="2" t="s">
        <v>7</v>
      </c>
      <c r="D249" s="2" t="s">
        <v>871</v>
      </c>
      <c r="E249" s="3">
        <v>30</v>
      </c>
      <c r="F249" s="3">
        <f>20/3</f>
        <v>6.666666666666667</v>
      </c>
      <c r="G249" s="4">
        <v>44510</v>
      </c>
    </row>
    <row r="250" spans="3:10" x14ac:dyDescent="0.2">
      <c r="C250" s="2" t="s">
        <v>5</v>
      </c>
      <c r="D250" s="2" t="s">
        <v>871</v>
      </c>
      <c r="E250" s="3">
        <v>21.4</v>
      </c>
      <c r="F250" s="3">
        <v>5</v>
      </c>
      <c r="G250" s="4">
        <v>44232</v>
      </c>
    </row>
    <row r="251" spans="3:10" x14ac:dyDescent="0.2">
      <c r="C251" s="2" t="s">
        <v>7</v>
      </c>
      <c r="D251" s="2" t="s">
        <v>907</v>
      </c>
      <c r="E251" s="3">
        <v>97.4</v>
      </c>
      <c r="F251" s="3">
        <f>47/6</f>
        <v>7.833333333333333</v>
      </c>
      <c r="G251" s="4">
        <v>45041</v>
      </c>
    </row>
    <row r="252" spans="3:10" x14ac:dyDescent="0.2">
      <c r="C252" s="2" t="s">
        <v>7</v>
      </c>
      <c r="D252" s="2" t="s">
        <v>907</v>
      </c>
      <c r="E252" s="3">
        <v>80</v>
      </c>
      <c r="F252" s="3">
        <v>40</v>
      </c>
      <c r="G252" s="4">
        <v>44539</v>
      </c>
    </row>
    <row r="253" spans="3:10" x14ac:dyDescent="0.2">
      <c r="C253" s="2" t="s">
        <v>7</v>
      </c>
      <c r="D253" s="2" t="s">
        <v>286</v>
      </c>
      <c r="E253" s="3">
        <v>35</v>
      </c>
      <c r="F253" s="3">
        <v>5</v>
      </c>
      <c r="G253" s="4">
        <v>44309</v>
      </c>
    </row>
    <row r="254" spans="3:10" x14ac:dyDescent="0.2">
      <c r="C254" s="2" t="s">
        <v>8</v>
      </c>
      <c r="D254" s="2" t="s">
        <v>240</v>
      </c>
      <c r="E254" s="3">
        <v>81</v>
      </c>
      <c r="F254" s="3">
        <f>E254/6</f>
        <v>13.5</v>
      </c>
      <c r="G254" s="4">
        <v>43418</v>
      </c>
      <c r="I254" s="1">
        <v>1700</v>
      </c>
      <c r="J254" s="1">
        <v>3800</v>
      </c>
    </row>
    <row r="255" spans="3:10" x14ac:dyDescent="0.2">
      <c r="C255" s="2" t="s">
        <v>9</v>
      </c>
      <c r="D255" s="2" t="s">
        <v>55</v>
      </c>
      <c r="E255" s="3">
        <v>250</v>
      </c>
      <c r="F255" s="3">
        <v>30</v>
      </c>
      <c r="G255" s="4">
        <v>44350</v>
      </c>
      <c r="I255" s="1">
        <v>7000</v>
      </c>
      <c r="J255" s="1">
        <v>7000</v>
      </c>
    </row>
    <row r="256" spans="3:10" x14ac:dyDescent="0.2">
      <c r="C256" s="2" t="s">
        <v>8</v>
      </c>
      <c r="D256" s="2" t="s">
        <v>55</v>
      </c>
      <c r="E256" s="3">
        <v>200</v>
      </c>
      <c r="F256" s="3">
        <v>50</v>
      </c>
      <c r="G256" s="4">
        <v>44055</v>
      </c>
      <c r="I256" s="1">
        <v>2000</v>
      </c>
      <c r="J256" s="1">
        <v>7000</v>
      </c>
    </row>
    <row r="257" spans="1:11" x14ac:dyDescent="0.2">
      <c r="C257" s="52" t="s">
        <v>8</v>
      </c>
      <c r="D257" s="52" t="s">
        <v>2119</v>
      </c>
      <c r="E257" s="3">
        <v>175</v>
      </c>
      <c r="F257" s="3">
        <v>50</v>
      </c>
      <c r="G257" s="4">
        <v>44511</v>
      </c>
      <c r="I257" s="1">
        <v>3400</v>
      </c>
      <c r="J257" s="1">
        <v>3400</v>
      </c>
    </row>
    <row r="258" spans="1:11" x14ac:dyDescent="0.2">
      <c r="C258" s="55" t="s">
        <v>53</v>
      </c>
      <c r="D258" s="55" t="s">
        <v>5013</v>
      </c>
      <c r="E258" s="3">
        <v>100</v>
      </c>
      <c r="F258" s="3">
        <f>70/5</f>
        <v>14</v>
      </c>
      <c r="G258" s="4">
        <v>44474</v>
      </c>
    </row>
    <row r="259" spans="1:11" x14ac:dyDescent="0.2">
      <c r="C259" s="55" t="s">
        <v>9</v>
      </c>
      <c r="D259" s="55" t="s">
        <v>5013</v>
      </c>
      <c r="E259" s="3">
        <v>43</v>
      </c>
      <c r="F259" s="3">
        <f>23/3</f>
        <v>7.666666666666667</v>
      </c>
      <c r="G259" s="4">
        <v>43992</v>
      </c>
    </row>
    <row r="260" spans="1:11" x14ac:dyDescent="0.2">
      <c r="C260" s="55" t="s">
        <v>8</v>
      </c>
      <c r="D260" s="55" t="s">
        <v>5013</v>
      </c>
      <c r="E260" s="3">
        <v>40</v>
      </c>
      <c r="F260" s="3">
        <v>20</v>
      </c>
      <c r="G260" s="4">
        <v>43320</v>
      </c>
      <c r="I260" s="1">
        <v>210</v>
      </c>
      <c r="J260" s="1">
        <v>210</v>
      </c>
    </row>
    <row r="261" spans="1:11" x14ac:dyDescent="0.2">
      <c r="C261" s="55" t="s">
        <v>18</v>
      </c>
      <c r="D261" s="55" t="s">
        <v>5013</v>
      </c>
      <c r="E261" s="3">
        <v>27</v>
      </c>
      <c r="F261" s="3">
        <v>10</v>
      </c>
      <c r="G261" s="4">
        <v>42851</v>
      </c>
      <c r="J261" s="1">
        <v>210</v>
      </c>
    </row>
    <row r="262" spans="1:11" x14ac:dyDescent="0.2">
      <c r="C262" s="161" t="s">
        <v>7</v>
      </c>
      <c r="D262" s="161" t="s">
        <v>2039</v>
      </c>
      <c r="E262" s="3">
        <v>25</v>
      </c>
      <c r="F262" s="3">
        <v>7</v>
      </c>
      <c r="G262" s="4">
        <v>43528</v>
      </c>
    </row>
    <row r="263" spans="1:11" x14ac:dyDescent="0.2">
      <c r="C263" s="176" t="s">
        <v>5</v>
      </c>
      <c r="D263" s="176" t="s">
        <v>2034</v>
      </c>
      <c r="E263" s="3">
        <v>24</v>
      </c>
      <c r="F263" s="3">
        <f>E263/2</f>
        <v>12</v>
      </c>
      <c r="G263" s="4">
        <v>44719</v>
      </c>
    </row>
    <row r="264" spans="1:11" x14ac:dyDescent="0.2">
      <c r="C264" s="282" t="s">
        <v>2489</v>
      </c>
      <c r="D264" s="282" t="s">
        <v>1006</v>
      </c>
      <c r="E264" s="3">
        <v>1600</v>
      </c>
      <c r="F264" s="3">
        <f>1400/27</f>
        <v>51.851851851851855</v>
      </c>
      <c r="G264" s="4">
        <v>44439</v>
      </c>
      <c r="I264" s="1">
        <v>36400</v>
      </c>
      <c r="J264" s="1">
        <v>42500</v>
      </c>
    </row>
    <row r="265" spans="1:11" x14ac:dyDescent="0.2">
      <c r="C265" s="282" t="s">
        <v>504</v>
      </c>
      <c r="D265" s="282" t="s">
        <v>1006</v>
      </c>
      <c r="E265" s="3">
        <v>1000</v>
      </c>
      <c r="F265" s="3">
        <f>900/23</f>
        <v>39.130434782608695</v>
      </c>
      <c r="G265" s="4">
        <v>44228</v>
      </c>
      <c r="I265" s="1">
        <v>27000</v>
      </c>
      <c r="J265" s="1">
        <v>42500</v>
      </c>
    </row>
    <row r="266" spans="1:11" x14ac:dyDescent="0.2">
      <c r="C266" s="282" t="s">
        <v>18</v>
      </c>
      <c r="D266" s="282" t="s">
        <v>962</v>
      </c>
      <c r="E266" s="3">
        <v>50</v>
      </c>
      <c r="F266" s="3">
        <v>5</v>
      </c>
      <c r="G266" s="4">
        <v>45147</v>
      </c>
      <c r="I266" s="1">
        <v>1200</v>
      </c>
      <c r="J266" s="1">
        <v>1200</v>
      </c>
    </row>
    <row r="267" spans="1:11" x14ac:dyDescent="0.2">
      <c r="G267" s="4"/>
      <c r="I267" s="12"/>
      <c r="J267" s="12"/>
      <c r="K267" s="12"/>
    </row>
    <row r="268" spans="1:11" x14ac:dyDescent="0.2">
      <c r="A268" s="1">
        <v>12</v>
      </c>
      <c r="B268" s="12" t="s">
        <v>7411</v>
      </c>
      <c r="C268" s="13" t="s">
        <v>969</v>
      </c>
      <c r="D268" s="13" t="s">
        <v>968</v>
      </c>
      <c r="E268" s="15"/>
      <c r="F268" s="15">
        <f>SUM(F269:F295)</f>
        <v>467.58500000000004</v>
      </c>
      <c r="G268" s="14">
        <f>G272</f>
        <v>45062</v>
      </c>
      <c r="I268" s="1">
        <v>8600</v>
      </c>
      <c r="J268" s="21">
        <f>+F268/I268</f>
        <v>5.4370348837209308E-2</v>
      </c>
      <c r="K268" s="1">
        <v>2000</v>
      </c>
    </row>
    <row r="269" spans="1:11" x14ac:dyDescent="0.2">
      <c r="B269" s="266" t="s">
        <v>7836</v>
      </c>
      <c r="C269" s="2" t="s">
        <v>7</v>
      </c>
      <c r="D269" s="2" t="s">
        <v>949</v>
      </c>
      <c r="E269" s="3">
        <v>350</v>
      </c>
      <c r="F269" s="3">
        <v>75</v>
      </c>
      <c r="G269" s="4">
        <v>44999</v>
      </c>
    </row>
    <row r="270" spans="1:11" x14ac:dyDescent="0.2">
      <c r="B270" s="266" t="s">
        <v>7837</v>
      </c>
      <c r="C270" s="2" t="s">
        <v>18</v>
      </c>
      <c r="D270" s="2" t="s">
        <v>1043</v>
      </c>
      <c r="E270" s="3">
        <v>100</v>
      </c>
      <c r="F270" s="3">
        <v>15</v>
      </c>
      <c r="G270" s="4">
        <v>44699</v>
      </c>
    </row>
    <row r="271" spans="1:11" x14ac:dyDescent="0.2">
      <c r="B271" s="266" t="s">
        <v>7838</v>
      </c>
      <c r="C271" s="2" t="s">
        <v>7</v>
      </c>
      <c r="D271" s="2" t="s">
        <v>1043</v>
      </c>
      <c r="E271" s="3">
        <v>40</v>
      </c>
      <c r="F271" s="3">
        <v>15</v>
      </c>
      <c r="G271" s="4">
        <v>44286</v>
      </c>
    </row>
    <row r="272" spans="1:11" x14ac:dyDescent="0.2">
      <c r="B272" s="266" t="s">
        <v>7839</v>
      </c>
      <c r="C272" s="2" t="s">
        <v>4</v>
      </c>
      <c r="D272" s="2" t="s">
        <v>1129</v>
      </c>
      <c r="E272" s="3">
        <v>50</v>
      </c>
      <c r="F272" s="3">
        <v>25</v>
      </c>
      <c r="G272" s="4">
        <v>45062</v>
      </c>
    </row>
    <row r="273" spans="3:10" x14ac:dyDescent="0.2">
      <c r="C273" s="2" t="s">
        <v>5</v>
      </c>
      <c r="D273" s="2" t="s">
        <v>381</v>
      </c>
      <c r="E273" s="3">
        <v>86</v>
      </c>
      <c r="F273" s="3">
        <v>36</v>
      </c>
      <c r="G273" s="4">
        <v>44488</v>
      </c>
    </row>
    <row r="274" spans="3:10" x14ac:dyDescent="0.2">
      <c r="C274" s="2" t="s">
        <v>7</v>
      </c>
      <c r="D274" s="2" t="s">
        <v>360</v>
      </c>
      <c r="E274" s="3">
        <v>27.5</v>
      </c>
      <c r="F274" s="3">
        <f>E274/4</f>
        <v>6.875</v>
      </c>
      <c r="G274" s="4">
        <v>44181</v>
      </c>
    </row>
    <row r="275" spans="3:10" x14ac:dyDescent="0.2">
      <c r="C275" s="2" t="s">
        <v>5</v>
      </c>
      <c r="D275" s="2" t="s">
        <v>360</v>
      </c>
      <c r="E275" s="3">
        <v>10.7</v>
      </c>
      <c r="F275" s="3">
        <v>4</v>
      </c>
      <c r="G275" s="4">
        <v>43250</v>
      </c>
    </row>
    <row r="276" spans="3:10" x14ac:dyDescent="0.2">
      <c r="C276" s="2" t="s">
        <v>53</v>
      </c>
      <c r="D276" s="2" t="s">
        <v>47</v>
      </c>
      <c r="E276" s="3">
        <v>100</v>
      </c>
      <c r="F276" s="3">
        <v>11</v>
      </c>
      <c r="G276" s="4">
        <v>44515</v>
      </c>
      <c r="I276" s="1">
        <v>4100</v>
      </c>
      <c r="J276" s="1">
        <v>4100</v>
      </c>
    </row>
    <row r="277" spans="3:10" x14ac:dyDescent="0.2">
      <c r="C277" s="2" t="s">
        <v>8</v>
      </c>
      <c r="D277" s="2" t="s">
        <v>47</v>
      </c>
      <c r="E277" s="3">
        <v>145</v>
      </c>
      <c r="F277" s="3">
        <v>14.166666666666666</v>
      </c>
      <c r="G277" s="4">
        <v>43228</v>
      </c>
      <c r="I277" s="1">
        <v>855</v>
      </c>
      <c r="J277" s="1">
        <v>4100</v>
      </c>
    </row>
    <row r="278" spans="3:10" x14ac:dyDescent="0.2">
      <c r="C278" s="2" t="s">
        <v>18</v>
      </c>
      <c r="D278" s="2" t="s">
        <v>47</v>
      </c>
      <c r="E278" s="3">
        <v>50</v>
      </c>
      <c r="F278" s="3">
        <v>15</v>
      </c>
      <c r="G278" s="4">
        <v>42509</v>
      </c>
      <c r="J278" s="1">
        <v>4100</v>
      </c>
    </row>
    <row r="279" spans="3:10" x14ac:dyDescent="0.2">
      <c r="C279" s="2" t="s">
        <v>8</v>
      </c>
      <c r="D279" s="2" t="s">
        <v>15</v>
      </c>
      <c r="E279" s="3">
        <v>220</v>
      </c>
      <c r="F279" s="3">
        <v>30</v>
      </c>
      <c r="G279" s="4">
        <v>44502</v>
      </c>
      <c r="I279" s="1">
        <v>794</v>
      </c>
      <c r="J279" s="1">
        <v>794</v>
      </c>
    </row>
    <row r="280" spans="3:10" x14ac:dyDescent="0.2">
      <c r="C280" s="2" t="s">
        <v>8</v>
      </c>
      <c r="D280" s="2" t="s">
        <v>15</v>
      </c>
      <c r="E280" s="3">
        <v>220</v>
      </c>
      <c r="F280" s="3">
        <v>26.666666666666668</v>
      </c>
      <c r="G280" s="4">
        <v>44322</v>
      </c>
      <c r="I280" s="1">
        <v>780</v>
      </c>
      <c r="J280" s="1">
        <v>780</v>
      </c>
    </row>
    <row r="281" spans="3:10" x14ac:dyDescent="0.2">
      <c r="C281" s="2" t="s">
        <v>18</v>
      </c>
      <c r="D281" s="2" t="s">
        <v>15</v>
      </c>
      <c r="E281" s="3">
        <v>60</v>
      </c>
      <c r="F281" s="3">
        <v>10</v>
      </c>
      <c r="G281" s="4">
        <v>43528</v>
      </c>
    </row>
    <row r="282" spans="3:10" x14ac:dyDescent="0.2">
      <c r="C282" s="2" t="s">
        <v>7</v>
      </c>
      <c r="D282" s="2" t="s">
        <v>15</v>
      </c>
      <c r="E282" s="3">
        <v>28</v>
      </c>
      <c r="F282" s="3">
        <v>10</v>
      </c>
      <c r="G282" s="4">
        <v>43031</v>
      </c>
    </row>
    <row r="283" spans="3:10" x14ac:dyDescent="0.2">
      <c r="C283" s="2" t="s">
        <v>9</v>
      </c>
      <c r="D283" s="2" t="s">
        <v>52</v>
      </c>
      <c r="E283" s="3">
        <v>220</v>
      </c>
      <c r="F283" s="3">
        <v>28</v>
      </c>
      <c r="G283" s="4">
        <v>44357</v>
      </c>
      <c r="I283" s="1">
        <v>1900</v>
      </c>
      <c r="J283" s="1">
        <v>1900</v>
      </c>
    </row>
    <row r="284" spans="3:10" x14ac:dyDescent="0.2">
      <c r="C284" s="2" t="s">
        <v>8</v>
      </c>
      <c r="D284" s="2" t="s">
        <v>52</v>
      </c>
      <c r="E284" s="3">
        <v>125</v>
      </c>
      <c r="F284" s="3">
        <v>50</v>
      </c>
      <c r="G284" s="4">
        <v>44131</v>
      </c>
      <c r="I284" s="1">
        <v>875</v>
      </c>
      <c r="J284" s="1">
        <v>1900</v>
      </c>
    </row>
    <row r="285" spans="3:10" x14ac:dyDescent="0.2">
      <c r="C285" s="52" t="s">
        <v>8</v>
      </c>
      <c r="D285" s="52" t="s">
        <v>2119</v>
      </c>
      <c r="E285" s="3">
        <v>175</v>
      </c>
      <c r="F285" s="3">
        <f>75/4</f>
        <v>18.75</v>
      </c>
      <c r="G285" s="4">
        <v>44511</v>
      </c>
      <c r="I285" s="1">
        <v>3400</v>
      </c>
      <c r="J285" s="1">
        <v>3400</v>
      </c>
    </row>
    <row r="286" spans="3:10" x14ac:dyDescent="0.2">
      <c r="C286" s="52" t="s">
        <v>18</v>
      </c>
      <c r="D286" s="52" t="s">
        <v>2119</v>
      </c>
      <c r="E286" s="3">
        <v>125</v>
      </c>
      <c r="F286" s="3">
        <v>35</v>
      </c>
      <c r="G286" s="53">
        <v>44126</v>
      </c>
      <c r="I286" s="1">
        <v>1100</v>
      </c>
      <c r="J286" s="1">
        <v>3400</v>
      </c>
    </row>
    <row r="287" spans="3:10" x14ac:dyDescent="0.2">
      <c r="C287" s="52" t="s">
        <v>7</v>
      </c>
      <c r="D287" s="52" t="s">
        <v>2119</v>
      </c>
      <c r="E287" s="3">
        <v>40</v>
      </c>
      <c r="F287" s="3">
        <v>10</v>
      </c>
      <c r="G287" s="53">
        <v>43720</v>
      </c>
      <c r="J287" s="1">
        <v>3400</v>
      </c>
    </row>
    <row r="288" spans="3:10" x14ac:dyDescent="0.2">
      <c r="C288" s="93" t="s">
        <v>8</v>
      </c>
      <c r="D288" s="93" t="s">
        <v>5426</v>
      </c>
      <c r="E288" s="3">
        <v>50</v>
      </c>
      <c r="F288" s="3">
        <f>30/4</f>
        <v>7.5</v>
      </c>
      <c r="G288" s="53">
        <v>44307</v>
      </c>
      <c r="I288" s="1">
        <v>2000</v>
      </c>
      <c r="J288" s="1">
        <v>2000</v>
      </c>
    </row>
    <row r="289" spans="1:11" x14ac:dyDescent="0.2">
      <c r="C289" s="93" t="s">
        <v>18</v>
      </c>
      <c r="D289" s="93" t="s">
        <v>5426</v>
      </c>
      <c r="E289" s="3">
        <v>37</v>
      </c>
      <c r="F289" s="3">
        <v>6</v>
      </c>
      <c r="G289" s="53">
        <v>43831</v>
      </c>
      <c r="J289" s="1">
        <v>2000</v>
      </c>
    </row>
    <row r="290" spans="1:11" x14ac:dyDescent="0.2">
      <c r="C290" s="93" t="s">
        <v>7</v>
      </c>
      <c r="D290" s="93" t="s">
        <v>5426</v>
      </c>
      <c r="E290" s="3">
        <v>13.5</v>
      </c>
      <c r="F290" s="3">
        <f>8/3</f>
        <v>2.6666666666666665</v>
      </c>
      <c r="G290" s="53">
        <v>43320</v>
      </c>
      <c r="J290" s="1">
        <v>2000</v>
      </c>
    </row>
    <row r="291" spans="1:11" x14ac:dyDescent="0.2">
      <c r="C291" s="93" t="s">
        <v>5</v>
      </c>
      <c r="D291" s="93" t="s">
        <v>5426</v>
      </c>
      <c r="E291" s="3">
        <v>18.100000000000001</v>
      </c>
      <c r="F291" s="3">
        <v>2</v>
      </c>
      <c r="G291" s="53">
        <v>42719</v>
      </c>
      <c r="J291" s="1">
        <v>2000</v>
      </c>
    </row>
    <row r="292" spans="1:11" x14ac:dyDescent="0.2">
      <c r="C292" s="93" t="s">
        <v>4</v>
      </c>
      <c r="D292" s="93" t="s">
        <v>5426</v>
      </c>
      <c r="E292" s="3">
        <v>2.1</v>
      </c>
      <c r="F292" s="3">
        <v>2.1</v>
      </c>
      <c r="G292" s="53">
        <v>41988</v>
      </c>
      <c r="J292" s="1">
        <v>2000</v>
      </c>
    </row>
    <row r="293" spans="1:11" x14ac:dyDescent="0.2">
      <c r="C293" s="161" t="s">
        <v>5</v>
      </c>
      <c r="D293" s="161" t="s">
        <v>2042</v>
      </c>
      <c r="E293" s="3">
        <v>18</v>
      </c>
      <c r="F293" s="3">
        <v>4</v>
      </c>
      <c r="G293" s="53">
        <v>43445</v>
      </c>
    </row>
    <row r="294" spans="1:11" x14ac:dyDescent="0.2">
      <c r="C294" s="161" t="s">
        <v>4</v>
      </c>
      <c r="D294" s="161" t="s">
        <v>2042</v>
      </c>
      <c r="E294" s="3">
        <v>4.3</v>
      </c>
      <c r="F294" s="3">
        <f>E294/5</f>
        <v>0.86</v>
      </c>
      <c r="G294" s="53">
        <v>43157</v>
      </c>
    </row>
    <row r="295" spans="1:11" x14ac:dyDescent="0.2">
      <c r="C295" s="161" t="s">
        <v>7</v>
      </c>
      <c r="D295" s="161" t="s">
        <v>2039</v>
      </c>
      <c r="E295" s="3">
        <v>25</v>
      </c>
      <c r="F295" s="3">
        <v>7</v>
      </c>
      <c r="G295" s="53">
        <v>43528</v>
      </c>
    </row>
    <row r="296" spans="1:11" x14ac:dyDescent="0.2">
      <c r="G296" s="4"/>
    </row>
    <row r="297" spans="1:11" x14ac:dyDescent="0.2">
      <c r="A297" s="1">
        <v>13</v>
      </c>
      <c r="B297" s="12" t="s">
        <v>7412</v>
      </c>
      <c r="C297" s="13" t="s">
        <v>969</v>
      </c>
      <c r="D297" s="13" t="s">
        <v>968</v>
      </c>
      <c r="E297" s="15"/>
      <c r="F297" s="15">
        <f>SUM(F298:F323)</f>
        <v>514.35185185185185</v>
      </c>
      <c r="G297" s="14">
        <f>+G323</f>
        <v>45147</v>
      </c>
      <c r="I297" s="12">
        <v>90000</v>
      </c>
      <c r="J297" s="22">
        <f>+F297/I297</f>
        <v>5.715020576131687E-3</v>
      </c>
      <c r="K297" s="12">
        <v>1995</v>
      </c>
    </row>
    <row r="298" spans="1:11" x14ac:dyDescent="0.2">
      <c r="B298" s="266" t="s">
        <v>7840</v>
      </c>
      <c r="C298" s="2" t="s">
        <v>5</v>
      </c>
      <c r="D298" s="2" t="s">
        <v>763</v>
      </c>
      <c r="E298" s="3">
        <v>125</v>
      </c>
      <c r="F298" s="3">
        <v>35</v>
      </c>
      <c r="G298" s="4">
        <v>44852</v>
      </c>
    </row>
    <row r="299" spans="1:11" x14ac:dyDescent="0.2">
      <c r="C299" s="2" t="s">
        <v>18</v>
      </c>
      <c r="D299" s="2" t="s">
        <v>962</v>
      </c>
      <c r="E299" s="3">
        <v>135</v>
      </c>
      <c r="F299" s="3">
        <v>25</v>
      </c>
      <c r="G299" s="4">
        <v>44482</v>
      </c>
      <c r="J299" s="1">
        <v>1200</v>
      </c>
    </row>
    <row r="300" spans="1:11" x14ac:dyDescent="0.2">
      <c r="C300" s="2" t="s">
        <v>7</v>
      </c>
      <c r="D300" s="2" t="s">
        <v>962</v>
      </c>
      <c r="E300" s="3">
        <v>45</v>
      </c>
      <c r="F300" s="3">
        <v>15</v>
      </c>
      <c r="G300" s="4">
        <v>44228</v>
      </c>
      <c r="J300" s="1">
        <v>1200</v>
      </c>
    </row>
    <row r="301" spans="1:11" x14ac:dyDescent="0.2">
      <c r="C301" s="2" t="s">
        <v>5</v>
      </c>
      <c r="D301" s="2" t="s">
        <v>932</v>
      </c>
      <c r="E301" s="3">
        <v>30</v>
      </c>
      <c r="F301" s="3">
        <v>10</v>
      </c>
      <c r="G301" s="4">
        <v>44656</v>
      </c>
    </row>
    <row r="302" spans="1:11" x14ac:dyDescent="0.2">
      <c r="C302" s="2" t="s">
        <v>7</v>
      </c>
      <c r="D302" s="2" t="s">
        <v>735</v>
      </c>
      <c r="E302" s="3">
        <v>25</v>
      </c>
      <c r="F302" s="3">
        <v>10</v>
      </c>
      <c r="G302" s="4">
        <v>44755</v>
      </c>
      <c r="I302" s="92" t="s">
        <v>5673</v>
      </c>
    </row>
    <row r="303" spans="1:11" x14ac:dyDescent="0.2">
      <c r="C303" s="2" t="s">
        <v>5</v>
      </c>
      <c r="D303" s="2" t="s">
        <v>735</v>
      </c>
      <c r="E303" s="3">
        <v>21</v>
      </c>
      <c r="F303" s="3">
        <v>7</v>
      </c>
      <c r="G303" s="4">
        <v>44489</v>
      </c>
      <c r="I303" s="92" t="s">
        <v>6009</v>
      </c>
    </row>
    <row r="304" spans="1:11" x14ac:dyDescent="0.2">
      <c r="C304" s="2" t="s">
        <v>5</v>
      </c>
      <c r="D304" s="2" t="s">
        <v>725</v>
      </c>
      <c r="E304" s="3">
        <v>20</v>
      </c>
      <c r="F304" s="3">
        <v>7</v>
      </c>
      <c r="G304" s="4">
        <v>44676</v>
      </c>
      <c r="I304" s="184" t="s">
        <v>6754</v>
      </c>
    </row>
    <row r="305" spans="3:10" x14ac:dyDescent="0.2">
      <c r="C305" s="2" t="s">
        <v>5</v>
      </c>
      <c r="D305" s="2" t="s">
        <v>825</v>
      </c>
      <c r="E305" s="3">
        <v>20</v>
      </c>
      <c r="F305" s="3">
        <v>5</v>
      </c>
      <c r="G305" s="4">
        <v>44602</v>
      </c>
    </row>
    <row r="306" spans="3:10" x14ac:dyDescent="0.2">
      <c r="C306" s="2" t="s">
        <v>5</v>
      </c>
      <c r="D306" s="2" t="s">
        <v>1123</v>
      </c>
      <c r="E306" s="3">
        <v>20</v>
      </c>
      <c r="F306" s="3">
        <v>10</v>
      </c>
      <c r="G306" s="4">
        <v>44371</v>
      </c>
    </row>
    <row r="307" spans="3:10" x14ac:dyDescent="0.2">
      <c r="C307" s="2" t="s">
        <v>5</v>
      </c>
      <c r="D307" s="2" t="s">
        <v>1122</v>
      </c>
      <c r="E307" s="3">
        <v>15</v>
      </c>
      <c r="F307" s="3">
        <v>5</v>
      </c>
      <c r="G307" s="4">
        <v>44468</v>
      </c>
    </row>
    <row r="308" spans="3:10" x14ac:dyDescent="0.2">
      <c r="C308" s="2" t="s">
        <v>7</v>
      </c>
      <c r="D308" s="2" t="s">
        <v>446</v>
      </c>
      <c r="E308" s="3">
        <v>30</v>
      </c>
      <c r="F308" s="3">
        <v>15</v>
      </c>
      <c r="G308" s="4">
        <v>44756</v>
      </c>
    </row>
    <row r="309" spans="3:10" x14ac:dyDescent="0.2">
      <c r="C309" s="2" t="s">
        <v>7</v>
      </c>
      <c r="D309" s="2" t="s">
        <v>525</v>
      </c>
      <c r="E309" s="3">
        <v>32</v>
      </c>
      <c r="F309" s="3">
        <v>12</v>
      </c>
      <c r="G309" s="4">
        <v>44364</v>
      </c>
    </row>
    <row r="310" spans="3:10" x14ac:dyDescent="0.2">
      <c r="C310" s="2" t="s">
        <v>5</v>
      </c>
      <c r="D310" s="2" t="s">
        <v>313</v>
      </c>
      <c r="E310" s="3">
        <v>57</v>
      </c>
      <c r="F310" s="3">
        <v>6</v>
      </c>
      <c r="G310" s="4">
        <v>44508</v>
      </c>
    </row>
    <row r="311" spans="3:10" x14ac:dyDescent="0.2">
      <c r="C311" s="2" t="s">
        <v>53</v>
      </c>
      <c r="D311" s="2" t="s">
        <v>154</v>
      </c>
      <c r="E311" s="3">
        <v>200</v>
      </c>
      <c r="F311" s="3">
        <v>50</v>
      </c>
      <c r="G311" s="4">
        <v>44907</v>
      </c>
      <c r="I311" s="1">
        <v>3500</v>
      </c>
    </row>
    <row r="312" spans="3:10" x14ac:dyDescent="0.2">
      <c r="C312" s="2" t="s">
        <v>9</v>
      </c>
      <c r="D312" s="2" t="s">
        <v>154</v>
      </c>
      <c r="E312" s="3">
        <v>400</v>
      </c>
      <c r="F312" s="3">
        <v>36</v>
      </c>
      <c r="G312" s="4">
        <v>44413</v>
      </c>
      <c r="I312" s="1">
        <v>4200</v>
      </c>
    </row>
    <row r="313" spans="3:10" x14ac:dyDescent="0.2">
      <c r="C313" s="2" t="s">
        <v>8</v>
      </c>
      <c r="D313" s="2" t="s">
        <v>57</v>
      </c>
      <c r="E313" s="3">
        <v>250</v>
      </c>
      <c r="F313" s="3">
        <f>150/4</f>
        <v>37.5</v>
      </c>
      <c r="G313" s="4">
        <v>45069</v>
      </c>
    </row>
    <row r="314" spans="3:10" x14ac:dyDescent="0.2">
      <c r="C314" s="2" t="s">
        <v>18</v>
      </c>
      <c r="D314" s="2" t="s">
        <v>57</v>
      </c>
      <c r="E314" s="3">
        <v>100</v>
      </c>
      <c r="F314" s="3">
        <v>25</v>
      </c>
      <c r="G314" s="4">
        <v>44650</v>
      </c>
    </row>
    <row r="315" spans="3:10" x14ac:dyDescent="0.2">
      <c r="C315" s="93" t="s">
        <v>7</v>
      </c>
      <c r="D315" s="93" t="s">
        <v>5250</v>
      </c>
      <c r="E315" s="3">
        <v>55</v>
      </c>
      <c r="F315" s="3">
        <v>55</v>
      </c>
      <c r="G315" s="4">
        <v>43663</v>
      </c>
    </row>
    <row r="316" spans="3:10" x14ac:dyDescent="0.2">
      <c r="C316" s="93" t="s">
        <v>18</v>
      </c>
      <c r="D316" s="93" t="s">
        <v>5668</v>
      </c>
      <c r="E316" s="3">
        <v>75</v>
      </c>
      <c r="F316" s="3">
        <v>25</v>
      </c>
      <c r="G316" s="4">
        <v>44627</v>
      </c>
    </row>
    <row r="317" spans="3:10" x14ac:dyDescent="0.2">
      <c r="C317" s="93" t="s">
        <v>7</v>
      </c>
      <c r="D317" s="93" t="s">
        <v>5668</v>
      </c>
      <c r="E317" s="3">
        <v>75</v>
      </c>
      <c r="F317" s="3">
        <v>15</v>
      </c>
      <c r="G317" s="4">
        <v>44222</v>
      </c>
    </row>
    <row r="318" spans="3:10" x14ac:dyDescent="0.2">
      <c r="C318" s="93" t="s">
        <v>7</v>
      </c>
      <c r="D318" s="93" t="s">
        <v>6008</v>
      </c>
      <c r="E318" s="3">
        <v>50</v>
      </c>
      <c r="F318" s="3">
        <v>15</v>
      </c>
      <c r="G318" s="4">
        <v>44670</v>
      </c>
      <c r="J318" s="1">
        <v>250</v>
      </c>
    </row>
    <row r="319" spans="3:10" x14ac:dyDescent="0.2">
      <c r="C319" s="161" t="s">
        <v>7</v>
      </c>
      <c r="D319" s="161" t="s">
        <v>6424</v>
      </c>
      <c r="E319" s="3">
        <v>35</v>
      </c>
      <c r="F319" s="3">
        <v>15</v>
      </c>
      <c r="G319" s="4">
        <v>44468</v>
      </c>
    </row>
    <row r="320" spans="3:10" x14ac:dyDescent="0.2">
      <c r="C320" s="185" t="s">
        <v>5</v>
      </c>
      <c r="D320" s="185" t="s">
        <v>6708</v>
      </c>
      <c r="E320" s="3">
        <v>21</v>
      </c>
      <c r="F320" s="3">
        <v>12</v>
      </c>
      <c r="G320" s="4">
        <v>44515</v>
      </c>
    </row>
    <row r="321" spans="1:18" x14ac:dyDescent="0.2">
      <c r="C321" s="185" t="s">
        <v>5</v>
      </c>
      <c r="D321" s="185" t="s">
        <v>2026</v>
      </c>
      <c r="E321" s="3">
        <v>15.3</v>
      </c>
      <c r="F321" s="3">
        <v>10</v>
      </c>
      <c r="G321" s="4">
        <v>44733</v>
      </c>
    </row>
    <row r="322" spans="1:18" x14ac:dyDescent="0.2">
      <c r="C322" s="282" t="s">
        <v>2489</v>
      </c>
      <c r="D322" s="282" t="s">
        <v>1006</v>
      </c>
      <c r="E322" s="3">
        <v>1600</v>
      </c>
      <c r="F322" s="3">
        <f>1400/27</f>
        <v>51.851851851851855</v>
      </c>
      <c r="G322" s="4">
        <v>44439</v>
      </c>
    </row>
    <row r="323" spans="1:18" x14ac:dyDescent="0.2">
      <c r="C323" s="282" t="s">
        <v>1040</v>
      </c>
      <c r="D323" s="282" t="s">
        <v>962</v>
      </c>
      <c r="E323" s="3">
        <v>50</v>
      </c>
      <c r="F323" s="3">
        <v>5</v>
      </c>
      <c r="G323" s="4">
        <v>45147</v>
      </c>
      <c r="I323" s="1">
        <v>1200</v>
      </c>
      <c r="J323" s="1">
        <v>1200</v>
      </c>
    </row>
    <row r="324" spans="1:18" x14ac:dyDescent="0.2">
      <c r="G324" s="4"/>
      <c r="M324" s="1"/>
      <c r="N324" s="1"/>
      <c r="O324" s="1"/>
      <c r="P324" s="1"/>
      <c r="Q324" s="1"/>
      <c r="R324" s="1"/>
    </row>
    <row r="325" spans="1:18" s="12" customFormat="1" x14ac:dyDescent="0.2">
      <c r="A325" s="12">
        <v>14</v>
      </c>
      <c r="B325" s="12" t="s">
        <v>1138</v>
      </c>
      <c r="C325" s="13" t="s">
        <v>969</v>
      </c>
      <c r="D325" s="13" t="s">
        <v>968</v>
      </c>
      <c r="E325" s="15"/>
      <c r="F325" s="15">
        <f>+F326+F327</f>
        <v>431.81818181818181</v>
      </c>
      <c r="G325" s="14">
        <f>+G326</f>
        <v>44363</v>
      </c>
      <c r="I325" s="13" t="s">
        <v>1</v>
      </c>
      <c r="J325" s="13" t="s">
        <v>1</v>
      </c>
      <c r="K325" s="13" t="s">
        <v>1</v>
      </c>
      <c r="M325" s="13"/>
      <c r="N325" s="13"/>
      <c r="O325" s="13"/>
      <c r="P325" s="13"/>
      <c r="Q325" s="13"/>
      <c r="R325" s="13"/>
    </row>
    <row r="326" spans="1:18" x14ac:dyDescent="0.2">
      <c r="B326" s="266" t="s">
        <v>7663</v>
      </c>
      <c r="C326" s="2" t="s">
        <v>7</v>
      </c>
      <c r="D326" s="2" t="s">
        <v>1125</v>
      </c>
      <c r="E326" s="3">
        <v>2500</v>
      </c>
      <c r="F326" s="3">
        <f>2000/11</f>
        <v>181.81818181818181</v>
      </c>
      <c r="G326" s="4">
        <v>44363</v>
      </c>
    </row>
    <row r="327" spans="1:18" x14ac:dyDescent="0.2">
      <c r="C327" s="2" t="s">
        <v>5</v>
      </c>
      <c r="D327" s="2" t="s">
        <v>1125</v>
      </c>
      <c r="E327" s="3">
        <v>3000</v>
      </c>
      <c r="F327" s="3">
        <v>250</v>
      </c>
      <c r="G327" s="4">
        <v>43963</v>
      </c>
    </row>
    <row r="328" spans="1:18" x14ac:dyDescent="0.2">
      <c r="G328" s="4"/>
    </row>
    <row r="329" spans="1:18" x14ac:dyDescent="0.2">
      <c r="A329" s="1">
        <v>15</v>
      </c>
      <c r="B329" s="12" t="s">
        <v>7413</v>
      </c>
      <c r="C329" s="13" t="s">
        <v>969</v>
      </c>
      <c r="D329" s="13" t="s">
        <v>968</v>
      </c>
      <c r="E329" s="15"/>
      <c r="F329" s="15">
        <f>SUM(F330:F356)</f>
        <v>531.0156199677939</v>
      </c>
      <c r="G329" s="14">
        <f>G337</f>
        <v>45056</v>
      </c>
      <c r="I329" s="12">
        <v>25000</v>
      </c>
      <c r="J329" s="23">
        <f>+F329/I329</f>
        <v>2.1240624798711756E-2</v>
      </c>
      <c r="K329" s="12">
        <v>1977</v>
      </c>
    </row>
    <row r="330" spans="1:18" x14ac:dyDescent="0.2">
      <c r="B330" s="265" t="s">
        <v>7664</v>
      </c>
      <c r="C330" s="2" t="s">
        <v>1116</v>
      </c>
      <c r="D330" s="2" t="s">
        <v>832</v>
      </c>
      <c r="E330" s="3">
        <v>100</v>
      </c>
      <c r="F330" s="3">
        <f>40/3</f>
        <v>13.333333333333334</v>
      </c>
      <c r="G330" s="4">
        <v>44537</v>
      </c>
    </row>
    <row r="331" spans="1:18" x14ac:dyDescent="0.2">
      <c r="C331" s="2" t="s">
        <v>7</v>
      </c>
      <c r="D331" s="2" t="s">
        <v>832</v>
      </c>
      <c r="E331" s="3">
        <v>40</v>
      </c>
      <c r="F331" s="3">
        <v>20</v>
      </c>
      <c r="G331" s="4">
        <v>44125</v>
      </c>
    </row>
    <row r="332" spans="1:18" x14ac:dyDescent="0.2">
      <c r="C332" s="2" t="s">
        <v>5</v>
      </c>
      <c r="D332" s="2" t="s">
        <v>832</v>
      </c>
      <c r="E332" s="3">
        <v>20</v>
      </c>
      <c r="F332" s="3">
        <f>12/6</f>
        <v>2</v>
      </c>
      <c r="G332" s="4">
        <v>43816</v>
      </c>
    </row>
    <row r="333" spans="1:18" x14ac:dyDescent="0.2">
      <c r="C333" s="2" t="s">
        <v>5</v>
      </c>
      <c r="D333" s="93" t="s">
        <v>1004</v>
      </c>
      <c r="E333" s="3">
        <v>25.6</v>
      </c>
      <c r="F333" s="3">
        <v>15</v>
      </c>
      <c r="G333" s="4">
        <v>45013</v>
      </c>
    </row>
    <row r="334" spans="1:18" x14ac:dyDescent="0.2">
      <c r="C334" s="2" t="s">
        <v>7</v>
      </c>
      <c r="D334" s="2" t="s">
        <v>796</v>
      </c>
      <c r="E334" s="3">
        <v>50</v>
      </c>
      <c r="F334" s="3">
        <f>30/5</f>
        <v>6</v>
      </c>
      <c r="G334" s="4">
        <v>45036</v>
      </c>
    </row>
    <row r="335" spans="1:18" x14ac:dyDescent="0.2">
      <c r="C335" s="2" t="s">
        <v>5</v>
      </c>
      <c r="D335" s="2" t="s">
        <v>796</v>
      </c>
      <c r="E335" s="3">
        <v>16.5</v>
      </c>
      <c r="F335" s="3">
        <v>6</v>
      </c>
      <c r="G335" s="4">
        <v>44614</v>
      </c>
    </row>
    <row r="336" spans="1:18" x14ac:dyDescent="0.2">
      <c r="C336" s="2" t="s">
        <v>4</v>
      </c>
      <c r="D336" s="2" t="s">
        <v>686</v>
      </c>
      <c r="E336" s="3">
        <v>30</v>
      </c>
      <c r="F336" s="3">
        <v>15</v>
      </c>
      <c r="G336" s="4">
        <v>44601</v>
      </c>
    </row>
    <row r="337" spans="3:10" x14ac:dyDescent="0.2">
      <c r="C337" s="2" t="s">
        <v>4</v>
      </c>
      <c r="D337" s="2" t="s">
        <v>829</v>
      </c>
      <c r="E337" s="3">
        <v>4.5</v>
      </c>
      <c r="F337" s="3">
        <v>2</v>
      </c>
      <c r="G337" s="4">
        <v>45056</v>
      </c>
    </row>
    <row r="338" spans="3:10" x14ac:dyDescent="0.2">
      <c r="C338" s="2" t="s">
        <v>278</v>
      </c>
      <c r="D338" s="2" t="s">
        <v>776</v>
      </c>
      <c r="E338" s="3">
        <v>4.5</v>
      </c>
      <c r="F338" s="3">
        <v>1</v>
      </c>
      <c r="G338" s="4">
        <v>44691</v>
      </c>
    </row>
    <row r="339" spans="3:10" x14ac:dyDescent="0.2">
      <c r="C339" s="2" t="s">
        <v>4</v>
      </c>
      <c r="D339" s="2" t="s">
        <v>654</v>
      </c>
      <c r="E339" s="3">
        <v>12.8</v>
      </c>
      <c r="F339" s="3">
        <v>5</v>
      </c>
      <c r="G339" s="4">
        <v>44601</v>
      </c>
    </row>
    <row r="340" spans="3:10" x14ac:dyDescent="0.2">
      <c r="C340" s="2" t="s">
        <v>4</v>
      </c>
      <c r="D340" s="2" t="s">
        <v>771</v>
      </c>
      <c r="E340" s="3">
        <v>10</v>
      </c>
      <c r="F340" s="3">
        <v>1</v>
      </c>
      <c r="G340" s="4">
        <v>44858</v>
      </c>
    </row>
    <row r="341" spans="3:10" x14ac:dyDescent="0.2">
      <c r="C341" s="2" t="s">
        <v>4</v>
      </c>
      <c r="D341" s="2" t="s">
        <v>771</v>
      </c>
      <c r="E341" s="3">
        <v>4.5999999999999996</v>
      </c>
      <c r="F341" s="3">
        <v>2</v>
      </c>
      <c r="G341" s="4">
        <v>44530</v>
      </c>
    </row>
    <row r="342" spans="3:10" x14ac:dyDescent="0.2">
      <c r="C342" s="2" t="s">
        <v>53</v>
      </c>
      <c r="D342" s="2" t="s">
        <v>489</v>
      </c>
      <c r="E342" s="3">
        <v>270</v>
      </c>
      <c r="F342" s="3">
        <v>22</v>
      </c>
      <c r="G342" s="4">
        <v>44152</v>
      </c>
    </row>
    <row r="343" spans="3:10" x14ac:dyDescent="0.2">
      <c r="C343" s="2" t="s">
        <v>9</v>
      </c>
      <c r="D343" s="2" t="s">
        <v>489</v>
      </c>
      <c r="E343" s="3">
        <v>206</v>
      </c>
      <c r="F343" s="3">
        <v>14</v>
      </c>
      <c r="G343" s="4">
        <v>43725</v>
      </c>
    </row>
    <row r="344" spans="3:10" x14ac:dyDescent="0.2">
      <c r="C344" s="2" t="s">
        <v>8</v>
      </c>
      <c r="D344" s="2" t="s">
        <v>489</v>
      </c>
      <c r="E344" s="3">
        <v>100</v>
      </c>
      <c r="F344" s="3">
        <v>15</v>
      </c>
      <c r="G344" s="4">
        <v>43397</v>
      </c>
    </row>
    <row r="345" spans="3:10" x14ac:dyDescent="0.2">
      <c r="C345" s="2" t="s">
        <v>18</v>
      </c>
      <c r="D345" s="2" t="s">
        <v>489</v>
      </c>
      <c r="E345" s="3">
        <v>67.2</v>
      </c>
      <c r="F345" s="3">
        <v>37.200000000000003</v>
      </c>
      <c r="G345" s="4">
        <v>42943</v>
      </c>
    </row>
    <row r="346" spans="3:10" x14ac:dyDescent="0.2">
      <c r="C346" s="2" t="s">
        <v>7</v>
      </c>
      <c r="D346" s="2" t="s">
        <v>475</v>
      </c>
      <c r="E346" s="3">
        <v>90</v>
      </c>
      <c r="F346" s="3">
        <v>6</v>
      </c>
      <c r="G346" s="4">
        <v>44398</v>
      </c>
    </row>
    <row r="347" spans="3:10" x14ac:dyDescent="0.2">
      <c r="C347" s="2" t="s">
        <v>5</v>
      </c>
      <c r="D347" s="2" t="s">
        <v>475</v>
      </c>
      <c r="E347" s="3">
        <v>22.8</v>
      </c>
      <c r="F347" s="3">
        <v>6.4</v>
      </c>
      <c r="G347" s="4">
        <v>43160</v>
      </c>
      <c r="J347" s="5"/>
    </row>
    <row r="348" spans="3:10" x14ac:dyDescent="0.2">
      <c r="C348" s="2" t="s">
        <v>9</v>
      </c>
      <c r="D348" s="2" t="s">
        <v>386</v>
      </c>
      <c r="E348" s="3">
        <v>400</v>
      </c>
      <c r="F348" s="3">
        <v>200</v>
      </c>
      <c r="G348" s="4">
        <v>44608</v>
      </c>
      <c r="J348" s="5"/>
    </row>
    <row r="349" spans="3:10" x14ac:dyDescent="0.2">
      <c r="C349" s="2" t="s">
        <v>5</v>
      </c>
      <c r="D349" s="2" t="s">
        <v>289</v>
      </c>
      <c r="E349" s="3">
        <v>30</v>
      </c>
      <c r="F349" s="3">
        <v>10</v>
      </c>
      <c r="G349" s="4">
        <v>44474</v>
      </c>
      <c r="J349" s="5"/>
    </row>
    <row r="350" spans="3:10" x14ac:dyDescent="0.2">
      <c r="C350" s="2" t="s">
        <v>4</v>
      </c>
      <c r="D350" s="2" t="s">
        <v>289</v>
      </c>
      <c r="E350" s="3">
        <v>15</v>
      </c>
      <c r="F350" s="3">
        <f>10/4</f>
        <v>2.5</v>
      </c>
      <c r="G350" s="4">
        <v>43775</v>
      </c>
      <c r="J350" s="5"/>
    </row>
    <row r="351" spans="3:10" x14ac:dyDescent="0.2">
      <c r="C351" s="2" t="s">
        <v>4</v>
      </c>
      <c r="D351" s="2" t="s">
        <v>1056</v>
      </c>
      <c r="E351" s="3">
        <v>4.3</v>
      </c>
      <c r="F351" s="3">
        <f>E351/3</f>
        <v>1.4333333333333333</v>
      </c>
      <c r="G351" s="4">
        <v>42821</v>
      </c>
      <c r="J351" s="5"/>
    </row>
    <row r="352" spans="3:10" x14ac:dyDescent="0.2">
      <c r="C352" s="2" t="s">
        <v>7</v>
      </c>
      <c r="D352" s="2" t="s">
        <v>128</v>
      </c>
      <c r="E352" s="3">
        <v>23.5</v>
      </c>
      <c r="F352" s="3">
        <f>14/4</f>
        <v>3.5</v>
      </c>
      <c r="G352" s="4">
        <v>45008</v>
      </c>
      <c r="J352" s="5"/>
    </row>
    <row r="353" spans="1:12" x14ac:dyDescent="0.2">
      <c r="C353" s="2" t="s">
        <v>5</v>
      </c>
      <c r="D353" s="2" t="s">
        <v>128</v>
      </c>
      <c r="E353" s="3">
        <v>16</v>
      </c>
      <c r="F353" s="3">
        <v>11</v>
      </c>
      <c r="G353" s="4">
        <v>44434</v>
      </c>
      <c r="J353" s="5"/>
    </row>
    <row r="354" spans="1:12" x14ac:dyDescent="0.2">
      <c r="C354" s="282" t="s">
        <v>2489</v>
      </c>
      <c r="D354" s="282" t="s">
        <v>1006</v>
      </c>
      <c r="E354" s="3">
        <v>1600</v>
      </c>
      <c r="F354" s="3">
        <f>1400/27</f>
        <v>51.851851851851855</v>
      </c>
      <c r="G354" s="4">
        <v>44439</v>
      </c>
      <c r="I354" s="1">
        <v>36000</v>
      </c>
      <c r="J354" s="5">
        <v>42500</v>
      </c>
    </row>
    <row r="355" spans="1:12" x14ac:dyDescent="0.2">
      <c r="C355" s="282" t="s">
        <v>504</v>
      </c>
      <c r="D355" s="282" t="s">
        <v>1006</v>
      </c>
      <c r="E355" s="3">
        <v>1000</v>
      </c>
      <c r="F355" s="3">
        <f>900/23</f>
        <v>39.130434782608695</v>
      </c>
      <c r="G355" s="4">
        <v>44228</v>
      </c>
      <c r="I355" s="1">
        <v>27000</v>
      </c>
      <c r="J355" s="5">
        <v>42500</v>
      </c>
    </row>
    <row r="356" spans="1:12" x14ac:dyDescent="0.2">
      <c r="C356" s="282" t="s">
        <v>9</v>
      </c>
      <c r="D356" s="282" t="s">
        <v>4897</v>
      </c>
      <c r="E356" s="3">
        <v>118</v>
      </c>
      <c r="F356" s="3">
        <f>68/3</f>
        <v>22.666666666666668</v>
      </c>
      <c r="G356" s="4">
        <v>45265</v>
      </c>
      <c r="I356" s="1">
        <v>9000</v>
      </c>
      <c r="J356" s="5">
        <v>9000</v>
      </c>
    </row>
    <row r="357" spans="1:12" x14ac:dyDescent="0.2">
      <c r="G357" s="4"/>
    </row>
    <row r="358" spans="1:12" x14ac:dyDescent="0.2">
      <c r="A358" s="1">
        <v>16</v>
      </c>
      <c r="B358" s="12" t="s">
        <v>7414</v>
      </c>
      <c r="C358" s="13" t="s">
        <v>969</v>
      </c>
      <c r="D358" s="13" t="s">
        <v>968</v>
      </c>
      <c r="E358" s="15"/>
      <c r="F358" s="15">
        <f>SUM(F359:F398)</f>
        <v>432.16774891774895</v>
      </c>
      <c r="G358" s="14">
        <f>G377</f>
        <v>45104</v>
      </c>
      <c r="I358" s="12">
        <v>85000</v>
      </c>
      <c r="J358" s="22">
        <f>+F358/I358</f>
        <v>5.0843264578558697E-3</v>
      </c>
      <c r="K358" s="12">
        <v>1972</v>
      </c>
    </row>
    <row r="359" spans="1:12" x14ac:dyDescent="0.2">
      <c r="B359" s="266" t="s">
        <v>7663</v>
      </c>
      <c r="C359" s="2" t="s">
        <v>18</v>
      </c>
      <c r="D359" s="2" t="s">
        <v>926</v>
      </c>
      <c r="E359" s="3">
        <v>100</v>
      </c>
      <c r="F359" s="3">
        <v>9</v>
      </c>
      <c r="G359" s="4">
        <v>44690</v>
      </c>
      <c r="I359" s="250"/>
      <c r="J359" s="250">
        <v>4300</v>
      </c>
      <c r="K359" s="250"/>
      <c r="L359" s="250"/>
    </row>
    <row r="360" spans="1:12" x14ac:dyDescent="0.2">
      <c r="C360" s="2" t="s">
        <v>18</v>
      </c>
      <c r="D360" s="2" t="s">
        <v>1043</v>
      </c>
      <c r="E360" s="3">
        <v>100</v>
      </c>
      <c r="F360" s="3">
        <v>40</v>
      </c>
      <c r="G360" s="4">
        <v>44699</v>
      </c>
      <c r="I360" s="250" t="s">
        <v>7629</v>
      </c>
      <c r="J360" s="250"/>
      <c r="K360" s="250"/>
      <c r="L360" s="250"/>
    </row>
    <row r="361" spans="1:12" x14ac:dyDescent="0.2">
      <c r="C361" s="2" t="s">
        <v>18</v>
      </c>
      <c r="D361" s="2" t="s">
        <v>1005</v>
      </c>
      <c r="E361" s="3">
        <v>100</v>
      </c>
      <c r="F361" s="3">
        <v>10</v>
      </c>
      <c r="G361" s="4">
        <v>44754</v>
      </c>
      <c r="I361" s="250" t="s">
        <v>4273</v>
      </c>
      <c r="J361" s="25" t="s">
        <v>4276</v>
      </c>
      <c r="K361" s="250"/>
      <c r="L361" s="250"/>
    </row>
    <row r="362" spans="1:12" x14ac:dyDescent="0.2">
      <c r="C362" s="2" t="s">
        <v>7</v>
      </c>
      <c r="D362" s="2" t="s">
        <v>1005</v>
      </c>
      <c r="E362" s="3">
        <v>35</v>
      </c>
      <c r="F362" s="3">
        <f>E362/2</f>
        <v>17.5</v>
      </c>
      <c r="G362" s="4">
        <v>44172</v>
      </c>
      <c r="I362" s="250" t="s">
        <v>4274</v>
      </c>
      <c r="J362" s="25" t="s">
        <v>4275</v>
      </c>
      <c r="K362" s="250"/>
      <c r="L362" s="250"/>
    </row>
    <row r="363" spans="1:12" x14ac:dyDescent="0.2">
      <c r="C363" s="2" t="s">
        <v>5</v>
      </c>
      <c r="D363" s="2" t="s">
        <v>1005</v>
      </c>
      <c r="E363" s="3">
        <v>20</v>
      </c>
      <c r="F363" s="3">
        <v>8</v>
      </c>
      <c r="G363" s="4">
        <v>43949</v>
      </c>
      <c r="I363" s="250" t="s">
        <v>4277</v>
      </c>
      <c r="J363" s="250"/>
      <c r="K363" s="250" t="s">
        <v>4278</v>
      </c>
      <c r="L363" s="250"/>
    </row>
    <row r="364" spans="1:12" x14ac:dyDescent="0.2">
      <c r="C364" s="2" t="s">
        <v>4</v>
      </c>
      <c r="D364" s="2" t="s">
        <v>1005</v>
      </c>
      <c r="E364" s="3">
        <v>5</v>
      </c>
      <c r="F364" s="3">
        <v>1</v>
      </c>
      <c r="G364" s="4">
        <v>43438</v>
      </c>
      <c r="I364" s="250" t="s">
        <v>7417</v>
      </c>
      <c r="J364" s="250" t="s">
        <v>7418</v>
      </c>
      <c r="K364" s="250" t="s">
        <v>4</v>
      </c>
      <c r="L364" s="250"/>
    </row>
    <row r="365" spans="1:12" x14ac:dyDescent="0.2">
      <c r="C365" s="2" t="s">
        <v>4</v>
      </c>
      <c r="D365" s="2" t="s">
        <v>701</v>
      </c>
      <c r="E365" s="3">
        <v>7.2</v>
      </c>
      <c r="F365" s="3">
        <v>1</v>
      </c>
      <c r="G365" s="4">
        <v>44508</v>
      </c>
      <c r="I365" s="250"/>
      <c r="J365" s="250"/>
      <c r="K365" s="250"/>
      <c r="L365" s="250"/>
    </row>
    <row r="366" spans="1:12" x14ac:dyDescent="0.2">
      <c r="C366" s="2" t="s">
        <v>5</v>
      </c>
      <c r="D366" s="2" t="s">
        <v>684</v>
      </c>
      <c r="E366" s="3">
        <v>21</v>
      </c>
      <c r="F366" s="3">
        <v>10</v>
      </c>
      <c r="G366" s="4">
        <v>45027</v>
      </c>
      <c r="I366" s="250"/>
      <c r="J366" s="250"/>
      <c r="K366" s="250"/>
      <c r="L366" s="250"/>
    </row>
    <row r="367" spans="1:12" x14ac:dyDescent="0.2">
      <c r="C367" s="2" t="s">
        <v>7</v>
      </c>
      <c r="D367" s="2" t="s">
        <v>1008</v>
      </c>
      <c r="E367" s="3">
        <v>30</v>
      </c>
      <c r="F367" s="3">
        <v>6</v>
      </c>
      <c r="G367" s="4">
        <v>44539</v>
      </c>
      <c r="I367" s="250"/>
      <c r="J367" s="250"/>
      <c r="K367" s="250"/>
      <c r="L367" s="250"/>
    </row>
    <row r="368" spans="1:12" x14ac:dyDescent="0.2">
      <c r="C368" s="2" t="s">
        <v>5</v>
      </c>
      <c r="D368" s="2" t="s">
        <v>1008</v>
      </c>
      <c r="E368" s="3">
        <v>11</v>
      </c>
      <c r="F368" s="3">
        <v>6</v>
      </c>
      <c r="G368" s="4">
        <v>43862</v>
      </c>
      <c r="I368" s="250"/>
      <c r="J368" s="250"/>
      <c r="K368" s="250"/>
      <c r="L368" s="250"/>
    </row>
    <row r="369" spans="3:12" x14ac:dyDescent="0.2">
      <c r="C369" s="2" t="s">
        <v>4</v>
      </c>
      <c r="D369" s="2" t="s">
        <v>1008</v>
      </c>
      <c r="E369" s="3">
        <v>3</v>
      </c>
      <c r="F369" s="3">
        <v>1.5</v>
      </c>
      <c r="G369" s="4">
        <v>43525</v>
      </c>
      <c r="I369" s="250"/>
      <c r="J369" s="250"/>
      <c r="K369" s="250"/>
      <c r="L369" s="250"/>
    </row>
    <row r="370" spans="3:12" x14ac:dyDescent="0.2">
      <c r="C370" s="2" t="s">
        <v>5</v>
      </c>
      <c r="D370" s="2" t="s">
        <v>1069</v>
      </c>
      <c r="E370" s="3">
        <v>12.5</v>
      </c>
      <c r="F370" s="3">
        <v>3</v>
      </c>
      <c r="G370" s="4">
        <v>44978</v>
      </c>
    </row>
    <row r="371" spans="3:12" x14ac:dyDescent="0.2">
      <c r="C371" s="2" t="s">
        <v>5</v>
      </c>
      <c r="D371" s="2" t="s">
        <v>1069</v>
      </c>
      <c r="E371" s="3">
        <v>5.3</v>
      </c>
      <c r="F371" s="3">
        <v>2.5</v>
      </c>
      <c r="G371" s="4">
        <v>44978</v>
      </c>
    </row>
    <row r="372" spans="3:12" x14ac:dyDescent="0.2">
      <c r="C372" s="2" t="s">
        <v>4</v>
      </c>
      <c r="D372" s="2" t="s">
        <v>654</v>
      </c>
      <c r="E372" s="3">
        <v>12.8</v>
      </c>
      <c r="F372" s="3">
        <v>2</v>
      </c>
      <c r="G372" s="4">
        <v>44601</v>
      </c>
    </row>
    <row r="373" spans="3:12" x14ac:dyDescent="0.2">
      <c r="C373" s="2" t="s">
        <v>5</v>
      </c>
      <c r="D373" s="2" t="s">
        <v>719</v>
      </c>
      <c r="E373" s="3">
        <v>11</v>
      </c>
      <c r="F373" s="3">
        <f>7/3</f>
        <v>2.3333333333333335</v>
      </c>
      <c r="G373" s="4">
        <v>44483</v>
      </c>
    </row>
    <row r="374" spans="3:12" x14ac:dyDescent="0.2">
      <c r="C374" s="2" t="s">
        <v>4</v>
      </c>
      <c r="D374" s="2" t="s">
        <v>719</v>
      </c>
      <c r="E374" s="3">
        <v>2.9</v>
      </c>
      <c r="F374" s="3">
        <v>0.5</v>
      </c>
      <c r="G374" s="4">
        <v>44272</v>
      </c>
    </row>
    <row r="375" spans="3:12" x14ac:dyDescent="0.2">
      <c r="C375" s="2" t="s">
        <v>7</v>
      </c>
      <c r="D375" s="2" t="s">
        <v>1127</v>
      </c>
      <c r="E375" s="3">
        <v>18</v>
      </c>
      <c r="F375" s="3">
        <v>9</v>
      </c>
      <c r="G375" s="4">
        <v>44831</v>
      </c>
    </row>
    <row r="376" spans="3:12" x14ac:dyDescent="0.2">
      <c r="C376" s="2" t="s">
        <v>5</v>
      </c>
      <c r="D376" s="2" t="s">
        <v>1127</v>
      </c>
      <c r="E376" s="3">
        <v>18.5</v>
      </c>
      <c r="F376" s="3">
        <v>9</v>
      </c>
      <c r="G376" s="4">
        <v>44658</v>
      </c>
    </row>
    <row r="377" spans="3:12" x14ac:dyDescent="0.2">
      <c r="C377" s="2" t="s">
        <v>4</v>
      </c>
      <c r="D377" s="2" t="s">
        <v>469</v>
      </c>
      <c r="E377" s="3">
        <v>6</v>
      </c>
      <c r="F377" s="3">
        <v>2</v>
      </c>
      <c r="G377" s="4">
        <v>45104</v>
      </c>
    </row>
    <row r="378" spans="3:12" x14ac:dyDescent="0.2">
      <c r="C378" s="2" t="s">
        <v>5</v>
      </c>
      <c r="D378" s="2" t="s">
        <v>318</v>
      </c>
      <c r="E378" s="3">
        <v>16</v>
      </c>
      <c r="F378" s="3">
        <v>6</v>
      </c>
      <c r="G378" s="4">
        <v>43783</v>
      </c>
      <c r="L378" s="1">
        <f>+F378*5</f>
        <v>30</v>
      </c>
    </row>
    <row r="379" spans="3:12" x14ac:dyDescent="0.2">
      <c r="C379" s="2" t="s">
        <v>7</v>
      </c>
      <c r="D379" s="2" t="s">
        <v>318</v>
      </c>
      <c r="E379" s="3">
        <v>55</v>
      </c>
      <c r="F379" s="3">
        <v>5</v>
      </c>
      <c r="G379" s="4">
        <v>44200</v>
      </c>
    </row>
    <row r="380" spans="3:12" x14ac:dyDescent="0.2">
      <c r="C380" s="2" t="s">
        <v>18</v>
      </c>
      <c r="D380" s="2" t="s">
        <v>318</v>
      </c>
      <c r="E380" s="3">
        <v>91</v>
      </c>
      <c r="F380" s="3">
        <v>8.75</v>
      </c>
      <c r="G380" s="4">
        <v>44867</v>
      </c>
    </row>
    <row r="381" spans="3:12" x14ac:dyDescent="0.2">
      <c r="C381" s="2" t="s">
        <v>5</v>
      </c>
      <c r="D381" s="2" t="s">
        <v>161</v>
      </c>
      <c r="E381" s="3">
        <v>112</v>
      </c>
      <c r="F381" s="3">
        <v>9</v>
      </c>
      <c r="G381" s="4">
        <v>43115</v>
      </c>
      <c r="J381" s="1">
        <v>8400</v>
      </c>
    </row>
    <row r="382" spans="3:12" x14ac:dyDescent="0.2">
      <c r="C382" s="2" t="s">
        <v>18</v>
      </c>
      <c r="D382" s="2" t="s">
        <v>74</v>
      </c>
      <c r="E382" s="3">
        <v>60</v>
      </c>
      <c r="F382" s="3">
        <f>E382/5</f>
        <v>12</v>
      </c>
      <c r="G382" s="4">
        <v>42736</v>
      </c>
      <c r="I382" s="1">
        <v>800</v>
      </c>
      <c r="J382" s="1">
        <v>3800</v>
      </c>
    </row>
    <row r="383" spans="3:12" x14ac:dyDescent="0.2">
      <c r="C383" s="2" t="s">
        <v>9</v>
      </c>
      <c r="D383" s="2" t="s">
        <v>55</v>
      </c>
      <c r="E383" s="3">
        <v>250</v>
      </c>
      <c r="F383" s="3">
        <f>150/5</f>
        <v>30</v>
      </c>
      <c r="G383" s="4">
        <v>44350</v>
      </c>
      <c r="I383" s="1">
        <v>7000</v>
      </c>
      <c r="J383" s="1">
        <v>7000</v>
      </c>
    </row>
    <row r="384" spans="3:12" x14ac:dyDescent="0.2">
      <c r="C384" s="2" t="s">
        <v>8</v>
      </c>
      <c r="D384" s="2" t="s">
        <v>55</v>
      </c>
      <c r="E384" s="3">
        <v>200</v>
      </c>
      <c r="F384" s="3">
        <v>18.75</v>
      </c>
      <c r="G384" s="4">
        <v>44055</v>
      </c>
      <c r="I384" s="1">
        <v>2000</v>
      </c>
      <c r="J384" s="1">
        <v>7000</v>
      </c>
    </row>
    <row r="385" spans="1:11" x14ac:dyDescent="0.2">
      <c r="C385" s="2" t="s">
        <v>18</v>
      </c>
      <c r="D385" s="2" t="s">
        <v>55</v>
      </c>
      <c r="E385" s="3">
        <v>65</v>
      </c>
      <c r="F385" s="3">
        <v>20</v>
      </c>
      <c r="G385" s="4">
        <v>43802</v>
      </c>
      <c r="I385" s="1">
        <v>685</v>
      </c>
      <c r="J385" s="1">
        <v>7000</v>
      </c>
    </row>
    <row r="386" spans="1:11" x14ac:dyDescent="0.2">
      <c r="C386" s="2" t="s">
        <v>9</v>
      </c>
      <c r="D386" s="2" t="s">
        <v>22</v>
      </c>
      <c r="E386" s="3">
        <v>222</v>
      </c>
      <c r="F386" s="3">
        <f>200/21</f>
        <v>9.5238095238095237</v>
      </c>
      <c r="G386" s="4">
        <v>44194</v>
      </c>
      <c r="I386" s="1">
        <v>2500</v>
      </c>
      <c r="J386" s="1">
        <v>0</v>
      </c>
    </row>
    <row r="387" spans="1:11" x14ac:dyDescent="0.2">
      <c r="C387" s="2" t="s">
        <v>8</v>
      </c>
      <c r="D387" s="2" t="s">
        <v>22</v>
      </c>
      <c r="E387" s="3">
        <v>200</v>
      </c>
      <c r="F387" s="3">
        <v>12.727272727272727</v>
      </c>
      <c r="G387" s="4">
        <v>43452</v>
      </c>
      <c r="I387" s="1">
        <v>1500</v>
      </c>
      <c r="J387" s="1">
        <v>0</v>
      </c>
    </row>
    <row r="388" spans="1:11" x14ac:dyDescent="0.2">
      <c r="C388" s="2" t="s">
        <v>18</v>
      </c>
      <c r="D388" s="2" t="s">
        <v>22</v>
      </c>
      <c r="E388" s="3">
        <v>50</v>
      </c>
      <c r="F388" s="3">
        <v>10</v>
      </c>
      <c r="G388" s="4">
        <v>43051</v>
      </c>
      <c r="J388" s="1">
        <v>0</v>
      </c>
    </row>
    <row r="389" spans="1:11" x14ac:dyDescent="0.2">
      <c r="C389" s="2" t="s">
        <v>1</v>
      </c>
      <c r="D389" s="2" t="s">
        <v>0</v>
      </c>
      <c r="E389" s="3">
        <v>300</v>
      </c>
      <c r="F389" s="3">
        <v>50</v>
      </c>
      <c r="G389" s="4">
        <v>45044</v>
      </c>
      <c r="I389" s="1">
        <v>28700</v>
      </c>
      <c r="J389" s="1">
        <v>28700</v>
      </c>
    </row>
    <row r="390" spans="1:11" x14ac:dyDescent="0.2">
      <c r="C390" s="2" t="s">
        <v>8</v>
      </c>
      <c r="D390" s="2" t="s">
        <v>2137</v>
      </c>
      <c r="E390" s="3">
        <v>200</v>
      </c>
      <c r="F390" s="3">
        <v>20</v>
      </c>
      <c r="G390" s="4">
        <v>44237</v>
      </c>
    </row>
    <row r="391" spans="1:11" x14ac:dyDescent="0.2">
      <c r="C391" s="55" t="s">
        <v>53</v>
      </c>
      <c r="D391" s="55" t="s">
        <v>5013</v>
      </c>
      <c r="E391" s="3">
        <v>100</v>
      </c>
      <c r="F391" s="3">
        <f>70/5</f>
        <v>14</v>
      </c>
      <c r="G391" s="4">
        <v>44474</v>
      </c>
    </row>
    <row r="392" spans="1:11" x14ac:dyDescent="0.2">
      <c r="C392" s="55" t="s">
        <v>9</v>
      </c>
      <c r="D392" s="55" t="s">
        <v>5013</v>
      </c>
      <c r="E392" s="3">
        <v>43</v>
      </c>
      <c r="F392" s="3">
        <f>23/3</f>
        <v>7.666666666666667</v>
      </c>
      <c r="G392" s="4">
        <v>43992</v>
      </c>
    </row>
    <row r="393" spans="1:11" x14ac:dyDescent="0.2">
      <c r="C393" s="55" t="s">
        <v>8</v>
      </c>
      <c r="D393" s="55" t="s">
        <v>5013</v>
      </c>
      <c r="E393" s="3">
        <v>40</v>
      </c>
      <c r="F393" s="3">
        <v>20</v>
      </c>
      <c r="G393" s="4">
        <v>43320</v>
      </c>
      <c r="I393" s="1">
        <v>210</v>
      </c>
      <c r="J393" s="1">
        <v>210</v>
      </c>
    </row>
    <row r="394" spans="1:11" x14ac:dyDescent="0.2">
      <c r="C394" s="55" t="s">
        <v>18</v>
      </c>
      <c r="D394" s="55" t="s">
        <v>5013</v>
      </c>
      <c r="E394" s="3">
        <v>27</v>
      </c>
      <c r="F394" s="3">
        <f>17/3</f>
        <v>5.666666666666667</v>
      </c>
      <c r="G394" s="4">
        <v>42851</v>
      </c>
      <c r="J394" s="1">
        <v>210</v>
      </c>
    </row>
    <row r="395" spans="1:11" x14ac:dyDescent="0.2">
      <c r="C395" s="55" t="s">
        <v>7</v>
      </c>
      <c r="D395" s="55" t="s">
        <v>5013</v>
      </c>
      <c r="E395" s="3">
        <v>10.5</v>
      </c>
      <c r="F395" s="3">
        <v>10.5</v>
      </c>
      <c r="G395" s="4">
        <v>42691</v>
      </c>
      <c r="J395" s="1">
        <v>210</v>
      </c>
    </row>
    <row r="396" spans="1:11" x14ac:dyDescent="0.2">
      <c r="C396" s="93" t="s">
        <v>18</v>
      </c>
      <c r="D396" s="93" t="s">
        <v>2093</v>
      </c>
      <c r="E396" s="3">
        <v>80</v>
      </c>
      <c r="F396" s="3">
        <f>70/10</f>
        <v>7</v>
      </c>
      <c r="G396" s="4">
        <v>44637</v>
      </c>
      <c r="I396" s="1">
        <v>1500</v>
      </c>
      <c r="J396" s="1">
        <v>1500</v>
      </c>
    </row>
    <row r="397" spans="1:11" x14ac:dyDescent="0.2">
      <c r="C397" s="93" t="s">
        <v>7</v>
      </c>
      <c r="D397" s="93" t="s">
        <v>2093</v>
      </c>
      <c r="E397" s="3">
        <v>50</v>
      </c>
      <c r="F397" s="3">
        <v>15</v>
      </c>
      <c r="G397" s="4">
        <v>44286</v>
      </c>
      <c r="J397" s="1">
        <v>1500</v>
      </c>
    </row>
    <row r="398" spans="1:11" x14ac:dyDescent="0.2">
      <c r="C398" s="185" t="s">
        <v>4</v>
      </c>
      <c r="D398" s="185" t="s">
        <v>2033</v>
      </c>
      <c r="E398" s="3">
        <v>2</v>
      </c>
      <c r="F398" s="3">
        <f>1.5/6</f>
        <v>0.25</v>
      </c>
      <c r="G398" s="4">
        <v>43522</v>
      </c>
    </row>
    <row r="399" spans="1:11" x14ac:dyDescent="0.2">
      <c r="G399" s="4"/>
    </row>
    <row r="400" spans="1:11" x14ac:dyDescent="0.2">
      <c r="A400" s="1">
        <v>17</v>
      </c>
      <c r="B400" s="12" t="s">
        <v>7415</v>
      </c>
      <c r="C400" s="13" t="s">
        <v>969</v>
      </c>
      <c r="D400" s="13" t="s">
        <v>968</v>
      </c>
      <c r="E400" s="15"/>
      <c r="F400" s="15">
        <f>SUM(F401:F426)</f>
        <v>426.58333333333331</v>
      </c>
      <c r="G400" s="14">
        <f>G401</f>
        <v>44999</v>
      </c>
      <c r="I400" s="12">
        <v>3500</v>
      </c>
      <c r="J400" s="22">
        <f>+F400/I400</f>
        <v>0.12188095238095238</v>
      </c>
      <c r="K400" s="12">
        <v>1965</v>
      </c>
    </row>
    <row r="401" spans="2:10" x14ac:dyDescent="0.2">
      <c r="B401" s="250" t="s">
        <v>7841</v>
      </c>
      <c r="C401" s="2" t="s">
        <v>7</v>
      </c>
      <c r="D401" s="2" t="s">
        <v>949</v>
      </c>
      <c r="E401" s="3">
        <v>350</v>
      </c>
      <c r="F401" s="3">
        <v>20</v>
      </c>
      <c r="G401" s="4">
        <v>44999</v>
      </c>
    </row>
    <row r="402" spans="2:10" x14ac:dyDescent="0.2">
      <c r="C402" s="2" t="s">
        <v>5</v>
      </c>
      <c r="D402" s="2" t="s">
        <v>949</v>
      </c>
      <c r="E402" s="3">
        <v>65</v>
      </c>
      <c r="F402" s="3">
        <v>25</v>
      </c>
      <c r="G402" s="4">
        <v>44679</v>
      </c>
    </row>
    <row r="403" spans="2:10" x14ac:dyDescent="0.2">
      <c r="C403" s="2" t="s">
        <v>4</v>
      </c>
      <c r="D403" s="2" t="s">
        <v>1133</v>
      </c>
      <c r="E403" s="3">
        <v>225</v>
      </c>
      <c r="F403" s="3">
        <v>150</v>
      </c>
      <c r="G403" s="4">
        <v>44694</v>
      </c>
      <c r="I403" s="250" t="s">
        <v>7416</v>
      </c>
      <c r="J403" s="25" t="s">
        <v>7631</v>
      </c>
    </row>
    <row r="404" spans="2:10" x14ac:dyDescent="0.2">
      <c r="C404" s="2" t="s">
        <v>18</v>
      </c>
      <c r="D404" s="2" t="s">
        <v>877</v>
      </c>
      <c r="E404" s="3">
        <v>85</v>
      </c>
      <c r="F404" s="3">
        <v>6</v>
      </c>
      <c r="G404" s="4">
        <v>44417</v>
      </c>
      <c r="I404" s="250" t="s">
        <v>7630</v>
      </c>
      <c r="J404" s="25" t="s">
        <v>7632</v>
      </c>
    </row>
    <row r="405" spans="2:10" x14ac:dyDescent="0.2">
      <c r="C405" s="2" t="s">
        <v>7</v>
      </c>
      <c r="D405" s="2" t="s">
        <v>877</v>
      </c>
      <c r="E405" s="3">
        <v>35</v>
      </c>
      <c r="F405" s="3">
        <f>25/6</f>
        <v>4.166666666666667</v>
      </c>
      <c r="G405" s="4">
        <v>44293</v>
      </c>
      <c r="I405" s="250" t="s">
        <v>7633</v>
      </c>
      <c r="J405" s="25" t="s">
        <v>7634</v>
      </c>
    </row>
    <row r="406" spans="2:10" x14ac:dyDescent="0.2">
      <c r="C406" s="2" t="s">
        <v>5</v>
      </c>
      <c r="D406" s="2" t="s">
        <v>877</v>
      </c>
      <c r="E406" s="3">
        <v>12</v>
      </c>
      <c r="F406" s="3">
        <v>6</v>
      </c>
      <c r="G406" s="4">
        <v>44026</v>
      </c>
      <c r="I406" s="250" t="s">
        <v>7635</v>
      </c>
      <c r="J406" s="25" t="s">
        <v>7636</v>
      </c>
    </row>
    <row r="407" spans="2:10" x14ac:dyDescent="0.2">
      <c r="C407" s="2" t="s">
        <v>4</v>
      </c>
      <c r="D407" s="2" t="s">
        <v>877</v>
      </c>
      <c r="E407" s="3">
        <v>3.3</v>
      </c>
      <c r="F407" s="3">
        <v>1</v>
      </c>
      <c r="G407" s="4">
        <v>44026</v>
      </c>
      <c r="I407" s="250" t="s">
        <v>7637</v>
      </c>
      <c r="J407" s="25" t="s">
        <v>7638</v>
      </c>
    </row>
    <row r="408" spans="2:10" x14ac:dyDescent="0.2">
      <c r="C408" s="2" t="s">
        <v>7</v>
      </c>
      <c r="D408" s="2" t="s">
        <v>1011</v>
      </c>
      <c r="E408" s="3">
        <v>43</v>
      </c>
      <c r="F408" s="3">
        <v>6</v>
      </c>
      <c r="G408" s="4">
        <v>44978</v>
      </c>
      <c r="I408" s="250" t="s">
        <v>7639</v>
      </c>
      <c r="J408" s="25" t="s">
        <v>7640</v>
      </c>
    </row>
    <row r="409" spans="2:10" x14ac:dyDescent="0.2">
      <c r="C409" s="2" t="s">
        <v>5</v>
      </c>
      <c r="D409" s="2" t="s">
        <v>1011</v>
      </c>
      <c r="E409" s="3">
        <v>26</v>
      </c>
      <c r="F409" s="3">
        <f>13/2</f>
        <v>6.5</v>
      </c>
      <c r="G409" s="4">
        <v>44453</v>
      </c>
      <c r="I409" s="250" t="s">
        <v>7641</v>
      </c>
      <c r="J409" s="25" t="s">
        <v>7642</v>
      </c>
    </row>
    <row r="410" spans="2:10" x14ac:dyDescent="0.2">
      <c r="C410" s="2" t="s">
        <v>4</v>
      </c>
      <c r="D410" s="2" t="s">
        <v>1011</v>
      </c>
      <c r="E410" s="3">
        <v>6.3</v>
      </c>
      <c r="F410" s="3">
        <v>3</v>
      </c>
      <c r="G410" s="4">
        <v>44217</v>
      </c>
      <c r="I410" s="250" t="s">
        <v>7643</v>
      </c>
      <c r="J410" s="25" t="s">
        <v>7644</v>
      </c>
    </row>
    <row r="411" spans="2:10" x14ac:dyDescent="0.2">
      <c r="C411" s="2" t="s">
        <v>4</v>
      </c>
      <c r="D411" s="2" t="s">
        <v>690</v>
      </c>
      <c r="E411" s="3">
        <v>30</v>
      </c>
      <c r="F411" s="3">
        <v>5</v>
      </c>
      <c r="G411" s="4">
        <v>44742</v>
      </c>
      <c r="I411" s="250" t="s">
        <v>7645</v>
      </c>
      <c r="J411" s="25" t="s">
        <v>7646</v>
      </c>
    </row>
    <row r="412" spans="2:10" x14ac:dyDescent="0.2">
      <c r="C412" s="2" t="s">
        <v>7</v>
      </c>
      <c r="D412" s="2" t="s">
        <v>860</v>
      </c>
      <c r="E412" s="3">
        <v>25</v>
      </c>
      <c r="F412" s="3">
        <v>3</v>
      </c>
      <c r="G412" s="4">
        <v>44636</v>
      </c>
    </row>
    <row r="413" spans="2:10" x14ac:dyDescent="0.2">
      <c r="C413" s="2" t="s">
        <v>5</v>
      </c>
      <c r="D413" s="2" t="s">
        <v>860</v>
      </c>
      <c r="E413" s="3">
        <v>12.2</v>
      </c>
      <c r="F413" s="3">
        <v>2</v>
      </c>
      <c r="G413" s="4">
        <v>44179</v>
      </c>
    </row>
    <row r="414" spans="2:10" x14ac:dyDescent="0.2">
      <c r="C414" s="2" t="s">
        <v>4</v>
      </c>
      <c r="D414" s="2" t="s">
        <v>860</v>
      </c>
      <c r="E414" s="3">
        <v>5.0999999999999996</v>
      </c>
      <c r="F414" s="3">
        <v>3</v>
      </c>
      <c r="G414" s="4">
        <v>44046</v>
      </c>
    </row>
    <row r="415" spans="2:10" x14ac:dyDescent="0.2">
      <c r="C415" s="2" t="s">
        <v>5</v>
      </c>
      <c r="D415" s="2" t="s">
        <v>888</v>
      </c>
      <c r="E415" s="3">
        <v>20</v>
      </c>
      <c r="F415" s="3">
        <v>7.5</v>
      </c>
      <c r="G415" s="4">
        <v>45009</v>
      </c>
    </row>
    <row r="416" spans="2:10" x14ac:dyDescent="0.2">
      <c r="C416" s="2" t="s">
        <v>5</v>
      </c>
      <c r="D416" s="2" t="s">
        <v>689</v>
      </c>
      <c r="E416" s="3">
        <v>29</v>
      </c>
      <c r="F416" s="3">
        <v>10</v>
      </c>
      <c r="G416" s="4">
        <v>44691</v>
      </c>
    </row>
    <row r="417" spans="1:19" x14ac:dyDescent="0.2">
      <c r="C417" s="2" t="s">
        <v>4</v>
      </c>
      <c r="D417" s="2" t="s">
        <v>649</v>
      </c>
      <c r="E417" s="3">
        <v>8</v>
      </c>
      <c r="F417" s="3">
        <v>3</v>
      </c>
      <c r="G417" s="4">
        <v>44677</v>
      </c>
    </row>
    <row r="418" spans="1:19" x14ac:dyDescent="0.2">
      <c r="C418" s="2" t="s">
        <v>4</v>
      </c>
      <c r="D418" s="2" t="s">
        <v>1056</v>
      </c>
      <c r="E418" s="3">
        <v>4.3</v>
      </c>
      <c r="F418" s="3">
        <f>E418/3</f>
        <v>1.4333333333333333</v>
      </c>
      <c r="G418" s="4">
        <v>42821</v>
      </c>
    </row>
    <row r="419" spans="1:19" x14ac:dyDescent="0.2">
      <c r="C419" s="2" t="s">
        <v>18</v>
      </c>
      <c r="D419" s="2" t="s">
        <v>253</v>
      </c>
      <c r="E419" s="3">
        <v>500</v>
      </c>
      <c r="F419" s="3">
        <v>75</v>
      </c>
      <c r="G419" s="4">
        <v>44144</v>
      </c>
    </row>
    <row r="420" spans="1:19" x14ac:dyDescent="0.2">
      <c r="C420" s="2" t="s">
        <v>5</v>
      </c>
      <c r="D420" s="2" t="s">
        <v>253</v>
      </c>
      <c r="E420" s="3">
        <v>92</v>
      </c>
      <c r="F420" s="3">
        <f>E420/2</f>
        <v>46</v>
      </c>
      <c r="G420" s="4">
        <v>43130</v>
      </c>
    </row>
    <row r="421" spans="1:19" x14ac:dyDescent="0.2">
      <c r="C421" s="93" t="s">
        <v>18</v>
      </c>
      <c r="D421" s="93" t="s">
        <v>2093</v>
      </c>
      <c r="E421" s="3">
        <v>80</v>
      </c>
      <c r="F421" s="3">
        <f>7</f>
        <v>7</v>
      </c>
      <c r="G421" s="4">
        <v>44637</v>
      </c>
      <c r="I421" s="1">
        <v>1500</v>
      </c>
      <c r="J421" s="1">
        <v>1500</v>
      </c>
    </row>
    <row r="422" spans="1:19" x14ac:dyDescent="0.2">
      <c r="C422" s="93" t="s">
        <v>7</v>
      </c>
      <c r="D422" s="93" t="s">
        <v>2093</v>
      </c>
      <c r="E422" s="3">
        <v>50</v>
      </c>
      <c r="F422" s="3">
        <f>35/4</f>
        <v>8.75</v>
      </c>
      <c r="G422" s="4">
        <v>44286</v>
      </c>
      <c r="J422" s="1">
        <v>1500</v>
      </c>
    </row>
    <row r="423" spans="1:19" x14ac:dyDescent="0.2">
      <c r="C423" s="93" t="s">
        <v>5</v>
      </c>
      <c r="D423" s="93" t="s">
        <v>2093</v>
      </c>
      <c r="E423" s="3">
        <v>15</v>
      </c>
      <c r="F423" s="3">
        <v>7.5</v>
      </c>
      <c r="G423" s="4">
        <v>43864</v>
      </c>
      <c r="J423" s="1">
        <v>1500</v>
      </c>
    </row>
    <row r="424" spans="1:19" x14ac:dyDescent="0.2">
      <c r="C424" s="141" t="s">
        <v>7</v>
      </c>
      <c r="D424" s="141" t="s">
        <v>6298</v>
      </c>
      <c r="E424" s="3">
        <v>52.2</v>
      </c>
      <c r="F424" s="3">
        <f>32.2/3</f>
        <v>10.733333333333334</v>
      </c>
      <c r="G424" s="4">
        <v>44476</v>
      </c>
    </row>
    <row r="425" spans="1:19" x14ac:dyDescent="0.2">
      <c r="C425" s="141" t="s">
        <v>5</v>
      </c>
      <c r="D425" s="141" t="s">
        <v>6298</v>
      </c>
      <c r="E425" s="3">
        <v>12</v>
      </c>
      <c r="F425" s="3">
        <v>8</v>
      </c>
      <c r="G425" s="4">
        <v>44125</v>
      </c>
    </row>
    <row r="426" spans="1:19" x14ac:dyDescent="0.2">
      <c r="C426" s="141" t="s">
        <v>4</v>
      </c>
      <c r="D426" s="141" t="s">
        <v>6298</v>
      </c>
      <c r="E426" s="3">
        <v>3.5</v>
      </c>
      <c r="F426" s="3">
        <v>1</v>
      </c>
      <c r="G426" s="4">
        <v>43831</v>
      </c>
    </row>
    <row r="428" spans="1:19" x14ac:dyDescent="0.2">
      <c r="A428" s="1">
        <v>18</v>
      </c>
      <c r="B428" s="12" t="s">
        <v>7492</v>
      </c>
      <c r="C428" s="13" t="s">
        <v>969</v>
      </c>
      <c r="D428" s="13" t="s">
        <v>968</v>
      </c>
      <c r="E428" s="15"/>
      <c r="F428" s="15">
        <f>SUM(F429:F444)</f>
        <v>401.95238095238096</v>
      </c>
      <c r="G428" s="14">
        <f>G438</f>
        <v>45091</v>
      </c>
      <c r="I428" s="12">
        <v>6500</v>
      </c>
      <c r="J428" s="22">
        <f>+F428/I428</f>
        <v>6.183882783882784E-2</v>
      </c>
      <c r="K428" s="12">
        <v>2020</v>
      </c>
      <c r="S428" s="92" t="s">
        <v>5240</v>
      </c>
    </row>
    <row r="429" spans="1:19" x14ac:dyDescent="0.2">
      <c r="B429" s="250" t="s">
        <v>7493</v>
      </c>
      <c r="C429" s="2" t="s">
        <v>7</v>
      </c>
      <c r="D429" s="2" t="s">
        <v>949</v>
      </c>
      <c r="E429" s="3">
        <v>350</v>
      </c>
      <c r="F429" s="3">
        <v>20</v>
      </c>
      <c r="G429" s="4">
        <v>44999</v>
      </c>
    </row>
    <row r="430" spans="1:19" x14ac:dyDescent="0.2">
      <c r="B430" s="265" t="s">
        <v>7664</v>
      </c>
      <c r="C430" s="2" t="s">
        <v>5</v>
      </c>
      <c r="D430" s="2" t="s">
        <v>949</v>
      </c>
      <c r="E430" s="3">
        <v>65</v>
      </c>
      <c r="F430" s="3">
        <v>25</v>
      </c>
      <c r="G430" s="4">
        <v>44679</v>
      </c>
    </row>
    <row r="431" spans="1:19" x14ac:dyDescent="0.2">
      <c r="C431" s="2" t="s">
        <v>18</v>
      </c>
      <c r="D431" s="2" t="s">
        <v>926</v>
      </c>
      <c r="E431" s="3">
        <v>100</v>
      </c>
      <c r="F431" s="3">
        <v>9</v>
      </c>
      <c r="G431" s="4">
        <v>44690</v>
      </c>
      <c r="J431" s="1">
        <v>4300</v>
      </c>
    </row>
    <row r="432" spans="1:19" x14ac:dyDescent="0.2">
      <c r="C432" s="2" t="s">
        <v>7</v>
      </c>
      <c r="D432" s="2" t="s">
        <v>926</v>
      </c>
      <c r="E432" s="3">
        <v>40</v>
      </c>
      <c r="F432" s="3">
        <v>7</v>
      </c>
      <c r="G432" s="4">
        <v>44327</v>
      </c>
      <c r="J432" s="1">
        <v>4300</v>
      </c>
    </row>
    <row r="433" spans="1:18" x14ac:dyDescent="0.2">
      <c r="C433" s="2" t="s">
        <v>18</v>
      </c>
      <c r="D433" s="2" t="s">
        <v>1064</v>
      </c>
      <c r="E433" s="3">
        <v>85</v>
      </c>
      <c r="F433" s="3">
        <v>10</v>
      </c>
      <c r="G433" s="4">
        <v>44501</v>
      </c>
    </row>
    <row r="434" spans="1:18" x14ac:dyDescent="0.2">
      <c r="C434" s="2" t="s">
        <v>7</v>
      </c>
      <c r="D434" s="2" t="s">
        <v>1064</v>
      </c>
      <c r="E434" s="3">
        <v>28</v>
      </c>
      <c r="F434" s="3">
        <v>18</v>
      </c>
      <c r="G434" s="4">
        <v>44272</v>
      </c>
    </row>
    <row r="435" spans="1:18" x14ac:dyDescent="0.2">
      <c r="C435" s="2" t="s">
        <v>18</v>
      </c>
      <c r="D435" s="2" t="s">
        <v>877</v>
      </c>
      <c r="E435" s="3">
        <v>85</v>
      </c>
      <c r="F435" s="3">
        <v>20</v>
      </c>
      <c r="G435" s="4">
        <v>44417</v>
      </c>
    </row>
    <row r="436" spans="1:18" x14ac:dyDescent="0.2">
      <c r="C436" s="2" t="s">
        <v>1040</v>
      </c>
      <c r="D436" s="2" t="s">
        <v>832</v>
      </c>
      <c r="E436" s="3">
        <v>99</v>
      </c>
      <c r="F436" s="3">
        <v>30</v>
      </c>
      <c r="G436" s="4">
        <v>44796</v>
      </c>
    </row>
    <row r="437" spans="1:18" x14ac:dyDescent="0.2">
      <c r="C437" s="2" t="s">
        <v>1116</v>
      </c>
      <c r="D437" s="2" t="s">
        <v>832</v>
      </c>
      <c r="E437" s="3">
        <v>100</v>
      </c>
      <c r="F437" s="3">
        <v>30</v>
      </c>
      <c r="G437" s="4">
        <v>44537</v>
      </c>
    </row>
    <row r="438" spans="1:18" x14ac:dyDescent="0.2">
      <c r="C438" s="2" t="s">
        <v>8</v>
      </c>
      <c r="D438" s="2" t="s">
        <v>310</v>
      </c>
      <c r="E438" s="3">
        <v>69</v>
      </c>
      <c r="F438" s="3">
        <v>50</v>
      </c>
      <c r="G438" s="4">
        <v>45091</v>
      </c>
    </row>
    <row r="439" spans="1:18" x14ac:dyDescent="0.2">
      <c r="C439" s="2" t="s">
        <v>18</v>
      </c>
      <c r="D439" s="2" t="s">
        <v>310</v>
      </c>
      <c r="E439" s="3">
        <v>110</v>
      </c>
      <c r="F439" s="3">
        <v>40</v>
      </c>
      <c r="G439" s="4">
        <v>44369</v>
      </c>
    </row>
    <row r="440" spans="1:18" x14ac:dyDescent="0.2">
      <c r="C440" s="52" t="s">
        <v>18</v>
      </c>
      <c r="D440" s="52" t="s">
        <v>2121</v>
      </c>
      <c r="E440" s="3">
        <v>300</v>
      </c>
      <c r="F440" s="3">
        <v>14.285714285714286</v>
      </c>
      <c r="G440" s="4">
        <v>44300</v>
      </c>
    </row>
    <row r="441" spans="1:18" x14ac:dyDescent="0.2">
      <c r="C441" s="52" t="s">
        <v>8</v>
      </c>
      <c r="D441" s="52" t="s">
        <v>2119</v>
      </c>
      <c r="E441" s="3">
        <v>175</v>
      </c>
      <c r="F441" s="3">
        <v>50</v>
      </c>
      <c r="G441" s="4">
        <v>44511</v>
      </c>
    </row>
    <row r="442" spans="1:18" x14ac:dyDescent="0.2">
      <c r="C442" s="93" t="s">
        <v>18</v>
      </c>
      <c r="D442" s="93" t="s">
        <v>2104</v>
      </c>
      <c r="E442" s="3">
        <v>100</v>
      </c>
      <c r="F442" s="3">
        <v>30</v>
      </c>
      <c r="G442" s="4">
        <v>44397</v>
      </c>
    </row>
    <row r="443" spans="1:18" x14ac:dyDescent="0.2">
      <c r="C443" s="93" t="s">
        <v>7</v>
      </c>
      <c r="D443" s="93" t="s">
        <v>2104</v>
      </c>
      <c r="E443" s="3">
        <v>56</v>
      </c>
      <c r="F443" s="3">
        <v>32</v>
      </c>
      <c r="G443" s="4">
        <v>44319</v>
      </c>
    </row>
    <row r="444" spans="1:18" x14ac:dyDescent="0.2">
      <c r="C444" s="93" t="s">
        <v>7</v>
      </c>
      <c r="D444" s="93" t="s">
        <v>5459</v>
      </c>
      <c r="E444" s="3">
        <v>75</v>
      </c>
      <c r="F444" s="3">
        <f>50/3</f>
        <v>16.666666666666668</v>
      </c>
      <c r="G444" s="4">
        <v>44677</v>
      </c>
    </row>
    <row r="445" spans="1:18" x14ac:dyDescent="0.2">
      <c r="G445" s="4"/>
    </row>
    <row r="446" spans="1:18" s="12" customFormat="1" x14ac:dyDescent="0.2">
      <c r="A446" s="12">
        <v>19</v>
      </c>
      <c r="B446" s="12" t="s">
        <v>335</v>
      </c>
      <c r="C446" s="13" t="s">
        <v>969</v>
      </c>
      <c r="D446" s="13" t="s">
        <v>968</v>
      </c>
      <c r="E446" s="15"/>
      <c r="F446" s="15">
        <f>SUM(F447:F451)</f>
        <v>403.21999999999997</v>
      </c>
      <c r="G446" s="14">
        <f>G448</f>
        <v>44274</v>
      </c>
    </row>
    <row r="447" spans="1:18" x14ac:dyDescent="0.2">
      <c r="B447" s="250" t="s">
        <v>7489</v>
      </c>
      <c r="C447" s="2" t="s">
        <v>4</v>
      </c>
      <c r="D447" s="2" t="s">
        <v>332</v>
      </c>
      <c r="E447" s="3">
        <v>5.0999999999999996</v>
      </c>
      <c r="F447" s="3">
        <f>E447/5</f>
        <v>1.02</v>
      </c>
      <c r="G447" s="4">
        <v>43990</v>
      </c>
      <c r="M447" s="1"/>
      <c r="N447" s="1"/>
      <c r="O447" s="1"/>
      <c r="P447" s="1"/>
      <c r="Q447" s="1"/>
      <c r="R447" s="1"/>
    </row>
    <row r="448" spans="1:18" x14ac:dyDescent="0.2">
      <c r="B448" s="266" t="s">
        <v>7663</v>
      </c>
      <c r="C448" s="2" t="s">
        <v>18</v>
      </c>
      <c r="D448" s="2" t="s">
        <v>197</v>
      </c>
      <c r="E448" s="3">
        <v>500</v>
      </c>
      <c r="F448" s="3">
        <v>100</v>
      </c>
      <c r="G448" s="4">
        <v>44274</v>
      </c>
      <c r="M448" s="1"/>
      <c r="N448" s="1"/>
      <c r="O448" s="1"/>
      <c r="P448" s="1"/>
      <c r="Q448" s="1"/>
      <c r="R448" s="1"/>
    </row>
    <row r="449" spans="1:18" x14ac:dyDescent="0.2">
      <c r="C449" s="2" t="s">
        <v>7</v>
      </c>
      <c r="D449" s="2" t="s">
        <v>161</v>
      </c>
      <c r="E449" s="3">
        <v>462</v>
      </c>
      <c r="F449" s="3">
        <v>300</v>
      </c>
      <c r="G449" s="4">
        <v>43886</v>
      </c>
      <c r="I449" s="1">
        <v>2500</v>
      </c>
      <c r="J449" s="1">
        <v>8400</v>
      </c>
      <c r="M449" s="1"/>
      <c r="N449" s="1"/>
      <c r="O449" s="1"/>
      <c r="P449" s="1"/>
      <c r="Q449" s="1"/>
      <c r="R449" s="1"/>
    </row>
    <row r="450" spans="1:18" x14ac:dyDescent="0.2">
      <c r="C450" s="161" t="s">
        <v>5</v>
      </c>
      <c r="D450" s="161" t="s">
        <v>2040</v>
      </c>
      <c r="E450" s="3">
        <v>11</v>
      </c>
      <c r="F450" s="3">
        <f>7/4</f>
        <v>1.75</v>
      </c>
      <c r="G450" s="4">
        <v>44174</v>
      </c>
      <c r="M450" s="1"/>
      <c r="N450" s="1"/>
      <c r="O450" s="1"/>
      <c r="P450" s="1"/>
      <c r="Q450" s="1"/>
      <c r="R450" s="1"/>
    </row>
    <row r="451" spans="1:18" x14ac:dyDescent="0.2">
      <c r="C451" s="161" t="s">
        <v>4</v>
      </c>
      <c r="D451" s="161" t="s">
        <v>2040</v>
      </c>
      <c r="E451" s="3">
        <v>2.9</v>
      </c>
      <c r="F451" s="3">
        <f>0.9/2</f>
        <v>0.45</v>
      </c>
      <c r="G451" s="4">
        <v>43221</v>
      </c>
      <c r="M451" s="1"/>
      <c r="N451" s="1"/>
      <c r="O451" s="1"/>
      <c r="P451" s="1"/>
      <c r="Q451" s="1"/>
      <c r="R451" s="1"/>
    </row>
    <row r="452" spans="1:18" x14ac:dyDescent="0.2">
      <c r="G452" s="4"/>
      <c r="M452" s="1"/>
      <c r="N452" s="1"/>
      <c r="O452" s="1"/>
      <c r="P452" s="1"/>
      <c r="Q452" s="1"/>
      <c r="R452" s="1"/>
    </row>
    <row r="453" spans="1:18" s="12" customFormat="1" x14ac:dyDescent="0.2">
      <c r="A453" s="12">
        <v>20</v>
      </c>
      <c r="B453" s="12" t="s">
        <v>1136</v>
      </c>
      <c r="C453" s="13" t="s">
        <v>969</v>
      </c>
      <c r="D453" s="13" t="s">
        <v>968</v>
      </c>
      <c r="E453" s="15"/>
      <c r="F453" s="15">
        <f>SUM(F454:F463)</f>
        <v>391.5555555555556</v>
      </c>
      <c r="G453" s="14">
        <f>G456</f>
        <v>44274</v>
      </c>
    </row>
    <row r="454" spans="1:18" x14ac:dyDescent="0.2">
      <c r="B454" s="250" t="s">
        <v>7491</v>
      </c>
      <c r="C454" s="2" t="s">
        <v>5</v>
      </c>
      <c r="D454" s="2" t="s">
        <v>431</v>
      </c>
      <c r="E454" s="3">
        <v>15</v>
      </c>
      <c r="F454" s="3">
        <v>3</v>
      </c>
      <c r="G454" s="4">
        <v>42690</v>
      </c>
      <c r="M454" s="1"/>
      <c r="N454" s="1"/>
      <c r="O454" s="1"/>
      <c r="P454" s="1"/>
      <c r="Q454" s="1"/>
      <c r="R454" s="1"/>
    </row>
    <row r="455" spans="1:18" x14ac:dyDescent="0.2">
      <c r="B455" s="265" t="s">
        <v>7664</v>
      </c>
      <c r="C455" s="2" t="s">
        <v>18</v>
      </c>
      <c r="D455" s="2" t="s">
        <v>245</v>
      </c>
      <c r="E455" s="3">
        <v>820</v>
      </c>
      <c r="F455" s="3">
        <v>220</v>
      </c>
      <c r="G455" s="4">
        <v>43223</v>
      </c>
      <c r="M455" s="1"/>
      <c r="N455" s="1"/>
      <c r="O455" s="1"/>
      <c r="P455" s="1"/>
      <c r="Q455" s="1"/>
      <c r="R455" s="1"/>
    </row>
    <row r="456" spans="1:18" x14ac:dyDescent="0.2">
      <c r="C456" s="2" t="s">
        <v>18</v>
      </c>
      <c r="D456" s="2" t="s">
        <v>197</v>
      </c>
      <c r="E456" s="3">
        <v>500</v>
      </c>
      <c r="F456" s="3">
        <f>200/9</f>
        <v>22.222222222222221</v>
      </c>
      <c r="G456" s="4">
        <v>44274</v>
      </c>
      <c r="M456" s="1"/>
      <c r="N456" s="1"/>
      <c r="O456" s="1"/>
      <c r="P456" s="1"/>
      <c r="Q456" s="1"/>
      <c r="R456" s="1"/>
    </row>
    <row r="457" spans="1:18" x14ac:dyDescent="0.2">
      <c r="C457" s="2" t="s">
        <v>7</v>
      </c>
      <c r="D457" s="2" t="s">
        <v>197</v>
      </c>
      <c r="E457" s="3">
        <v>120</v>
      </c>
      <c r="F457" s="3">
        <f>30/3</f>
        <v>10</v>
      </c>
      <c r="G457" s="4">
        <v>43391</v>
      </c>
      <c r="M457" s="1"/>
      <c r="N457" s="1"/>
      <c r="O457" s="1"/>
      <c r="P457" s="1"/>
      <c r="Q457" s="1"/>
      <c r="R457" s="1"/>
    </row>
    <row r="458" spans="1:18" x14ac:dyDescent="0.2">
      <c r="C458" s="2" t="s">
        <v>9</v>
      </c>
      <c r="D458" s="2" t="s">
        <v>148</v>
      </c>
      <c r="E458" s="3">
        <f>300</f>
        <v>300</v>
      </c>
      <c r="F458" s="6" t="s">
        <v>1135</v>
      </c>
      <c r="G458" s="4">
        <v>44271</v>
      </c>
      <c r="M458" s="1"/>
      <c r="N458" s="1"/>
      <c r="O458" s="1"/>
      <c r="P458" s="1"/>
      <c r="Q458" s="1"/>
      <c r="R458" s="1"/>
    </row>
    <row r="459" spans="1:18" x14ac:dyDescent="0.2">
      <c r="C459" s="2" t="s">
        <v>18</v>
      </c>
      <c r="D459" s="2" t="s">
        <v>80</v>
      </c>
      <c r="E459" s="3">
        <v>257</v>
      </c>
      <c r="F459" s="6">
        <f>107/3</f>
        <v>35.666666666666664</v>
      </c>
      <c r="G459" s="4">
        <v>44201</v>
      </c>
      <c r="M459" s="1"/>
      <c r="N459" s="1"/>
      <c r="O459" s="1"/>
      <c r="P459" s="1"/>
      <c r="Q459" s="1"/>
      <c r="R459" s="1"/>
    </row>
    <row r="460" spans="1:18" x14ac:dyDescent="0.2">
      <c r="C460" s="2" t="s">
        <v>7</v>
      </c>
      <c r="D460" s="2" t="s">
        <v>80</v>
      </c>
      <c r="E460" s="3">
        <v>100</v>
      </c>
      <c r="F460" s="6">
        <v>20</v>
      </c>
      <c r="G460" s="4">
        <v>43958</v>
      </c>
      <c r="M460" s="1"/>
      <c r="N460" s="1"/>
      <c r="O460" s="1"/>
      <c r="P460" s="1"/>
      <c r="Q460" s="1"/>
      <c r="R460" s="1"/>
    </row>
    <row r="461" spans="1:18" x14ac:dyDescent="0.2">
      <c r="C461" s="2" t="s">
        <v>5</v>
      </c>
      <c r="D461" s="2" t="s">
        <v>80</v>
      </c>
      <c r="E461" s="3">
        <v>43</v>
      </c>
      <c r="F461" s="6">
        <f>+E461/6</f>
        <v>7.166666666666667</v>
      </c>
      <c r="G461" s="4">
        <v>43622</v>
      </c>
      <c r="M461" s="1"/>
      <c r="N461" s="1"/>
      <c r="O461" s="1"/>
      <c r="P461" s="1"/>
      <c r="Q461" s="1"/>
      <c r="R461" s="1"/>
    </row>
    <row r="462" spans="1:18" x14ac:dyDescent="0.2">
      <c r="C462" s="2" t="s">
        <v>4</v>
      </c>
      <c r="D462" s="2" t="s">
        <v>80</v>
      </c>
      <c r="E462" s="3">
        <v>19</v>
      </c>
      <c r="F462" s="6">
        <v>19</v>
      </c>
      <c r="G462" s="4">
        <v>43319</v>
      </c>
      <c r="M462" s="1"/>
      <c r="N462" s="1"/>
      <c r="O462" s="1"/>
      <c r="P462" s="1"/>
      <c r="Q462" s="1"/>
      <c r="R462" s="1"/>
    </row>
    <row r="463" spans="1:18" x14ac:dyDescent="0.2">
      <c r="C463" s="2" t="s">
        <v>5</v>
      </c>
      <c r="D463" s="2" t="s">
        <v>29</v>
      </c>
      <c r="E463" s="3">
        <f>1600/7</f>
        <v>228.57142857142858</v>
      </c>
      <c r="F463" s="6">
        <f>109/2</f>
        <v>54.5</v>
      </c>
      <c r="G463" s="4">
        <v>45078</v>
      </c>
      <c r="I463" s="1">
        <v>1000</v>
      </c>
      <c r="J463" s="1">
        <v>1000</v>
      </c>
      <c r="M463" s="1"/>
      <c r="N463" s="1"/>
      <c r="O463" s="1"/>
      <c r="P463" s="1"/>
      <c r="Q463" s="1"/>
      <c r="R463" s="1"/>
    </row>
    <row r="464" spans="1:18" x14ac:dyDescent="0.2">
      <c r="G464" s="4"/>
      <c r="M464" s="1"/>
      <c r="N464" s="1"/>
      <c r="O464" s="1"/>
      <c r="P464" s="1"/>
      <c r="Q464" s="1"/>
      <c r="R464" s="1"/>
    </row>
    <row r="465" spans="1:11" x14ac:dyDescent="0.2">
      <c r="A465" s="1">
        <v>21</v>
      </c>
      <c r="B465" s="12" t="s">
        <v>1132</v>
      </c>
      <c r="C465" s="13" t="s">
        <v>969</v>
      </c>
      <c r="D465" s="13" t="s">
        <v>968</v>
      </c>
      <c r="F465" s="15">
        <f>+F466+F467</f>
        <v>381.81818181818181</v>
      </c>
      <c r="G465" s="14">
        <f>+G466</f>
        <v>44363</v>
      </c>
      <c r="I465" s="2" t="s">
        <v>1</v>
      </c>
      <c r="J465" s="2" t="s">
        <v>1</v>
      </c>
      <c r="K465" s="2" t="s">
        <v>1</v>
      </c>
    </row>
    <row r="466" spans="1:11" x14ac:dyDescent="0.2">
      <c r="B466" s="250" t="s">
        <v>7489</v>
      </c>
      <c r="C466" s="2" t="s">
        <v>7</v>
      </c>
      <c r="D466" s="2" t="s">
        <v>1125</v>
      </c>
      <c r="E466" s="3">
        <v>2500</v>
      </c>
      <c r="F466" s="3">
        <f>2000/11</f>
        <v>181.81818181818181</v>
      </c>
      <c r="G466" s="4">
        <v>44363</v>
      </c>
    </row>
    <row r="467" spans="1:11" x14ac:dyDescent="0.2">
      <c r="B467" s="266" t="s">
        <v>7663</v>
      </c>
      <c r="C467" s="2" t="s">
        <v>5</v>
      </c>
      <c r="D467" s="2" t="s">
        <v>1125</v>
      </c>
      <c r="E467" s="3">
        <v>3000</v>
      </c>
      <c r="F467" s="3">
        <f>800/4</f>
        <v>200</v>
      </c>
      <c r="G467" s="4">
        <v>43892</v>
      </c>
    </row>
    <row r="468" spans="1:11" x14ac:dyDescent="0.2">
      <c r="G468" s="4"/>
    </row>
    <row r="469" spans="1:11" x14ac:dyDescent="0.2">
      <c r="A469" s="1">
        <v>22</v>
      </c>
      <c r="B469" s="12" t="s">
        <v>1131</v>
      </c>
      <c r="C469" s="13" t="s">
        <v>969</v>
      </c>
      <c r="D469" s="13" t="s">
        <v>968</v>
      </c>
      <c r="F469" s="15">
        <f>+F470+F471</f>
        <v>381.81818181818181</v>
      </c>
      <c r="G469" s="14">
        <f>+G470</f>
        <v>44363</v>
      </c>
      <c r="I469" s="2" t="s">
        <v>1</v>
      </c>
      <c r="J469" s="2" t="s">
        <v>1</v>
      </c>
      <c r="K469" s="2" t="s">
        <v>1</v>
      </c>
    </row>
    <row r="470" spans="1:11" x14ac:dyDescent="0.2">
      <c r="B470" s="250" t="s">
        <v>7489</v>
      </c>
      <c r="C470" s="2" t="s">
        <v>7</v>
      </c>
      <c r="D470" s="2" t="s">
        <v>1125</v>
      </c>
      <c r="E470" s="3">
        <v>2500</v>
      </c>
      <c r="F470" s="3">
        <f>2000/11</f>
        <v>181.81818181818181</v>
      </c>
      <c r="G470" s="4">
        <v>44363</v>
      </c>
    </row>
    <row r="471" spans="1:11" x14ac:dyDescent="0.2">
      <c r="B471" s="266" t="s">
        <v>7663</v>
      </c>
      <c r="C471" s="2" t="s">
        <v>5</v>
      </c>
      <c r="D471" s="2" t="s">
        <v>1125</v>
      </c>
      <c r="E471" s="3">
        <v>3000</v>
      </c>
      <c r="F471" s="3">
        <f>800/4</f>
        <v>200</v>
      </c>
      <c r="G471" s="4">
        <v>43892</v>
      </c>
    </row>
    <row r="472" spans="1:11" x14ac:dyDescent="0.2">
      <c r="G472" s="4"/>
    </row>
    <row r="473" spans="1:11" x14ac:dyDescent="0.2">
      <c r="A473" s="1">
        <v>23</v>
      </c>
      <c r="B473" s="12" t="s">
        <v>1126</v>
      </c>
      <c r="C473" s="13" t="s">
        <v>969</v>
      </c>
      <c r="D473" s="13" t="s">
        <v>968</v>
      </c>
      <c r="E473" s="15"/>
      <c r="F473" s="15">
        <f>SUM(F474:F482)</f>
        <v>324.46897546897549</v>
      </c>
      <c r="G473" s="14">
        <f>+G475</f>
        <v>44893</v>
      </c>
      <c r="I473" s="2" t="s">
        <v>1</v>
      </c>
      <c r="J473" s="2" t="s">
        <v>1</v>
      </c>
      <c r="K473" s="2" t="s">
        <v>1</v>
      </c>
    </row>
    <row r="474" spans="1:11" x14ac:dyDescent="0.2">
      <c r="B474" s="250" t="s">
        <v>7487</v>
      </c>
      <c r="C474" s="2" t="s">
        <v>7</v>
      </c>
      <c r="D474" s="2" t="s">
        <v>1125</v>
      </c>
      <c r="E474" s="3">
        <v>2500</v>
      </c>
      <c r="F474" s="3">
        <f>2000/11</f>
        <v>181.81818181818181</v>
      </c>
      <c r="G474" s="4">
        <v>44363</v>
      </c>
    </row>
    <row r="475" spans="1:11" x14ac:dyDescent="0.2">
      <c r="B475" s="266" t="s">
        <v>7663</v>
      </c>
      <c r="C475" s="2" t="s">
        <v>5</v>
      </c>
      <c r="D475" s="2" t="s">
        <v>779</v>
      </c>
      <c r="E475" s="3">
        <v>33</v>
      </c>
      <c r="F475" s="3">
        <v>10</v>
      </c>
      <c r="G475" s="4">
        <v>44893</v>
      </c>
    </row>
    <row r="476" spans="1:11" x14ac:dyDescent="0.2">
      <c r="C476" s="2" t="s">
        <v>7</v>
      </c>
      <c r="D476" s="2" t="s">
        <v>475</v>
      </c>
      <c r="E476" s="3">
        <v>90</v>
      </c>
      <c r="F476" s="3">
        <v>15</v>
      </c>
      <c r="G476" s="4">
        <v>44398</v>
      </c>
    </row>
    <row r="477" spans="1:11" x14ac:dyDescent="0.2">
      <c r="C477" s="2" t="s">
        <v>18</v>
      </c>
      <c r="D477" s="2" t="s">
        <v>424</v>
      </c>
      <c r="E477" s="3">
        <v>80</v>
      </c>
      <c r="F477" s="3">
        <v>10</v>
      </c>
      <c r="G477" s="4">
        <v>44404</v>
      </c>
    </row>
    <row r="478" spans="1:11" x14ac:dyDescent="0.2">
      <c r="C478" s="2" t="s">
        <v>8</v>
      </c>
      <c r="D478" s="2" t="s">
        <v>208</v>
      </c>
      <c r="E478" s="3">
        <v>676</v>
      </c>
      <c r="F478" s="3">
        <f>500/7</f>
        <v>71.428571428571431</v>
      </c>
      <c r="G478" s="4">
        <v>44299</v>
      </c>
      <c r="I478" s="1">
        <v>4400</v>
      </c>
    </row>
    <row r="479" spans="1:11" x14ac:dyDescent="0.2">
      <c r="C479" s="2" t="s">
        <v>18</v>
      </c>
      <c r="D479" s="2" t="s">
        <v>197</v>
      </c>
      <c r="E479" s="3">
        <v>500</v>
      </c>
      <c r="F479" s="3">
        <f>200/9</f>
        <v>22.222222222222221</v>
      </c>
      <c r="G479" s="4">
        <v>44274</v>
      </c>
    </row>
    <row r="480" spans="1:11" x14ac:dyDescent="0.2">
      <c r="C480" s="2" t="s">
        <v>5</v>
      </c>
      <c r="D480" s="2" t="s">
        <v>148</v>
      </c>
      <c r="E480" s="3">
        <v>3</v>
      </c>
      <c r="F480" s="6" t="s">
        <v>1051</v>
      </c>
      <c r="G480" s="4">
        <v>41879</v>
      </c>
      <c r="I480" s="1">
        <v>11</v>
      </c>
    </row>
    <row r="481" spans="1:18" x14ac:dyDescent="0.2">
      <c r="C481" s="2" t="s">
        <v>7</v>
      </c>
      <c r="D481" s="2" t="s">
        <v>108</v>
      </c>
      <c r="E481" s="3">
        <v>37</v>
      </c>
      <c r="F481" s="6">
        <v>6.5</v>
      </c>
      <c r="G481" s="4">
        <v>43783</v>
      </c>
      <c r="I481" s="1">
        <v>113</v>
      </c>
    </row>
    <row r="482" spans="1:18" x14ac:dyDescent="0.2">
      <c r="C482" s="2" t="s">
        <v>5</v>
      </c>
      <c r="D482" s="2" t="s">
        <v>108</v>
      </c>
      <c r="E482" s="3">
        <v>15</v>
      </c>
      <c r="F482" s="6">
        <f>E482/2</f>
        <v>7.5</v>
      </c>
      <c r="G482" s="4">
        <v>43262</v>
      </c>
    </row>
    <row r="483" spans="1:18" x14ac:dyDescent="0.2">
      <c r="G483" s="4"/>
    </row>
    <row r="484" spans="1:18" s="12" customFormat="1" x14ac:dyDescent="0.2">
      <c r="B484" s="12" t="s">
        <v>1102</v>
      </c>
      <c r="C484" s="13" t="s">
        <v>969</v>
      </c>
      <c r="D484" s="13" t="s">
        <v>968</v>
      </c>
      <c r="E484" s="15"/>
      <c r="F484" s="15">
        <f>SUM(F485:F489)</f>
        <v>309.68994708994705</v>
      </c>
      <c r="G484" s="14">
        <f>G487</f>
        <v>45183</v>
      </c>
    </row>
    <row r="485" spans="1:18" x14ac:dyDescent="0.2">
      <c r="B485" s="250" t="s">
        <v>7666</v>
      </c>
      <c r="C485" s="2" t="s">
        <v>504</v>
      </c>
      <c r="D485" s="2" t="s">
        <v>489</v>
      </c>
      <c r="E485" s="3">
        <v>250</v>
      </c>
      <c r="F485" s="3">
        <f>150/5</f>
        <v>30</v>
      </c>
      <c r="G485" s="4">
        <v>44376</v>
      </c>
      <c r="M485" s="1"/>
      <c r="N485" s="1"/>
      <c r="O485" s="1"/>
      <c r="P485" s="1"/>
      <c r="Q485" s="1"/>
      <c r="R485" s="1"/>
    </row>
    <row r="486" spans="1:18" x14ac:dyDescent="0.2">
      <c r="B486" s="266" t="s">
        <v>7663</v>
      </c>
      <c r="C486" s="2" t="s">
        <v>9</v>
      </c>
      <c r="D486" s="2" t="s">
        <v>55</v>
      </c>
      <c r="E486" s="3">
        <v>250</v>
      </c>
      <c r="F486" s="3">
        <v>100</v>
      </c>
      <c r="G486" s="4">
        <v>44350</v>
      </c>
      <c r="I486" s="1">
        <v>7000</v>
      </c>
      <c r="J486" s="1">
        <v>7000</v>
      </c>
      <c r="M486" s="1"/>
      <c r="N486" s="1"/>
      <c r="O486" s="1"/>
      <c r="P486" s="1"/>
      <c r="Q486" s="1"/>
      <c r="R486" s="1"/>
    </row>
    <row r="487" spans="1:18" x14ac:dyDescent="0.2">
      <c r="B487" s="2"/>
      <c r="C487" s="282" t="s">
        <v>7933</v>
      </c>
      <c r="D487" s="282" t="s">
        <v>1006</v>
      </c>
      <c r="E487" s="3">
        <v>684.6</v>
      </c>
      <c r="F487" s="3">
        <f>584.6/21</f>
        <v>27.838095238095239</v>
      </c>
      <c r="G487" s="4">
        <v>45183</v>
      </c>
      <c r="I487" s="1">
        <v>42500</v>
      </c>
      <c r="J487" s="1">
        <v>42500</v>
      </c>
      <c r="M487" s="1"/>
      <c r="N487" s="1"/>
      <c r="O487" s="1"/>
      <c r="P487" s="1"/>
      <c r="Q487" s="1"/>
      <c r="R487" s="1"/>
    </row>
    <row r="488" spans="1:18" x14ac:dyDescent="0.2">
      <c r="B488" s="2"/>
      <c r="C488" s="282" t="s">
        <v>2489</v>
      </c>
      <c r="D488" s="282" t="s">
        <v>1006</v>
      </c>
      <c r="E488" s="3">
        <v>1600</v>
      </c>
      <c r="F488" s="3">
        <f>1400/27</f>
        <v>51.851851851851855</v>
      </c>
      <c r="G488" s="4">
        <v>44439</v>
      </c>
      <c r="I488" s="1">
        <v>36400</v>
      </c>
      <c r="J488" s="1">
        <v>42500</v>
      </c>
      <c r="M488" s="1"/>
      <c r="N488" s="1"/>
      <c r="O488" s="1"/>
      <c r="P488" s="1"/>
      <c r="Q488" s="1"/>
      <c r="R488" s="1"/>
    </row>
    <row r="489" spans="1:18" x14ac:dyDescent="0.2">
      <c r="B489" s="2"/>
      <c r="C489" s="282" t="s">
        <v>504</v>
      </c>
      <c r="D489" s="282" t="s">
        <v>1006</v>
      </c>
      <c r="E489" s="3">
        <v>1000</v>
      </c>
      <c r="F489" s="3">
        <v>100</v>
      </c>
      <c r="G489" s="4">
        <v>44228</v>
      </c>
      <c r="I489" s="1">
        <v>27000</v>
      </c>
      <c r="J489" s="1">
        <v>42500</v>
      </c>
      <c r="M489" s="1"/>
      <c r="N489" s="1"/>
      <c r="O489" s="1"/>
      <c r="P489" s="1"/>
      <c r="Q489" s="1"/>
      <c r="R489" s="1"/>
    </row>
    <row r="490" spans="1:18" x14ac:dyDescent="0.2">
      <c r="G490" s="4"/>
      <c r="M490" s="1"/>
      <c r="N490" s="1"/>
      <c r="O490" s="1"/>
      <c r="P490" s="1"/>
      <c r="Q490" s="1"/>
      <c r="R490" s="1"/>
    </row>
    <row r="491" spans="1:18" s="12" customFormat="1" x14ac:dyDescent="0.2">
      <c r="A491" s="12">
        <v>24</v>
      </c>
      <c r="B491" s="12" t="s">
        <v>242</v>
      </c>
      <c r="C491" s="13" t="s">
        <v>969</v>
      </c>
      <c r="D491" s="13" t="s">
        <v>968</v>
      </c>
      <c r="E491" s="15"/>
      <c r="F491" s="15">
        <f>SUM(F492:F494)</f>
        <v>302.5</v>
      </c>
      <c r="G491" s="14">
        <f>G494</f>
        <v>44550</v>
      </c>
      <c r="M491" s="13"/>
      <c r="N491" s="13"/>
      <c r="O491" s="13"/>
      <c r="P491" s="13"/>
      <c r="Q491" s="13"/>
      <c r="R491" s="13"/>
    </row>
    <row r="492" spans="1:18" x14ac:dyDescent="0.2">
      <c r="B492" s="250" t="s">
        <v>7490</v>
      </c>
      <c r="C492" s="2" t="s">
        <v>8</v>
      </c>
      <c r="D492" s="2" t="s">
        <v>232</v>
      </c>
      <c r="E492" s="3">
        <v>750</v>
      </c>
      <c r="F492" s="3">
        <f>450/4</f>
        <v>112.5</v>
      </c>
      <c r="G492" s="4">
        <v>43593</v>
      </c>
    </row>
    <row r="493" spans="1:18" x14ac:dyDescent="0.2">
      <c r="B493" s="266" t="s">
        <v>7663</v>
      </c>
      <c r="C493" s="2" t="s">
        <v>18</v>
      </c>
      <c r="D493" s="2" t="s">
        <v>232</v>
      </c>
      <c r="E493" s="3">
        <v>460</v>
      </c>
      <c r="F493" s="3">
        <v>150</v>
      </c>
      <c r="G493" s="4">
        <v>43040</v>
      </c>
    </row>
    <row r="494" spans="1:18" x14ac:dyDescent="0.2">
      <c r="C494" s="2" t="s">
        <v>7</v>
      </c>
      <c r="D494" s="2" t="s">
        <v>64</v>
      </c>
      <c r="E494" s="3">
        <f>1600/7</f>
        <v>228.57142857142858</v>
      </c>
      <c r="F494" s="3">
        <v>40</v>
      </c>
      <c r="G494" s="4">
        <v>44550</v>
      </c>
    </row>
    <row r="495" spans="1:18" x14ac:dyDescent="0.2">
      <c r="G495" s="4"/>
    </row>
    <row r="496" spans="1:18" s="12" customFormat="1" x14ac:dyDescent="0.2">
      <c r="A496" s="12">
        <v>25</v>
      </c>
      <c r="B496" s="12" t="s">
        <v>7494</v>
      </c>
      <c r="C496" s="13" t="s">
        <v>969</v>
      </c>
      <c r="D496" s="13" t="s">
        <v>968</v>
      </c>
      <c r="E496" s="15"/>
      <c r="F496" s="15">
        <f>SUM(F497:F517)</f>
        <v>301.73333333333329</v>
      </c>
      <c r="G496" s="14">
        <f>+G508</f>
        <v>45090</v>
      </c>
      <c r="I496" s="12">
        <v>13000</v>
      </c>
      <c r="J496" s="22">
        <f>+F496/I496</f>
        <v>2.3210256410256407E-2</v>
      </c>
      <c r="K496" s="12">
        <v>1996</v>
      </c>
      <c r="M496" s="13"/>
      <c r="N496" s="13"/>
      <c r="O496" s="13"/>
      <c r="P496" s="13"/>
      <c r="Q496" s="13"/>
      <c r="R496" s="13"/>
    </row>
    <row r="497" spans="2:7" x14ac:dyDescent="0.2">
      <c r="B497" s="265" t="s">
        <v>7664</v>
      </c>
      <c r="C497" s="2" t="s">
        <v>9</v>
      </c>
      <c r="D497" s="2" t="s">
        <v>803</v>
      </c>
      <c r="E497" s="3">
        <v>325</v>
      </c>
      <c r="F497" s="3">
        <v>18.5</v>
      </c>
      <c r="G497" s="4">
        <v>44299</v>
      </c>
    </row>
    <row r="498" spans="2:7" x14ac:dyDescent="0.2">
      <c r="C498" s="2" t="s">
        <v>7</v>
      </c>
      <c r="D498" s="2" t="s">
        <v>803</v>
      </c>
      <c r="E498" s="3">
        <v>18</v>
      </c>
      <c r="F498" s="3">
        <v>12</v>
      </c>
      <c r="G498" s="4">
        <v>43319</v>
      </c>
    </row>
    <row r="499" spans="2:7" x14ac:dyDescent="0.2">
      <c r="C499" s="2" t="s">
        <v>18</v>
      </c>
      <c r="D499" s="2" t="s">
        <v>952</v>
      </c>
      <c r="E499" s="3">
        <v>270</v>
      </c>
      <c r="F499" s="3">
        <v>24</v>
      </c>
      <c r="G499" s="4">
        <v>45048</v>
      </c>
    </row>
    <row r="500" spans="2:7" x14ac:dyDescent="0.2">
      <c r="C500" s="2" t="s">
        <v>7</v>
      </c>
      <c r="D500" s="2" t="s">
        <v>952</v>
      </c>
      <c r="E500" s="3">
        <v>130</v>
      </c>
      <c r="F500" s="3">
        <v>23</v>
      </c>
      <c r="G500" s="4">
        <v>44607</v>
      </c>
    </row>
    <row r="501" spans="2:7" x14ac:dyDescent="0.2">
      <c r="C501" s="2" t="s">
        <v>5</v>
      </c>
      <c r="D501" s="2" t="s">
        <v>952</v>
      </c>
      <c r="E501" s="3">
        <v>40</v>
      </c>
      <c r="F501" s="3">
        <v>20</v>
      </c>
      <c r="G501" s="4">
        <v>44446</v>
      </c>
    </row>
    <row r="502" spans="2:7" x14ac:dyDescent="0.2">
      <c r="C502" s="2" t="s">
        <v>18</v>
      </c>
      <c r="D502" s="2" t="s">
        <v>798</v>
      </c>
      <c r="E502" s="3">
        <v>50</v>
      </c>
      <c r="F502" s="3">
        <f>25/3</f>
        <v>8.3333333333333339</v>
      </c>
      <c r="G502" s="4">
        <v>44496</v>
      </c>
    </row>
    <row r="503" spans="2:7" x14ac:dyDescent="0.2">
      <c r="C503" s="2" t="s">
        <v>7</v>
      </c>
      <c r="D503" s="2" t="s">
        <v>798</v>
      </c>
      <c r="E503" s="3">
        <v>22</v>
      </c>
      <c r="F503" s="3">
        <v>5</v>
      </c>
      <c r="G503" s="4">
        <v>44153</v>
      </c>
    </row>
    <row r="504" spans="2:7" x14ac:dyDescent="0.2">
      <c r="C504" s="2" t="s">
        <v>5</v>
      </c>
      <c r="D504" s="2" t="s">
        <v>798</v>
      </c>
      <c r="E504" s="3">
        <v>13</v>
      </c>
      <c r="F504" s="3">
        <v>10</v>
      </c>
      <c r="G504" s="4">
        <v>44026</v>
      </c>
    </row>
    <row r="505" spans="2:7" x14ac:dyDescent="0.2">
      <c r="C505" s="2" t="s">
        <v>7</v>
      </c>
      <c r="D505" s="2" t="s">
        <v>796</v>
      </c>
      <c r="E505" s="3">
        <v>50</v>
      </c>
      <c r="F505" s="3">
        <v>20</v>
      </c>
      <c r="G505" s="4">
        <v>45036</v>
      </c>
    </row>
    <row r="506" spans="2:7" x14ac:dyDescent="0.2">
      <c r="C506" s="2" t="s">
        <v>7</v>
      </c>
      <c r="D506" s="2" t="s">
        <v>894</v>
      </c>
      <c r="E506" s="3">
        <v>40</v>
      </c>
      <c r="F506" s="3">
        <v>5</v>
      </c>
      <c r="G506" s="4">
        <v>44728</v>
      </c>
    </row>
    <row r="507" spans="2:7" x14ac:dyDescent="0.2">
      <c r="C507" s="2" t="s">
        <v>5</v>
      </c>
      <c r="D507" s="2" t="s">
        <v>894</v>
      </c>
      <c r="E507" s="3">
        <v>18.600000000000001</v>
      </c>
      <c r="F507" s="3">
        <v>10</v>
      </c>
      <c r="G507" s="4">
        <v>44112</v>
      </c>
    </row>
    <row r="508" spans="2:7" x14ac:dyDescent="0.2">
      <c r="C508" s="2" t="s">
        <v>4</v>
      </c>
      <c r="D508" s="2" t="s">
        <v>705</v>
      </c>
      <c r="E508" s="3">
        <v>113</v>
      </c>
      <c r="F508" s="3">
        <v>19</v>
      </c>
      <c r="G508" s="4">
        <v>45090</v>
      </c>
    </row>
    <row r="509" spans="2:7" x14ac:dyDescent="0.2">
      <c r="C509" s="2" t="s">
        <v>5</v>
      </c>
      <c r="D509" s="2" t="s">
        <v>520</v>
      </c>
      <c r="E509" s="3">
        <v>7</v>
      </c>
      <c r="F509" s="3">
        <v>1</v>
      </c>
      <c r="G509" s="4">
        <v>42885</v>
      </c>
    </row>
    <row r="510" spans="2:7" x14ac:dyDescent="0.2">
      <c r="C510" s="2" t="s">
        <v>18</v>
      </c>
      <c r="D510" s="2" t="s">
        <v>424</v>
      </c>
      <c r="E510" s="3">
        <v>75</v>
      </c>
      <c r="F510" s="3">
        <v>20</v>
      </c>
      <c r="G510" s="4">
        <v>45020</v>
      </c>
    </row>
    <row r="511" spans="2:7" x14ac:dyDescent="0.2">
      <c r="C511" s="2" t="s">
        <v>18</v>
      </c>
      <c r="D511" s="2" t="s">
        <v>424</v>
      </c>
      <c r="E511" s="3">
        <v>80</v>
      </c>
      <c r="F511" s="3">
        <v>40</v>
      </c>
      <c r="G511" s="4">
        <v>44404</v>
      </c>
    </row>
    <row r="512" spans="2:7" x14ac:dyDescent="0.2">
      <c r="C512" s="2" t="s">
        <v>7</v>
      </c>
      <c r="D512" s="2" t="s">
        <v>424</v>
      </c>
      <c r="E512" s="3">
        <v>40</v>
      </c>
      <c r="F512" s="3">
        <v>20</v>
      </c>
      <c r="G512" s="4">
        <v>43957</v>
      </c>
    </row>
    <row r="513" spans="1:18" x14ac:dyDescent="0.2">
      <c r="C513" s="2" t="s">
        <v>8</v>
      </c>
      <c r="D513" s="2" t="s">
        <v>55</v>
      </c>
      <c r="E513" s="3">
        <v>200</v>
      </c>
      <c r="F513" s="3">
        <f>150/8</f>
        <v>18.75</v>
      </c>
      <c r="G513" s="4">
        <v>44055</v>
      </c>
      <c r="I513" s="1">
        <v>2000</v>
      </c>
      <c r="J513" s="1">
        <v>7000</v>
      </c>
    </row>
    <row r="514" spans="1:18" x14ac:dyDescent="0.2">
      <c r="C514" s="161" t="s">
        <v>7</v>
      </c>
      <c r="D514" s="161" t="s">
        <v>2044</v>
      </c>
      <c r="E514" s="3">
        <v>42</v>
      </c>
      <c r="F514" s="3">
        <f>22/4</f>
        <v>5.5</v>
      </c>
      <c r="G514" s="4">
        <v>44831</v>
      </c>
    </row>
    <row r="515" spans="1:18" x14ac:dyDescent="0.2">
      <c r="C515" s="161" t="s">
        <v>5</v>
      </c>
      <c r="D515" s="161" t="s">
        <v>2044</v>
      </c>
      <c r="E515" s="3">
        <v>15</v>
      </c>
      <c r="F515" s="3">
        <v>5</v>
      </c>
      <c r="G515" s="4">
        <v>44174</v>
      </c>
    </row>
    <row r="516" spans="1:18" x14ac:dyDescent="0.2">
      <c r="C516" s="161" t="s">
        <v>4</v>
      </c>
      <c r="D516" s="161" t="s">
        <v>2044</v>
      </c>
      <c r="E516" s="3">
        <v>3.3</v>
      </c>
      <c r="F516" s="3">
        <f>E516/2</f>
        <v>1.65</v>
      </c>
      <c r="G516" s="4">
        <v>43810</v>
      </c>
    </row>
    <row r="517" spans="1:18" x14ac:dyDescent="0.2">
      <c r="C517" s="176" t="s">
        <v>2035</v>
      </c>
      <c r="D517" s="176" t="s">
        <v>5</v>
      </c>
      <c r="E517" s="3">
        <v>30</v>
      </c>
      <c r="F517" s="3">
        <v>15</v>
      </c>
      <c r="G517" s="4">
        <v>44729</v>
      </c>
    </row>
    <row r="518" spans="1:18" x14ac:dyDescent="0.2">
      <c r="G518" s="4"/>
    </row>
    <row r="519" spans="1:18" s="12" customFormat="1" x14ac:dyDescent="0.2">
      <c r="A519" s="12">
        <v>26</v>
      </c>
      <c r="B519" s="12" t="s">
        <v>7495</v>
      </c>
      <c r="C519" s="13" t="s">
        <v>969</v>
      </c>
      <c r="D519" s="13" t="s">
        <v>968</v>
      </c>
      <c r="E519" s="15"/>
      <c r="F519" s="15">
        <f>SUM(F520:F523)</f>
        <v>268</v>
      </c>
      <c r="G519" s="14">
        <f>+G520</f>
        <v>45069</v>
      </c>
      <c r="I519" s="12">
        <v>3800</v>
      </c>
      <c r="J519" s="22">
        <f>+F519/I519</f>
        <v>7.0526315789473687E-2</v>
      </c>
      <c r="K519" s="12">
        <v>2005</v>
      </c>
      <c r="M519" s="13"/>
      <c r="N519" s="13"/>
      <c r="O519" s="13"/>
      <c r="P519" s="13"/>
      <c r="Q519" s="13"/>
      <c r="R519" s="13"/>
    </row>
    <row r="520" spans="1:18" x14ac:dyDescent="0.2">
      <c r="B520" s="265" t="s">
        <v>7664</v>
      </c>
      <c r="C520" s="2" t="s">
        <v>18</v>
      </c>
      <c r="D520" s="2" t="s">
        <v>964</v>
      </c>
      <c r="E520" s="3">
        <v>450</v>
      </c>
      <c r="F520" s="3">
        <v>150</v>
      </c>
      <c r="G520" s="4">
        <v>45069</v>
      </c>
    </row>
    <row r="521" spans="1:18" x14ac:dyDescent="0.2">
      <c r="C521" s="2" t="s">
        <v>7</v>
      </c>
      <c r="D521" s="2" t="s">
        <v>949</v>
      </c>
      <c r="E521" s="3">
        <v>350</v>
      </c>
      <c r="F521" s="3">
        <v>75</v>
      </c>
      <c r="G521" s="4">
        <v>44999</v>
      </c>
    </row>
    <row r="522" spans="1:18" x14ac:dyDescent="0.2">
      <c r="C522" s="2" t="s">
        <v>18</v>
      </c>
      <c r="D522" s="2" t="s">
        <v>803</v>
      </c>
      <c r="E522" s="3">
        <v>100</v>
      </c>
      <c r="F522" s="3">
        <v>13</v>
      </c>
      <c r="G522" s="4">
        <v>43682</v>
      </c>
    </row>
    <row r="523" spans="1:18" x14ac:dyDescent="0.2">
      <c r="C523" s="2" t="s">
        <v>18</v>
      </c>
      <c r="D523" s="2" t="s">
        <v>374</v>
      </c>
      <c r="E523" s="3">
        <v>130</v>
      </c>
      <c r="F523" s="3">
        <v>30</v>
      </c>
      <c r="G523" s="4">
        <v>44323</v>
      </c>
    </row>
    <row r="524" spans="1:18" x14ac:dyDescent="0.2">
      <c r="G524" s="4"/>
    </row>
    <row r="525" spans="1:18" x14ac:dyDescent="0.2">
      <c r="A525" s="1">
        <v>32</v>
      </c>
      <c r="B525" s="12" t="s">
        <v>1119</v>
      </c>
      <c r="C525" s="13" t="s">
        <v>969</v>
      </c>
      <c r="D525" s="13" t="s">
        <v>968</v>
      </c>
      <c r="E525" s="15"/>
      <c r="F525" s="15">
        <f>SUM(F526:F533)</f>
        <v>262.44708994708998</v>
      </c>
      <c r="G525" s="14">
        <f>G530</f>
        <v>44622</v>
      </c>
      <c r="I525" s="1" t="s">
        <v>1</v>
      </c>
      <c r="J525" s="1" t="s">
        <v>1</v>
      </c>
      <c r="K525" s="1" t="s">
        <v>1</v>
      </c>
    </row>
    <row r="526" spans="1:18" x14ac:dyDescent="0.2">
      <c r="B526" s="250" t="s">
        <v>7501</v>
      </c>
      <c r="C526" s="2" t="s">
        <v>18</v>
      </c>
      <c r="D526" s="2" t="s">
        <v>877</v>
      </c>
      <c r="E526" s="3">
        <v>85</v>
      </c>
      <c r="F526" s="3">
        <v>20</v>
      </c>
      <c r="G526" s="4">
        <v>44417</v>
      </c>
    </row>
    <row r="527" spans="1:18" x14ac:dyDescent="0.2">
      <c r="B527" s="266" t="s">
        <v>7663</v>
      </c>
      <c r="C527" s="2" t="s">
        <v>7</v>
      </c>
      <c r="D527" s="2" t="s">
        <v>877</v>
      </c>
      <c r="E527" s="3">
        <v>35</v>
      </c>
      <c r="F527" s="3">
        <f>25/6</f>
        <v>4.166666666666667</v>
      </c>
      <c r="G527" s="4">
        <v>44293</v>
      </c>
    </row>
    <row r="528" spans="1:18" x14ac:dyDescent="0.2">
      <c r="C528" s="2" t="s">
        <v>53</v>
      </c>
      <c r="D528" s="2" t="s">
        <v>489</v>
      </c>
      <c r="E528" s="3">
        <v>270</v>
      </c>
      <c r="F528" s="3">
        <v>22</v>
      </c>
      <c r="G528" s="4">
        <v>44152</v>
      </c>
    </row>
    <row r="529" spans="1:18" x14ac:dyDescent="0.2">
      <c r="C529" s="2" t="s">
        <v>7</v>
      </c>
      <c r="D529" s="2" t="s">
        <v>475</v>
      </c>
      <c r="E529" s="3">
        <v>90</v>
      </c>
      <c r="F529" s="3">
        <v>6</v>
      </c>
      <c r="G529" s="4">
        <v>44398</v>
      </c>
    </row>
    <row r="530" spans="1:18" x14ac:dyDescent="0.2">
      <c r="C530" s="2" t="s">
        <v>8</v>
      </c>
      <c r="D530" s="2" t="s">
        <v>258</v>
      </c>
      <c r="E530" s="3">
        <v>111</v>
      </c>
      <c r="F530" s="3">
        <v>7</v>
      </c>
      <c r="G530" s="4">
        <v>44622</v>
      </c>
    </row>
    <row r="531" spans="1:18" x14ac:dyDescent="0.2">
      <c r="C531" s="2" t="s">
        <v>8</v>
      </c>
      <c r="D531" s="2" t="s">
        <v>208</v>
      </c>
      <c r="E531" s="3">
        <v>676</v>
      </c>
      <c r="F531" s="3">
        <f>500/7</f>
        <v>71.428571428571431</v>
      </c>
      <c r="G531" s="4">
        <v>44299</v>
      </c>
      <c r="I531" s="1">
        <v>4400</v>
      </c>
    </row>
    <row r="532" spans="1:18" x14ac:dyDescent="0.2">
      <c r="C532" s="2" t="s">
        <v>18</v>
      </c>
      <c r="D532" s="2" t="s">
        <v>208</v>
      </c>
      <c r="E532" s="3">
        <v>250</v>
      </c>
      <c r="F532" s="3">
        <v>80</v>
      </c>
      <c r="G532" s="4">
        <v>43886</v>
      </c>
      <c r="I532" s="1">
        <v>2300</v>
      </c>
    </row>
    <row r="533" spans="1:18" x14ac:dyDescent="0.2">
      <c r="C533" s="282" t="s">
        <v>2489</v>
      </c>
      <c r="D533" s="282" t="s">
        <v>1006</v>
      </c>
      <c r="E533" s="3">
        <v>1600</v>
      </c>
      <c r="F533" s="3">
        <f>1400/27</f>
        <v>51.851851851851855</v>
      </c>
      <c r="G533" s="4">
        <v>44439</v>
      </c>
      <c r="I533" s="1">
        <v>36400</v>
      </c>
      <c r="J533" s="1">
        <v>42500</v>
      </c>
    </row>
    <row r="534" spans="1:18" x14ac:dyDescent="0.2">
      <c r="C534" s="282" t="s">
        <v>504</v>
      </c>
      <c r="D534" s="282" t="s">
        <v>1006</v>
      </c>
      <c r="E534" s="3">
        <v>1000</v>
      </c>
      <c r="F534" s="3">
        <f>900/23</f>
        <v>39.130434782608695</v>
      </c>
      <c r="G534" s="4">
        <v>44228</v>
      </c>
      <c r="I534" s="1">
        <v>27000</v>
      </c>
      <c r="J534" s="1">
        <v>42500</v>
      </c>
    </row>
    <row r="535" spans="1:18" x14ac:dyDescent="0.2">
      <c r="G535" s="4"/>
    </row>
    <row r="536" spans="1:18" s="12" customFormat="1" x14ac:dyDescent="0.2">
      <c r="B536" s="12" t="s">
        <v>505</v>
      </c>
      <c r="C536" s="13" t="s">
        <v>969</v>
      </c>
      <c r="D536" s="13" t="s">
        <v>968</v>
      </c>
      <c r="E536" s="15"/>
      <c r="F536" s="15">
        <f>SUM(F537:F539)</f>
        <v>257.83809523809521</v>
      </c>
      <c r="G536" s="14">
        <f>G538</f>
        <v>45183</v>
      </c>
    </row>
    <row r="537" spans="1:18" x14ac:dyDescent="0.2">
      <c r="C537" s="2" t="s">
        <v>504</v>
      </c>
      <c r="D537" s="2" t="s">
        <v>489</v>
      </c>
      <c r="E537" s="3">
        <v>250</v>
      </c>
      <c r="F537" s="3">
        <f>150/5</f>
        <v>30</v>
      </c>
      <c r="G537" s="4">
        <v>44376</v>
      </c>
      <c r="M537" s="1"/>
      <c r="N537" s="1"/>
      <c r="O537" s="1"/>
      <c r="P537" s="1"/>
      <c r="Q537" s="1"/>
      <c r="R537" s="1"/>
    </row>
    <row r="538" spans="1:18" x14ac:dyDescent="0.2">
      <c r="C538" s="282" t="s">
        <v>7933</v>
      </c>
      <c r="D538" s="282" t="s">
        <v>1006</v>
      </c>
      <c r="E538" s="3">
        <v>684.6</v>
      </c>
      <c r="F538" s="3">
        <f>584.6/21</f>
        <v>27.838095238095239</v>
      </c>
      <c r="G538" s="4">
        <v>45183</v>
      </c>
      <c r="I538" s="1">
        <v>42500</v>
      </c>
      <c r="J538" s="1">
        <v>42500</v>
      </c>
      <c r="M538" s="1"/>
      <c r="N538" s="1"/>
      <c r="O538" s="1"/>
      <c r="P538" s="1"/>
      <c r="Q538" s="1"/>
      <c r="R538" s="1"/>
    </row>
    <row r="539" spans="1:18" s="284" customFormat="1" x14ac:dyDescent="0.2">
      <c r="C539" s="285" t="s">
        <v>2489</v>
      </c>
      <c r="D539" s="282" t="s">
        <v>1006</v>
      </c>
      <c r="E539" s="286">
        <v>1600</v>
      </c>
      <c r="F539" s="286">
        <v>200</v>
      </c>
      <c r="G539" s="287">
        <v>44439</v>
      </c>
      <c r="I539" s="284">
        <v>36400</v>
      </c>
      <c r="J539" s="1">
        <v>42500</v>
      </c>
      <c r="K539" s="288">
        <f>+(J539/I539-1)*F539</f>
        <v>33.516483516483532</v>
      </c>
    </row>
    <row r="540" spans="1:18" x14ac:dyDescent="0.2">
      <c r="C540" s="282"/>
      <c r="G540" s="4"/>
      <c r="M540" s="1"/>
      <c r="N540" s="1"/>
      <c r="O540" s="1"/>
      <c r="P540" s="1"/>
      <c r="Q540" s="1"/>
      <c r="R540" s="1"/>
    </row>
    <row r="541" spans="1:18" x14ac:dyDescent="0.2">
      <c r="A541" s="1">
        <v>27</v>
      </c>
      <c r="B541" s="12" t="s">
        <v>7956</v>
      </c>
      <c r="C541" s="13" t="s">
        <v>969</v>
      </c>
      <c r="D541" s="13" t="s">
        <v>968</v>
      </c>
      <c r="F541" s="15">
        <f>SUM(F542:F556)</f>
        <v>329.55357142857144</v>
      </c>
      <c r="G541" s="14">
        <f>G542</f>
        <v>44796</v>
      </c>
    </row>
    <row r="542" spans="1:18" x14ac:dyDescent="0.2">
      <c r="B542" s="250" t="s">
        <v>7496</v>
      </c>
      <c r="C542" s="2" t="s">
        <v>1040</v>
      </c>
      <c r="D542" s="2" t="s">
        <v>832</v>
      </c>
      <c r="E542" s="3">
        <v>99</v>
      </c>
      <c r="F542" s="3">
        <v>30</v>
      </c>
      <c r="G542" s="4">
        <v>44796</v>
      </c>
    </row>
    <row r="543" spans="1:18" x14ac:dyDescent="0.2">
      <c r="B543" s="266" t="s">
        <v>7663</v>
      </c>
      <c r="C543" s="2" t="s">
        <v>1116</v>
      </c>
      <c r="D543" s="2" t="s">
        <v>832</v>
      </c>
      <c r="E543" s="3">
        <v>100</v>
      </c>
      <c r="F543" s="3">
        <f>40/3</f>
        <v>13.333333333333334</v>
      </c>
      <c r="G543" s="4">
        <v>44537</v>
      </c>
    </row>
    <row r="544" spans="1:18" x14ac:dyDescent="0.2">
      <c r="C544" s="2" t="s">
        <v>7</v>
      </c>
      <c r="D544" s="2" t="s">
        <v>832</v>
      </c>
      <c r="E544" s="3">
        <v>40</v>
      </c>
      <c r="F544" s="3">
        <f>20/3</f>
        <v>6.666666666666667</v>
      </c>
      <c r="G544" s="4">
        <v>44125</v>
      </c>
    </row>
    <row r="545" spans="1:18" x14ac:dyDescent="0.2">
      <c r="C545" s="2" t="s">
        <v>5</v>
      </c>
      <c r="D545" s="2" t="s">
        <v>832</v>
      </c>
      <c r="E545" s="3">
        <v>20</v>
      </c>
      <c r="F545" s="3">
        <f>12/6</f>
        <v>2</v>
      </c>
      <c r="G545" s="4">
        <v>43816</v>
      </c>
    </row>
    <row r="546" spans="1:18" x14ac:dyDescent="0.2">
      <c r="C546" s="2" t="s">
        <v>5</v>
      </c>
      <c r="D546" s="2" t="s">
        <v>701</v>
      </c>
      <c r="E546" s="3">
        <v>50</v>
      </c>
      <c r="F546" s="3">
        <v>10</v>
      </c>
      <c r="G546" s="4">
        <v>44796</v>
      </c>
    </row>
    <row r="547" spans="1:18" x14ac:dyDescent="0.2">
      <c r="C547" s="2" t="s">
        <v>5</v>
      </c>
      <c r="D547" s="2" t="s">
        <v>516</v>
      </c>
      <c r="E547" s="3">
        <v>14.5</v>
      </c>
      <c r="F547" s="3">
        <v>3</v>
      </c>
      <c r="G547" s="4">
        <v>43389</v>
      </c>
    </row>
    <row r="548" spans="1:18" x14ac:dyDescent="0.2">
      <c r="C548" s="2" t="s">
        <v>9</v>
      </c>
      <c r="D548" s="2" t="s">
        <v>489</v>
      </c>
      <c r="E548" s="3">
        <v>206</v>
      </c>
      <c r="F548" s="3">
        <v>14</v>
      </c>
      <c r="G548" s="4">
        <v>43725</v>
      </c>
    </row>
    <row r="549" spans="1:18" x14ac:dyDescent="0.2">
      <c r="C549" s="2" t="s">
        <v>8</v>
      </c>
      <c r="D549" s="2" t="s">
        <v>489</v>
      </c>
      <c r="E549" s="3">
        <v>100</v>
      </c>
      <c r="F549" s="3">
        <v>15</v>
      </c>
      <c r="G549" s="4">
        <v>43397</v>
      </c>
    </row>
    <row r="550" spans="1:18" x14ac:dyDescent="0.2">
      <c r="C550" s="2" t="s">
        <v>4</v>
      </c>
      <c r="D550" s="2" t="s">
        <v>332</v>
      </c>
      <c r="E550" s="3">
        <v>5</v>
      </c>
      <c r="F550" s="3">
        <v>1</v>
      </c>
      <c r="G550" s="4">
        <v>43990</v>
      </c>
    </row>
    <row r="551" spans="1:18" x14ac:dyDescent="0.2">
      <c r="C551" s="2" t="s">
        <v>5</v>
      </c>
      <c r="D551" s="2" t="s">
        <v>313</v>
      </c>
      <c r="E551" s="3">
        <v>57</v>
      </c>
      <c r="F551" s="3">
        <v>6</v>
      </c>
      <c r="G551" s="4">
        <v>44508</v>
      </c>
    </row>
    <row r="552" spans="1:18" x14ac:dyDescent="0.2">
      <c r="C552" s="2" t="s">
        <v>8</v>
      </c>
      <c r="D552" s="2" t="s">
        <v>208</v>
      </c>
      <c r="E552" s="3">
        <v>676</v>
      </c>
      <c r="F552" s="3">
        <f>500/7</f>
        <v>71.428571428571431</v>
      </c>
      <c r="G552" s="4">
        <v>44299</v>
      </c>
      <c r="I552" s="1">
        <v>4400</v>
      </c>
    </row>
    <row r="553" spans="1:18" x14ac:dyDescent="0.2">
      <c r="C553" s="2" t="s">
        <v>18</v>
      </c>
      <c r="D553" s="2" t="s">
        <v>208</v>
      </c>
      <c r="E553" s="3">
        <v>250</v>
      </c>
      <c r="F553" s="3">
        <f>170/5</f>
        <v>34</v>
      </c>
      <c r="G553" s="4">
        <v>43886</v>
      </c>
      <c r="I553" s="1">
        <v>2300</v>
      </c>
    </row>
    <row r="554" spans="1:18" x14ac:dyDescent="0.2">
      <c r="C554" s="2" t="s">
        <v>7</v>
      </c>
      <c r="D554" s="2" t="s">
        <v>208</v>
      </c>
      <c r="E554" s="3">
        <v>150</v>
      </c>
      <c r="F554" s="3">
        <v>50</v>
      </c>
      <c r="G554" s="4">
        <v>43556</v>
      </c>
    </row>
    <row r="555" spans="1:18" x14ac:dyDescent="0.2">
      <c r="C555" s="282" t="s">
        <v>8</v>
      </c>
      <c r="D555" s="282" t="s">
        <v>3736</v>
      </c>
      <c r="E555" s="3">
        <v>235</v>
      </c>
      <c r="F555" s="3">
        <f>185/8</f>
        <v>23.125</v>
      </c>
      <c r="G555" s="4">
        <v>45161</v>
      </c>
      <c r="I555" s="1">
        <v>4300</v>
      </c>
      <c r="J555" s="1">
        <v>4300</v>
      </c>
    </row>
    <row r="556" spans="1:18" x14ac:dyDescent="0.2">
      <c r="C556" s="282" t="s">
        <v>7963</v>
      </c>
      <c r="D556" s="282" t="s">
        <v>936</v>
      </c>
      <c r="E556" s="3">
        <v>50</v>
      </c>
      <c r="F556" s="3">
        <v>50</v>
      </c>
      <c r="G556" s="4">
        <v>45239</v>
      </c>
    </row>
    <row r="557" spans="1:18" x14ac:dyDescent="0.2">
      <c r="G557" s="4"/>
    </row>
    <row r="558" spans="1:18" s="12" customFormat="1" x14ac:dyDescent="0.2">
      <c r="A558" s="12">
        <v>28</v>
      </c>
      <c r="B558" s="12" t="s">
        <v>7497</v>
      </c>
      <c r="C558" s="13" t="s">
        <v>969</v>
      </c>
      <c r="D558" s="13" t="s">
        <v>968</v>
      </c>
      <c r="E558" s="15"/>
      <c r="F558" s="15">
        <f>SUM(F559:F570)</f>
        <v>248.75</v>
      </c>
      <c r="G558" s="14">
        <f>G559</f>
        <v>44852</v>
      </c>
      <c r="M558" s="13"/>
      <c r="N558" s="13"/>
      <c r="O558" s="13"/>
      <c r="P558" s="13"/>
      <c r="Q558" s="13"/>
      <c r="R558" s="13"/>
    </row>
    <row r="559" spans="1:18" x14ac:dyDescent="0.2">
      <c r="B559" s="266" t="s">
        <v>7840</v>
      </c>
      <c r="C559" s="2" t="s">
        <v>5</v>
      </c>
      <c r="D559" s="2" t="s">
        <v>763</v>
      </c>
      <c r="E559" s="3">
        <v>125</v>
      </c>
      <c r="F559" s="3">
        <v>15</v>
      </c>
      <c r="G559" s="4">
        <v>44852</v>
      </c>
    </row>
    <row r="560" spans="1:18" x14ac:dyDescent="0.2">
      <c r="C560" s="2" t="s">
        <v>53</v>
      </c>
      <c r="D560" s="2" t="s">
        <v>176</v>
      </c>
      <c r="E560" s="3">
        <v>475</v>
      </c>
      <c r="F560" s="3">
        <v>40</v>
      </c>
      <c r="G560" s="4">
        <v>44278</v>
      </c>
    </row>
    <row r="561" spans="1:18" x14ac:dyDescent="0.2">
      <c r="C561" s="2" t="s">
        <v>8</v>
      </c>
      <c r="D561" s="2" t="s">
        <v>176</v>
      </c>
      <c r="E561" s="3">
        <v>130</v>
      </c>
      <c r="F561" s="3">
        <v>12</v>
      </c>
      <c r="G561" s="4">
        <v>42080</v>
      </c>
      <c r="I561" s="1">
        <v>570</v>
      </c>
    </row>
    <row r="562" spans="1:18" x14ac:dyDescent="0.2">
      <c r="C562" s="2" t="s">
        <v>18</v>
      </c>
      <c r="D562" s="2" t="s">
        <v>176</v>
      </c>
      <c r="E562" s="3">
        <v>34</v>
      </c>
      <c r="F562" s="3">
        <v>20</v>
      </c>
      <c r="G562" s="4">
        <v>41437</v>
      </c>
    </row>
    <row r="563" spans="1:18" x14ac:dyDescent="0.2">
      <c r="C563" s="2" t="s">
        <v>9</v>
      </c>
      <c r="D563" s="2" t="s">
        <v>39</v>
      </c>
      <c r="E563" s="3">
        <v>230</v>
      </c>
      <c r="F563" s="3">
        <v>24</v>
      </c>
      <c r="G563" s="4">
        <v>44984</v>
      </c>
      <c r="I563" s="1">
        <v>2000</v>
      </c>
      <c r="J563" s="1">
        <v>2000</v>
      </c>
    </row>
    <row r="564" spans="1:18" x14ac:dyDescent="0.2">
      <c r="C564" s="2" t="s">
        <v>8</v>
      </c>
      <c r="D564" s="2" t="s">
        <v>39</v>
      </c>
      <c r="E564" s="3">
        <v>170</v>
      </c>
      <c r="F564" s="3">
        <v>22</v>
      </c>
      <c r="G564" s="4">
        <v>44255</v>
      </c>
      <c r="I564" s="1">
        <v>830</v>
      </c>
      <c r="J564" s="1">
        <v>2000</v>
      </c>
    </row>
    <row r="565" spans="1:18" x14ac:dyDescent="0.2">
      <c r="C565" s="2" t="s">
        <v>18</v>
      </c>
      <c r="D565" s="2" t="s">
        <v>39</v>
      </c>
      <c r="E565" s="3">
        <v>100</v>
      </c>
      <c r="F565" s="3">
        <v>15</v>
      </c>
      <c r="G565" s="4">
        <v>44025</v>
      </c>
      <c r="J565" s="1">
        <v>2000</v>
      </c>
    </row>
    <row r="566" spans="1:18" x14ac:dyDescent="0.2">
      <c r="C566" s="2" t="s">
        <v>7</v>
      </c>
      <c r="D566" s="2" t="s">
        <v>39</v>
      </c>
      <c r="E566" s="3">
        <v>42</v>
      </c>
      <c r="F566" s="3">
        <v>10</v>
      </c>
      <c r="G566" s="4">
        <v>43144</v>
      </c>
      <c r="J566" s="1">
        <v>2000</v>
      </c>
    </row>
    <row r="567" spans="1:18" x14ac:dyDescent="0.2">
      <c r="C567" s="2" t="s">
        <v>9</v>
      </c>
      <c r="D567" s="2" t="s">
        <v>52</v>
      </c>
      <c r="E567" s="3">
        <v>220</v>
      </c>
      <c r="F567" s="3">
        <v>28</v>
      </c>
      <c r="G567" s="4">
        <v>44357</v>
      </c>
      <c r="I567" s="1">
        <v>1900</v>
      </c>
      <c r="J567" s="1">
        <v>1900</v>
      </c>
    </row>
    <row r="568" spans="1:18" x14ac:dyDescent="0.2">
      <c r="C568" s="2" t="s">
        <v>8</v>
      </c>
      <c r="D568" s="2" t="s">
        <v>52</v>
      </c>
      <c r="E568" s="3">
        <v>125</v>
      </c>
      <c r="F568" s="3">
        <v>18.75</v>
      </c>
      <c r="G568" s="4">
        <v>44131</v>
      </c>
      <c r="I568" s="1">
        <v>875</v>
      </c>
      <c r="J568" s="1">
        <v>1900</v>
      </c>
    </row>
    <row r="569" spans="1:18" x14ac:dyDescent="0.2">
      <c r="C569" s="2" t="s">
        <v>18</v>
      </c>
      <c r="D569" s="2" t="s">
        <v>52</v>
      </c>
      <c r="E569" s="3">
        <v>28</v>
      </c>
      <c r="F569" s="3">
        <v>14</v>
      </c>
      <c r="G569" s="4">
        <v>43579</v>
      </c>
      <c r="J569" s="1">
        <v>1900</v>
      </c>
    </row>
    <row r="570" spans="1:18" x14ac:dyDescent="0.2">
      <c r="C570" s="93" t="s">
        <v>7</v>
      </c>
      <c r="D570" s="93" t="s">
        <v>2079</v>
      </c>
      <c r="E570" s="3">
        <v>100</v>
      </c>
      <c r="F570" s="3">
        <v>30</v>
      </c>
      <c r="G570" s="4">
        <v>44937</v>
      </c>
      <c r="I570" s="1">
        <v>900</v>
      </c>
      <c r="J570" s="1">
        <v>900</v>
      </c>
    </row>
    <row r="571" spans="1:18" x14ac:dyDescent="0.2">
      <c r="G571" s="4"/>
    </row>
    <row r="572" spans="1:18" s="12" customFormat="1" x14ac:dyDescent="0.2">
      <c r="A572" s="12">
        <v>29</v>
      </c>
      <c r="B572" s="12" t="s">
        <v>7498</v>
      </c>
      <c r="C572" s="13" t="s">
        <v>969</v>
      </c>
      <c r="D572" s="13" t="s">
        <v>968</v>
      </c>
      <c r="E572" s="15"/>
      <c r="F572" s="15">
        <f>SUM(F573:F582)</f>
        <v>231.21428571428572</v>
      </c>
      <c r="G572" s="14">
        <f>G578</f>
        <v>44515</v>
      </c>
    </row>
    <row r="573" spans="1:18" x14ac:dyDescent="0.2">
      <c r="B573" s="266" t="s">
        <v>7663</v>
      </c>
      <c r="C573" s="2" t="s">
        <v>18</v>
      </c>
      <c r="D573" s="2" t="s">
        <v>883</v>
      </c>
      <c r="E573" s="3">
        <v>200</v>
      </c>
      <c r="F573" s="3">
        <f>100/5</f>
        <v>20</v>
      </c>
      <c r="G573" s="4">
        <v>44377</v>
      </c>
      <c r="M573" s="1"/>
      <c r="N573" s="1"/>
      <c r="O573" s="1"/>
      <c r="P573" s="1"/>
      <c r="Q573" s="1"/>
      <c r="R573" s="1"/>
    </row>
    <row r="574" spans="1:18" x14ac:dyDescent="0.2">
      <c r="C574" s="2" t="s">
        <v>7</v>
      </c>
      <c r="D574" s="2" t="s">
        <v>883</v>
      </c>
      <c r="E574" s="3">
        <v>75</v>
      </c>
      <c r="F574" s="3">
        <v>20</v>
      </c>
      <c r="G574" s="4">
        <v>43783</v>
      </c>
      <c r="M574" s="1"/>
      <c r="N574" s="1"/>
      <c r="O574" s="1"/>
      <c r="P574" s="1"/>
      <c r="Q574" s="1"/>
      <c r="R574" s="1"/>
    </row>
    <row r="575" spans="1:18" x14ac:dyDescent="0.2">
      <c r="C575" s="2" t="s">
        <v>53</v>
      </c>
      <c r="D575" s="2" t="s">
        <v>489</v>
      </c>
      <c r="E575" s="3">
        <v>270</v>
      </c>
      <c r="F575" s="3">
        <v>22</v>
      </c>
      <c r="G575" s="4">
        <v>44152</v>
      </c>
      <c r="M575" s="1"/>
      <c r="N575" s="1"/>
      <c r="O575" s="1"/>
      <c r="P575" s="1"/>
      <c r="Q575" s="1"/>
      <c r="R575" s="1"/>
    </row>
    <row r="576" spans="1:18" x14ac:dyDescent="0.2">
      <c r="C576" s="2" t="s">
        <v>9</v>
      </c>
      <c r="D576" s="2" t="s">
        <v>489</v>
      </c>
      <c r="E576" s="3">
        <v>206</v>
      </c>
      <c r="F576" s="3">
        <v>36</v>
      </c>
      <c r="G576" s="4">
        <v>43725</v>
      </c>
      <c r="M576" s="1"/>
      <c r="N576" s="1"/>
      <c r="O576" s="1"/>
      <c r="P576" s="1"/>
      <c r="Q576" s="1"/>
      <c r="R576" s="1"/>
    </row>
    <row r="577" spans="1:18" x14ac:dyDescent="0.2">
      <c r="C577" s="2" t="s">
        <v>8</v>
      </c>
      <c r="D577" s="2" t="s">
        <v>489</v>
      </c>
      <c r="E577" s="3">
        <v>100</v>
      </c>
      <c r="F577" s="3">
        <v>20</v>
      </c>
      <c r="G577" s="4">
        <v>43397</v>
      </c>
      <c r="M577" s="1"/>
      <c r="N577" s="1"/>
      <c r="O577" s="1"/>
      <c r="P577" s="1"/>
      <c r="Q577" s="1"/>
      <c r="R577" s="1"/>
    </row>
    <row r="578" spans="1:18" x14ac:dyDescent="0.2">
      <c r="C578" s="2" t="s">
        <v>53</v>
      </c>
      <c r="D578" s="2" t="s">
        <v>47</v>
      </c>
      <c r="E578" s="3">
        <v>100</v>
      </c>
      <c r="F578" s="3">
        <f>75/7</f>
        <v>10.714285714285714</v>
      </c>
      <c r="G578" s="4">
        <v>44515</v>
      </c>
      <c r="I578" s="1">
        <v>4100</v>
      </c>
      <c r="J578" s="1">
        <v>4100</v>
      </c>
      <c r="M578" s="1"/>
      <c r="N578" s="1"/>
      <c r="O578" s="1"/>
      <c r="P578" s="1"/>
      <c r="Q578" s="1"/>
      <c r="R578" s="1"/>
    </row>
    <row r="579" spans="1:18" x14ac:dyDescent="0.2">
      <c r="C579" s="2" t="s">
        <v>9</v>
      </c>
      <c r="D579" s="2" t="s">
        <v>47</v>
      </c>
      <c r="E579" s="3">
        <v>248</v>
      </c>
      <c r="F579" s="3">
        <v>37.5</v>
      </c>
      <c r="G579" s="4">
        <v>43678</v>
      </c>
      <c r="I579" s="1">
        <v>1700</v>
      </c>
      <c r="J579" s="1">
        <v>4100</v>
      </c>
      <c r="M579" s="1"/>
      <c r="N579" s="1"/>
      <c r="O579" s="1"/>
      <c r="P579" s="1"/>
      <c r="Q579" s="1"/>
      <c r="R579" s="1"/>
    </row>
    <row r="580" spans="1:18" x14ac:dyDescent="0.2">
      <c r="C580" s="2" t="s">
        <v>8</v>
      </c>
      <c r="D580" s="2" t="s">
        <v>47</v>
      </c>
      <c r="E580" s="3">
        <v>145</v>
      </c>
      <c r="F580" s="3">
        <v>30</v>
      </c>
      <c r="G580" s="4">
        <v>43228</v>
      </c>
      <c r="I580" s="1">
        <v>855</v>
      </c>
      <c r="J580" s="1">
        <v>4100</v>
      </c>
      <c r="M580" s="1"/>
      <c r="N580" s="1"/>
      <c r="O580" s="1"/>
      <c r="P580" s="1"/>
      <c r="Q580" s="1"/>
      <c r="R580" s="1"/>
    </row>
    <row r="581" spans="1:18" x14ac:dyDescent="0.2">
      <c r="C581" s="2" t="s">
        <v>18</v>
      </c>
      <c r="D581" s="2" t="s">
        <v>2130</v>
      </c>
      <c r="E581" s="3">
        <v>200</v>
      </c>
      <c r="F581" s="3">
        <v>30</v>
      </c>
      <c r="G581" s="4">
        <v>44557</v>
      </c>
      <c r="M581" s="1"/>
      <c r="N581" s="1"/>
      <c r="O581" s="1"/>
      <c r="P581" s="1"/>
      <c r="Q581" s="1"/>
      <c r="R581" s="1"/>
    </row>
    <row r="582" spans="1:18" x14ac:dyDescent="0.2">
      <c r="C582" s="282" t="s">
        <v>1040</v>
      </c>
      <c r="D582" s="282" t="s">
        <v>3665</v>
      </c>
      <c r="E582" s="3">
        <v>50</v>
      </c>
      <c r="F582" s="3">
        <f>35/7</f>
        <v>5</v>
      </c>
      <c r="G582" s="4">
        <v>45147</v>
      </c>
      <c r="M582" s="1"/>
      <c r="N582" s="1"/>
      <c r="O582" s="1"/>
      <c r="P582" s="1"/>
      <c r="Q582" s="1"/>
      <c r="R582" s="1"/>
    </row>
    <row r="583" spans="1:18" x14ac:dyDescent="0.2">
      <c r="G583" s="4"/>
      <c r="M583" s="1"/>
      <c r="N583" s="1"/>
      <c r="O583" s="1"/>
      <c r="P583" s="1"/>
      <c r="Q583" s="1"/>
      <c r="R583" s="1"/>
    </row>
    <row r="584" spans="1:18" x14ac:dyDescent="0.2">
      <c r="A584" s="1">
        <v>30</v>
      </c>
      <c r="B584" s="12" t="s">
        <v>7499</v>
      </c>
      <c r="C584" s="13" t="s">
        <v>969</v>
      </c>
      <c r="D584" s="13" t="s">
        <v>968</v>
      </c>
      <c r="E584" s="15"/>
      <c r="F584" s="15">
        <f>SUM(F585:F595)</f>
        <v>224.75</v>
      </c>
      <c r="G584" s="14">
        <f>G590</f>
        <v>44882</v>
      </c>
    </row>
    <row r="585" spans="1:18" x14ac:dyDescent="0.2">
      <c r="B585" s="250" t="s">
        <v>7833</v>
      </c>
      <c r="C585" s="2" t="s">
        <v>9</v>
      </c>
      <c r="D585" s="2" t="s">
        <v>803</v>
      </c>
      <c r="E585" s="3">
        <v>325</v>
      </c>
      <c r="F585" s="3">
        <v>18.5</v>
      </c>
      <c r="G585" s="4">
        <v>44299</v>
      </c>
    </row>
    <row r="586" spans="1:18" x14ac:dyDescent="0.2">
      <c r="C586" s="2" t="s">
        <v>18</v>
      </c>
      <c r="D586" s="2" t="s">
        <v>803</v>
      </c>
      <c r="E586" s="3">
        <v>100</v>
      </c>
      <c r="F586" s="3">
        <v>35</v>
      </c>
      <c r="G586" s="4">
        <v>43682</v>
      </c>
    </row>
    <row r="587" spans="1:18" x14ac:dyDescent="0.2">
      <c r="C587" s="2" t="s">
        <v>5</v>
      </c>
      <c r="D587" s="2" t="s">
        <v>701</v>
      </c>
      <c r="E587" s="3">
        <v>50</v>
      </c>
      <c r="F587" s="3">
        <f>30/12</f>
        <v>2.5</v>
      </c>
      <c r="G587" s="4">
        <v>44796</v>
      </c>
    </row>
    <row r="588" spans="1:18" x14ac:dyDescent="0.2">
      <c r="C588" s="2" t="s">
        <v>5</v>
      </c>
      <c r="D588" s="2" t="s">
        <v>1082</v>
      </c>
      <c r="E588" s="3">
        <v>25</v>
      </c>
      <c r="F588" s="3">
        <v>10</v>
      </c>
      <c r="G588" s="4">
        <v>44679</v>
      </c>
    </row>
    <row r="589" spans="1:18" x14ac:dyDescent="0.2">
      <c r="C589" s="2" t="s">
        <v>4</v>
      </c>
      <c r="D589" s="2" t="s">
        <v>1082</v>
      </c>
      <c r="E589" s="3">
        <v>3</v>
      </c>
      <c r="F589" s="3">
        <v>1</v>
      </c>
      <c r="G589" s="4">
        <v>44197</v>
      </c>
    </row>
    <row r="590" spans="1:18" x14ac:dyDescent="0.2">
      <c r="C590" s="2" t="s">
        <v>7</v>
      </c>
      <c r="D590" s="2" t="s">
        <v>810</v>
      </c>
      <c r="E590" s="3">
        <v>27</v>
      </c>
      <c r="F590" s="3">
        <v>10</v>
      </c>
      <c r="G590" s="4">
        <v>44882</v>
      </c>
    </row>
    <row r="591" spans="1:18" x14ac:dyDescent="0.2">
      <c r="C591" s="2" t="s">
        <v>8</v>
      </c>
      <c r="D591" s="2" t="s">
        <v>3938</v>
      </c>
      <c r="E591" s="3">
        <v>90</v>
      </c>
      <c r="F591" s="3">
        <v>45</v>
      </c>
      <c r="G591" s="4">
        <v>40354</v>
      </c>
      <c r="I591" s="1">
        <v>645</v>
      </c>
      <c r="J591" s="1">
        <v>32500</v>
      </c>
    </row>
    <row r="592" spans="1:18" x14ac:dyDescent="0.2">
      <c r="C592" s="2" t="s">
        <v>2489</v>
      </c>
      <c r="D592" s="2" t="s">
        <v>3938</v>
      </c>
      <c r="E592" s="3">
        <v>196.5</v>
      </c>
      <c r="F592" s="3">
        <f>E592/2</f>
        <v>98.25</v>
      </c>
      <c r="G592" s="4">
        <v>41544</v>
      </c>
      <c r="I592" s="1">
        <v>8000</v>
      </c>
      <c r="J592" s="1">
        <v>32500</v>
      </c>
    </row>
    <row r="593" spans="1:18" x14ac:dyDescent="0.2">
      <c r="C593" s="93" t="s">
        <v>5</v>
      </c>
      <c r="D593" s="93" t="s">
        <v>5426</v>
      </c>
      <c r="E593" s="3">
        <v>18.100000000000001</v>
      </c>
      <c r="F593" s="3">
        <v>2</v>
      </c>
      <c r="G593" s="4">
        <v>42719</v>
      </c>
      <c r="J593" s="1">
        <v>2000</v>
      </c>
    </row>
    <row r="594" spans="1:18" x14ac:dyDescent="0.2">
      <c r="C594" s="253" t="s">
        <v>5</v>
      </c>
      <c r="D594" s="253" t="s">
        <v>2013</v>
      </c>
      <c r="E594" s="3">
        <v>9</v>
      </c>
      <c r="F594" s="3">
        <f>6/4</f>
        <v>1.5</v>
      </c>
      <c r="G594" s="4">
        <v>44540</v>
      </c>
    </row>
    <row r="595" spans="1:18" x14ac:dyDescent="0.2">
      <c r="C595" s="253" t="s">
        <v>4</v>
      </c>
      <c r="D595" s="253" t="s">
        <v>2013</v>
      </c>
      <c r="E595" s="3">
        <v>2.5</v>
      </c>
      <c r="F595" s="3">
        <v>1</v>
      </c>
      <c r="G595" s="4">
        <v>44296</v>
      </c>
    </row>
    <row r="596" spans="1:18" x14ac:dyDescent="0.2">
      <c r="G596" s="4"/>
    </row>
    <row r="597" spans="1:18" s="12" customFormat="1" x14ac:dyDescent="0.2">
      <c r="A597" s="12">
        <v>31</v>
      </c>
      <c r="B597" s="12" t="s">
        <v>1120</v>
      </c>
      <c r="C597" s="13" t="s">
        <v>969</v>
      </c>
      <c r="D597" s="13" t="s">
        <v>968</v>
      </c>
      <c r="E597" s="15"/>
      <c r="F597" s="15">
        <f>SUM(F598:F608)</f>
        <v>335.65821256038646</v>
      </c>
      <c r="G597" s="14">
        <f>G598</f>
        <v>45069</v>
      </c>
      <c r="I597" s="13" t="s">
        <v>1</v>
      </c>
      <c r="J597" s="13" t="s">
        <v>1</v>
      </c>
      <c r="K597" s="13" t="s">
        <v>1</v>
      </c>
      <c r="M597" s="13"/>
      <c r="N597" s="13"/>
      <c r="O597" s="13"/>
      <c r="P597" s="13"/>
      <c r="Q597" s="13"/>
      <c r="R597" s="13"/>
    </row>
    <row r="598" spans="1:18" x14ac:dyDescent="0.2">
      <c r="B598" s="250" t="s">
        <v>7500</v>
      </c>
      <c r="C598" s="2" t="s">
        <v>18</v>
      </c>
      <c r="D598" s="2" t="s">
        <v>964</v>
      </c>
      <c r="E598" s="3">
        <v>450</v>
      </c>
      <c r="F598" s="3">
        <f>300/5</f>
        <v>60</v>
      </c>
      <c r="G598" s="4">
        <v>45069</v>
      </c>
    </row>
    <row r="599" spans="1:18" x14ac:dyDescent="0.2">
      <c r="B599" s="266" t="s">
        <v>7663</v>
      </c>
      <c r="C599" s="2" t="s">
        <v>18</v>
      </c>
      <c r="D599" s="2" t="s">
        <v>952</v>
      </c>
      <c r="E599" s="3">
        <v>270</v>
      </c>
      <c r="F599" s="3">
        <f>220/9</f>
        <v>24.444444444444443</v>
      </c>
      <c r="G599" s="4">
        <v>45048</v>
      </c>
    </row>
    <row r="600" spans="1:18" x14ac:dyDescent="0.2">
      <c r="C600" s="2" t="s">
        <v>4</v>
      </c>
      <c r="D600" s="2" t="s">
        <v>651</v>
      </c>
      <c r="E600" s="3">
        <v>12.3</v>
      </c>
      <c r="F600" s="3">
        <v>3</v>
      </c>
      <c r="G600" s="4">
        <v>44622</v>
      </c>
    </row>
    <row r="601" spans="1:18" x14ac:dyDescent="0.2">
      <c r="C601" s="2" t="s">
        <v>504</v>
      </c>
      <c r="D601" s="2" t="s">
        <v>489</v>
      </c>
      <c r="E601" s="3">
        <v>250</v>
      </c>
      <c r="F601" s="3">
        <v>30</v>
      </c>
      <c r="G601" s="4">
        <v>44376</v>
      </c>
    </row>
    <row r="602" spans="1:18" x14ac:dyDescent="0.2">
      <c r="C602" s="2" t="s">
        <v>53</v>
      </c>
      <c r="D602" s="2" t="s">
        <v>489</v>
      </c>
      <c r="E602" s="3">
        <v>50</v>
      </c>
      <c r="F602" s="3">
        <v>10</v>
      </c>
      <c r="G602" s="4">
        <v>44174</v>
      </c>
    </row>
    <row r="603" spans="1:18" x14ac:dyDescent="0.2">
      <c r="C603" s="2" t="s">
        <v>9</v>
      </c>
      <c r="D603" s="2" t="s">
        <v>55</v>
      </c>
      <c r="E603" s="3">
        <v>250</v>
      </c>
      <c r="F603" s="3">
        <v>30</v>
      </c>
      <c r="G603" s="4">
        <v>44350</v>
      </c>
      <c r="I603" s="1">
        <v>7000</v>
      </c>
      <c r="J603" s="1">
        <v>7000</v>
      </c>
    </row>
    <row r="604" spans="1:18" x14ac:dyDescent="0.2">
      <c r="C604" s="2" t="s">
        <v>8</v>
      </c>
      <c r="D604" s="2" t="s">
        <v>55</v>
      </c>
      <c r="E604" s="3">
        <v>200</v>
      </c>
      <c r="F604" s="3">
        <v>18.75</v>
      </c>
      <c r="G604" s="4">
        <v>44055</v>
      </c>
      <c r="I604" s="1">
        <v>2000</v>
      </c>
      <c r="J604" s="1">
        <v>7000</v>
      </c>
    </row>
    <row r="605" spans="1:18" x14ac:dyDescent="0.2">
      <c r="C605" s="2" t="s">
        <v>7</v>
      </c>
      <c r="D605" s="2" t="s">
        <v>1063</v>
      </c>
      <c r="E605" s="3">
        <v>100</v>
      </c>
      <c r="F605" s="3">
        <v>40</v>
      </c>
      <c r="G605" s="4">
        <v>45106</v>
      </c>
    </row>
    <row r="606" spans="1:18" x14ac:dyDescent="0.2">
      <c r="C606" s="282" t="s">
        <v>504</v>
      </c>
      <c r="D606" s="282" t="s">
        <v>1006</v>
      </c>
      <c r="E606" s="3">
        <v>1000</v>
      </c>
      <c r="F606" s="3">
        <f>900/23</f>
        <v>39.130434782608695</v>
      </c>
      <c r="G606" s="4">
        <v>44228</v>
      </c>
      <c r="I606" s="1">
        <v>27000</v>
      </c>
      <c r="J606" s="1">
        <v>42500</v>
      </c>
    </row>
    <row r="607" spans="1:18" x14ac:dyDescent="0.2">
      <c r="C607" s="282" t="s">
        <v>8</v>
      </c>
      <c r="D607" s="282" t="s">
        <v>926</v>
      </c>
      <c r="E607" s="3">
        <v>235</v>
      </c>
      <c r="F607" s="3">
        <v>50</v>
      </c>
      <c r="G607" s="4">
        <v>45161</v>
      </c>
      <c r="I607" s="1">
        <v>4300</v>
      </c>
      <c r="J607" s="1">
        <v>4300</v>
      </c>
    </row>
    <row r="608" spans="1:18" x14ac:dyDescent="0.2">
      <c r="C608" s="282" t="s">
        <v>1040</v>
      </c>
      <c r="D608" s="282" t="s">
        <v>957</v>
      </c>
      <c r="E608" s="3">
        <v>141</v>
      </c>
      <c r="F608" s="3">
        <f>91/3</f>
        <v>30.333333333333332</v>
      </c>
      <c r="G608" s="4">
        <v>45106</v>
      </c>
      <c r="I608" s="1">
        <v>1400</v>
      </c>
      <c r="J608" s="1">
        <v>1400</v>
      </c>
    </row>
    <row r="609" spans="1:18" x14ac:dyDescent="0.2">
      <c r="G609" s="4"/>
    </row>
    <row r="610" spans="1:18" s="12" customFormat="1" x14ac:dyDescent="0.2">
      <c r="A610" s="12">
        <v>33</v>
      </c>
      <c r="B610" s="12" t="s">
        <v>204</v>
      </c>
      <c r="C610" s="13" t="s">
        <v>969</v>
      </c>
      <c r="D610" s="13" t="s">
        <v>968</v>
      </c>
      <c r="E610" s="15"/>
      <c r="F610" s="15">
        <f>SUM(F611:F612)</f>
        <v>209</v>
      </c>
      <c r="G610" s="14">
        <f>G611</f>
        <v>44504</v>
      </c>
      <c r="M610" s="13"/>
      <c r="N610" s="13"/>
      <c r="O610" s="13"/>
      <c r="P610" s="13"/>
      <c r="Q610" s="13"/>
      <c r="R610" s="13"/>
    </row>
    <row r="611" spans="1:18" x14ac:dyDescent="0.2">
      <c r="B611" s="266" t="s">
        <v>7663</v>
      </c>
      <c r="C611" s="2" t="s">
        <v>18</v>
      </c>
      <c r="D611" s="2" t="s">
        <v>197</v>
      </c>
      <c r="E611" s="3">
        <v>200</v>
      </c>
      <c r="F611" s="3">
        <v>200</v>
      </c>
      <c r="G611" s="4">
        <v>44504</v>
      </c>
    </row>
    <row r="612" spans="1:18" x14ac:dyDescent="0.2">
      <c r="C612" s="2" t="s">
        <v>5</v>
      </c>
      <c r="D612" s="2" t="s">
        <v>161</v>
      </c>
      <c r="E612" s="3">
        <v>112</v>
      </c>
      <c r="F612" s="3">
        <v>9</v>
      </c>
      <c r="G612" s="4">
        <v>43115</v>
      </c>
      <c r="J612" s="1">
        <v>8400</v>
      </c>
    </row>
    <row r="613" spans="1:18" x14ac:dyDescent="0.2">
      <c r="G613" s="4"/>
    </row>
    <row r="614" spans="1:18" x14ac:dyDescent="0.2">
      <c r="A614" s="12">
        <v>34</v>
      </c>
      <c r="B614" s="12" t="s">
        <v>1117</v>
      </c>
      <c r="C614" s="13" t="s">
        <v>969</v>
      </c>
      <c r="D614" s="13" t="s">
        <v>968</v>
      </c>
      <c r="F614" s="15">
        <f>SUM(F615:F638)</f>
        <v>205.44603174603174</v>
      </c>
      <c r="G614" s="14">
        <f>G615</f>
        <v>44852</v>
      </c>
    </row>
    <row r="615" spans="1:18" x14ac:dyDescent="0.2">
      <c r="B615" s="265" t="s">
        <v>7664</v>
      </c>
      <c r="C615" s="2" t="s">
        <v>5</v>
      </c>
      <c r="D615" s="2" t="s">
        <v>763</v>
      </c>
      <c r="E615" s="3">
        <v>125</v>
      </c>
      <c r="F615" s="3">
        <v>15</v>
      </c>
      <c r="G615" s="4">
        <v>44852</v>
      </c>
    </row>
    <row r="616" spans="1:18" x14ac:dyDescent="0.2">
      <c r="C616" s="2" t="s">
        <v>4</v>
      </c>
      <c r="D616" s="2" t="s">
        <v>763</v>
      </c>
      <c r="E616" s="3">
        <v>6</v>
      </c>
      <c r="F616" s="3">
        <v>4</v>
      </c>
      <c r="G616" s="4">
        <v>44352</v>
      </c>
    </row>
    <row r="617" spans="1:18" x14ac:dyDescent="0.2">
      <c r="C617" s="2" t="s">
        <v>1040</v>
      </c>
      <c r="D617" s="2" t="s">
        <v>832</v>
      </c>
      <c r="E617" s="3">
        <v>99</v>
      </c>
      <c r="F617" s="3">
        <v>20</v>
      </c>
      <c r="G617" s="4">
        <v>44796</v>
      </c>
    </row>
    <row r="618" spans="1:18" x14ac:dyDescent="0.2">
      <c r="C618" s="2" t="s">
        <v>1116</v>
      </c>
      <c r="D618" s="2" t="s">
        <v>832</v>
      </c>
      <c r="E618" s="3">
        <v>100</v>
      </c>
      <c r="F618" s="3">
        <f>40/3</f>
        <v>13.333333333333334</v>
      </c>
      <c r="G618" s="4">
        <v>44537</v>
      </c>
    </row>
    <row r="619" spans="1:18" x14ac:dyDescent="0.2">
      <c r="C619" s="2" t="s">
        <v>7</v>
      </c>
      <c r="D619" s="2" t="s">
        <v>832</v>
      </c>
      <c r="E619" s="3">
        <v>40</v>
      </c>
      <c r="F619" s="3">
        <v>8</v>
      </c>
      <c r="G619" s="4">
        <v>44125</v>
      </c>
    </row>
    <row r="620" spans="1:18" x14ac:dyDescent="0.2">
      <c r="C620" s="2" t="s">
        <v>7</v>
      </c>
      <c r="D620" s="2" t="s">
        <v>984</v>
      </c>
      <c r="E620" s="3">
        <v>38</v>
      </c>
      <c r="F620" s="3">
        <f>20/3</f>
        <v>6.666666666666667</v>
      </c>
      <c r="G620" s="4">
        <v>44812</v>
      </c>
    </row>
    <row r="621" spans="1:18" x14ac:dyDescent="0.2">
      <c r="C621" s="2" t="s">
        <v>5</v>
      </c>
      <c r="D621" s="2" t="s">
        <v>984</v>
      </c>
      <c r="E621" s="3">
        <v>19</v>
      </c>
      <c r="F621" s="3">
        <v>3.5</v>
      </c>
      <c r="G621" s="4">
        <v>44467</v>
      </c>
    </row>
    <row r="622" spans="1:18" x14ac:dyDescent="0.2">
      <c r="C622" s="2" t="s">
        <v>4</v>
      </c>
      <c r="D622" s="2" t="s">
        <v>984</v>
      </c>
      <c r="E622" s="3">
        <v>4</v>
      </c>
      <c r="F622" s="3">
        <v>2</v>
      </c>
      <c r="G622" s="4">
        <v>43873</v>
      </c>
    </row>
    <row r="623" spans="1:18" x14ac:dyDescent="0.2">
      <c r="C623" s="2" t="s">
        <v>4</v>
      </c>
      <c r="D623" s="2" t="s">
        <v>258</v>
      </c>
      <c r="E623" s="3">
        <v>3.5</v>
      </c>
      <c r="F623" s="3">
        <f>+E623/9</f>
        <v>0.3888888888888889</v>
      </c>
      <c r="G623" s="4">
        <v>42979</v>
      </c>
    </row>
    <row r="624" spans="1:18" x14ac:dyDescent="0.2">
      <c r="C624" s="2" t="s">
        <v>4</v>
      </c>
      <c r="D624" s="2" t="s">
        <v>87</v>
      </c>
      <c r="E624" s="3">
        <v>4</v>
      </c>
      <c r="F624" s="3">
        <f>2.5/4</f>
        <v>0.625</v>
      </c>
      <c r="G624" s="4">
        <v>43122</v>
      </c>
    </row>
    <row r="625" spans="1:10" x14ac:dyDescent="0.2">
      <c r="C625" s="2" t="s">
        <v>8</v>
      </c>
      <c r="D625" s="2" t="s">
        <v>240</v>
      </c>
      <c r="E625" s="3">
        <v>81</v>
      </c>
      <c r="F625" s="3">
        <f>E625/6</f>
        <v>13.5</v>
      </c>
      <c r="G625" s="4">
        <v>43418</v>
      </c>
      <c r="I625" s="1">
        <v>1700</v>
      </c>
      <c r="J625" s="1">
        <v>3800</v>
      </c>
    </row>
    <row r="626" spans="1:10" x14ac:dyDescent="0.2">
      <c r="C626" s="2" t="s">
        <v>18</v>
      </c>
      <c r="D626" s="2" t="s">
        <v>240</v>
      </c>
      <c r="E626" s="3">
        <v>60</v>
      </c>
      <c r="F626" s="3">
        <f>+E626/5</f>
        <v>12</v>
      </c>
      <c r="G626" s="4">
        <v>42736</v>
      </c>
      <c r="I626" s="1">
        <v>800</v>
      </c>
      <c r="J626" s="1">
        <v>3800</v>
      </c>
    </row>
    <row r="627" spans="1:10" x14ac:dyDescent="0.2">
      <c r="C627" s="2" t="s">
        <v>9</v>
      </c>
      <c r="D627" s="2" t="s">
        <v>22</v>
      </c>
      <c r="E627" s="3">
        <v>222</v>
      </c>
      <c r="F627" s="3">
        <f>200/21</f>
        <v>9.5238095238095237</v>
      </c>
      <c r="G627" s="4">
        <v>44194</v>
      </c>
      <c r="I627" s="1">
        <v>2500</v>
      </c>
      <c r="J627" s="1">
        <v>2500</v>
      </c>
    </row>
    <row r="628" spans="1:10" x14ac:dyDescent="0.2">
      <c r="C628" s="2" t="s">
        <v>8</v>
      </c>
      <c r="D628" s="2" t="s">
        <v>22</v>
      </c>
      <c r="E628" s="3">
        <v>200</v>
      </c>
      <c r="F628" s="3">
        <v>13</v>
      </c>
      <c r="G628" s="4">
        <v>43452</v>
      </c>
      <c r="I628" s="1">
        <v>1500</v>
      </c>
      <c r="J628" s="1">
        <v>2500</v>
      </c>
    </row>
    <row r="629" spans="1:10" x14ac:dyDescent="0.2">
      <c r="C629" s="2" t="s">
        <v>18</v>
      </c>
      <c r="D629" s="2" t="s">
        <v>22</v>
      </c>
      <c r="E629" s="3">
        <v>50</v>
      </c>
      <c r="F629" s="3">
        <v>5</v>
      </c>
      <c r="G629" s="4">
        <v>43051</v>
      </c>
      <c r="J629" s="1">
        <v>2500</v>
      </c>
    </row>
    <row r="630" spans="1:10" x14ac:dyDescent="0.2">
      <c r="C630" s="2" t="s">
        <v>7</v>
      </c>
      <c r="D630" s="2" t="s">
        <v>22</v>
      </c>
      <c r="E630" s="3">
        <v>30</v>
      </c>
      <c r="F630" s="3">
        <v>3</v>
      </c>
      <c r="G630" s="4">
        <v>42936</v>
      </c>
      <c r="J630" s="1">
        <v>2500</v>
      </c>
    </row>
    <row r="631" spans="1:10" x14ac:dyDescent="0.2">
      <c r="C631" s="2" t="s">
        <v>9</v>
      </c>
      <c r="D631" s="2" t="s">
        <v>52</v>
      </c>
      <c r="E631" s="3">
        <v>220</v>
      </c>
      <c r="F631" s="3">
        <v>28</v>
      </c>
      <c r="G631" s="4">
        <v>44357</v>
      </c>
      <c r="I631" s="1">
        <v>1900</v>
      </c>
      <c r="J631" s="1">
        <v>1900</v>
      </c>
    </row>
    <row r="632" spans="1:10" x14ac:dyDescent="0.2">
      <c r="C632" s="2" t="s">
        <v>8</v>
      </c>
      <c r="D632" s="2" t="s">
        <v>52</v>
      </c>
      <c r="E632" s="3">
        <v>125</v>
      </c>
      <c r="F632" s="3">
        <v>18.75</v>
      </c>
      <c r="G632" s="4">
        <v>44131</v>
      </c>
      <c r="I632" s="1">
        <v>875</v>
      </c>
      <c r="J632" s="1">
        <v>1900</v>
      </c>
    </row>
    <row r="633" spans="1:10" x14ac:dyDescent="0.2">
      <c r="C633" s="2" t="s">
        <v>18</v>
      </c>
      <c r="D633" s="2" t="s">
        <v>52</v>
      </c>
      <c r="E633" s="3">
        <v>28</v>
      </c>
      <c r="F633" s="3">
        <v>7</v>
      </c>
      <c r="G633" s="4">
        <v>43579</v>
      </c>
      <c r="J633" s="1">
        <v>1900</v>
      </c>
    </row>
    <row r="634" spans="1:10" x14ac:dyDescent="0.2">
      <c r="C634" s="2" t="s">
        <v>7</v>
      </c>
      <c r="D634" s="2" t="s">
        <v>52</v>
      </c>
      <c r="E634" s="3">
        <v>18</v>
      </c>
      <c r="F634" s="3">
        <v>12</v>
      </c>
      <c r="G634" s="4">
        <v>43207</v>
      </c>
    </row>
    <row r="635" spans="1:10" x14ac:dyDescent="0.2">
      <c r="C635" s="185" t="s">
        <v>5</v>
      </c>
      <c r="D635" s="185" t="s">
        <v>2031</v>
      </c>
      <c r="E635" s="3">
        <v>18.5</v>
      </c>
      <c r="F635" s="3">
        <f>E635/4</f>
        <v>4.625</v>
      </c>
      <c r="G635" s="4">
        <v>44561</v>
      </c>
    </row>
    <row r="636" spans="1:10" x14ac:dyDescent="0.2">
      <c r="C636" s="185" t="s">
        <v>4</v>
      </c>
      <c r="D636" s="185" t="s">
        <v>2031</v>
      </c>
      <c r="E636" s="3">
        <v>5.8</v>
      </c>
      <c r="F636" s="3">
        <f>E636/3</f>
        <v>1.9333333333333333</v>
      </c>
      <c r="G636" s="4">
        <v>44348</v>
      </c>
    </row>
    <row r="637" spans="1:10" x14ac:dyDescent="0.2">
      <c r="C637" s="185" t="s">
        <v>5</v>
      </c>
      <c r="D637" s="185" t="s">
        <v>2021</v>
      </c>
      <c r="E637" s="3">
        <v>16</v>
      </c>
      <c r="F637" s="3">
        <v>2</v>
      </c>
      <c r="G637" s="4">
        <v>44833</v>
      </c>
    </row>
    <row r="638" spans="1:10" x14ac:dyDescent="0.2">
      <c r="C638" s="185" t="s">
        <v>4</v>
      </c>
      <c r="D638" s="185" t="s">
        <v>2021</v>
      </c>
      <c r="E638" s="3">
        <v>4.8</v>
      </c>
      <c r="F638" s="3">
        <f>E638/3</f>
        <v>1.5999999999999999</v>
      </c>
      <c r="G638" s="4">
        <v>44720</v>
      </c>
    </row>
    <row r="639" spans="1:10" x14ac:dyDescent="0.2">
      <c r="G639" s="4"/>
    </row>
    <row r="640" spans="1:10" x14ac:dyDescent="0.2">
      <c r="A640" s="1">
        <v>35</v>
      </c>
      <c r="B640" s="12" t="s">
        <v>1118</v>
      </c>
      <c r="C640" s="13" t="s">
        <v>969</v>
      </c>
      <c r="D640" s="13" t="s">
        <v>968</v>
      </c>
      <c r="E640" s="15"/>
      <c r="F640" s="15">
        <f>SUM(F641:F649)</f>
        <v>204.5</v>
      </c>
      <c r="G640" s="14">
        <f>G641</f>
        <v>45042</v>
      </c>
    </row>
    <row r="641" spans="1:18" x14ac:dyDescent="0.2">
      <c r="B641" s="265" t="s">
        <v>7664</v>
      </c>
      <c r="C641" s="2" t="s">
        <v>7</v>
      </c>
      <c r="D641" s="2" t="s">
        <v>1086</v>
      </c>
      <c r="E641" s="3">
        <v>100</v>
      </c>
      <c r="F641" s="3">
        <v>5</v>
      </c>
      <c r="G641" s="4">
        <v>45042</v>
      </c>
    </row>
    <row r="642" spans="1:18" x14ac:dyDescent="0.2">
      <c r="C642" s="2" t="s">
        <v>18</v>
      </c>
      <c r="D642" s="2" t="s">
        <v>883</v>
      </c>
      <c r="E642" s="3">
        <v>200</v>
      </c>
      <c r="F642" s="3">
        <v>20</v>
      </c>
      <c r="G642" s="4">
        <v>44377</v>
      </c>
    </row>
    <row r="643" spans="1:18" x14ac:dyDescent="0.2">
      <c r="C643" s="2" t="s">
        <v>7</v>
      </c>
      <c r="D643" s="2" t="s">
        <v>883</v>
      </c>
      <c r="E643" s="3">
        <v>75</v>
      </c>
      <c r="F643" s="3">
        <v>20</v>
      </c>
      <c r="G643" s="4">
        <v>43783</v>
      </c>
    </row>
    <row r="644" spans="1:18" x14ac:dyDescent="0.2">
      <c r="C644" s="2" t="s">
        <v>8</v>
      </c>
      <c r="D644" s="2" t="s">
        <v>520</v>
      </c>
      <c r="E644" s="3">
        <v>100</v>
      </c>
      <c r="F644" s="3">
        <f>50/4</f>
        <v>12.5</v>
      </c>
      <c r="G644" s="4">
        <v>44419</v>
      </c>
    </row>
    <row r="645" spans="1:18" x14ac:dyDescent="0.2">
      <c r="C645" s="2" t="s">
        <v>18</v>
      </c>
      <c r="D645" s="2" t="s">
        <v>520</v>
      </c>
      <c r="E645" s="3">
        <v>60</v>
      </c>
      <c r="F645" s="3">
        <v>20</v>
      </c>
      <c r="G645" s="4">
        <v>43606</v>
      </c>
    </row>
    <row r="646" spans="1:18" x14ac:dyDescent="0.2">
      <c r="C646" s="2" t="s">
        <v>9</v>
      </c>
      <c r="D646" s="2" t="s">
        <v>154</v>
      </c>
      <c r="E646" s="3">
        <v>400</v>
      </c>
      <c r="F646" s="3">
        <v>36</v>
      </c>
      <c r="G646" s="4">
        <v>44413</v>
      </c>
    </row>
    <row r="647" spans="1:18" x14ac:dyDescent="0.2">
      <c r="C647" s="2" t="s">
        <v>8</v>
      </c>
      <c r="D647" s="2" t="s">
        <v>154</v>
      </c>
      <c r="E647" s="3">
        <v>100</v>
      </c>
      <c r="F647" s="3">
        <f>75/6</f>
        <v>12.5</v>
      </c>
      <c r="G647" s="4">
        <v>44067</v>
      </c>
    </row>
    <row r="648" spans="1:18" x14ac:dyDescent="0.2">
      <c r="C648" s="2" t="s">
        <v>18</v>
      </c>
      <c r="D648" s="2" t="s">
        <v>154</v>
      </c>
      <c r="E648" s="3">
        <v>101</v>
      </c>
      <c r="F648" s="3">
        <v>41</v>
      </c>
      <c r="G648" s="4">
        <v>43453</v>
      </c>
    </row>
    <row r="649" spans="1:18" x14ac:dyDescent="0.2">
      <c r="C649" s="2" t="s">
        <v>8</v>
      </c>
      <c r="D649" s="2" t="s">
        <v>57</v>
      </c>
      <c r="E649" s="3">
        <v>250</v>
      </c>
      <c r="F649" s="3">
        <f>150/4</f>
        <v>37.5</v>
      </c>
      <c r="G649" s="4">
        <v>45069</v>
      </c>
    </row>
    <row r="650" spans="1:18" x14ac:dyDescent="0.2">
      <c r="G650" s="4"/>
    </row>
    <row r="651" spans="1:18" s="12" customFormat="1" x14ac:dyDescent="0.2">
      <c r="A651" s="12">
        <v>40</v>
      </c>
      <c r="B651" s="12" t="s">
        <v>255</v>
      </c>
      <c r="C651" s="13" t="s">
        <v>969</v>
      </c>
      <c r="D651" s="13" t="s">
        <v>968</v>
      </c>
      <c r="E651" s="15"/>
      <c r="F651" s="15">
        <f>SUM(F652:F658)</f>
        <v>256.85661375661374</v>
      </c>
      <c r="G651" s="14">
        <f>G657</f>
        <v>45183</v>
      </c>
      <c r="M651" s="13"/>
      <c r="N651" s="13"/>
      <c r="O651" s="13"/>
      <c r="P651" s="13"/>
      <c r="Q651" s="13"/>
      <c r="R651" s="13"/>
    </row>
    <row r="652" spans="1:18" x14ac:dyDescent="0.2">
      <c r="C652" s="2" t="s">
        <v>8</v>
      </c>
      <c r="D652" s="2" t="s">
        <v>253</v>
      </c>
      <c r="E652" s="3">
        <v>600</v>
      </c>
      <c r="F652" s="3">
        <f>500/8</f>
        <v>62.5</v>
      </c>
      <c r="G652" s="4">
        <v>44502</v>
      </c>
    </row>
    <row r="653" spans="1:18" x14ac:dyDescent="0.2">
      <c r="C653" s="2" t="s">
        <v>18</v>
      </c>
      <c r="D653" s="2" t="s">
        <v>253</v>
      </c>
      <c r="E653" s="3">
        <v>500</v>
      </c>
      <c r="F653" s="3">
        <v>75</v>
      </c>
      <c r="G653" s="4">
        <v>44144</v>
      </c>
    </row>
    <row r="654" spans="1:18" x14ac:dyDescent="0.2">
      <c r="C654" s="2" t="s">
        <v>9</v>
      </c>
      <c r="D654" s="2" t="s">
        <v>22</v>
      </c>
      <c r="E654" s="3">
        <v>222</v>
      </c>
      <c r="F654" s="3">
        <v>10</v>
      </c>
      <c r="G654" s="4">
        <v>44194</v>
      </c>
      <c r="I654" s="1">
        <v>2500</v>
      </c>
      <c r="J654" s="1">
        <v>2500</v>
      </c>
    </row>
    <row r="655" spans="1:18" x14ac:dyDescent="0.2">
      <c r="C655" s="2" t="s">
        <v>8</v>
      </c>
      <c r="D655" s="2" t="s">
        <v>22</v>
      </c>
      <c r="E655" s="3">
        <v>150</v>
      </c>
      <c r="F655" s="3">
        <v>16.666666666666668</v>
      </c>
      <c r="G655" s="4">
        <v>43885</v>
      </c>
      <c r="I655" s="1">
        <v>1800</v>
      </c>
      <c r="J655" s="1">
        <v>2500</v>
      </c>
    </row>
    <row r="656" spans="1:18" x14ac:dyDescent="0.2">
      <c r="C656" s="2" t="s">
        <v>7</v>
      </c>
      <c r="D656" s="2" t="s">
        <v>2132</v>
      </c>
      <c r="E656" s="3">
        <v>176</v>
      </c>
      <c r="F656" s="3">
        <v>13</v>
      </c>
      <c r="G656" s="4">
        <v>44578</v>
      </c>
    </row>
    <row r="657" spans="1:18" x14ac:dyDescent="0.2">
      <c r="C657" s="282" t="s">
        <v>7933</v>
      </c>
      <c r="D657" s="282" t="s">
        <v>1006</v>
      </c>
      <c r="E657" s="3">
        <v>684.6</v>
      </c>
      <c r="F657" s="3">
        <f>584.6/21</f>
        <v>27.838095238095239</v>
      </c>
      <c r="G657" s="4">
        <v>45183</v>
      </c>
      <c r="I657" s="1">
        <v>42500</v>
      </c>
      <c r="J657" s="1">
        <v>42500</v>
      </c>
    </row>
    <row r="658" spans="1:18" x14ac:dyDescent="0.2">
      <c r="C658" s="282" t="s">
        <v>2489</v>
      </c>
      <c r="D658" s="282" t="s">
        <v>1006</v>
      </c>
      <c r="E658" s="3">
        <v>1600</v>
      </c>
      <c r="F658" s="3">
        <f>1400/27</f>
        <v>51.851851851851855</v>
      </c>
      <c r="G658" s="4">
        <v>44439</v>
      </c>
      <c r="I658" s="1">
        <v>36400</v>
      </c>
      <c r="J658" s="1">
        <v>42500</v>
      </c>
    </row>
    <row r="659" spans="1:18" x14ac:dyDescent="0.2">
      <c r="G659" s="4"/>
    </row>
    <row r="660" spans="1:18" s="12" customFormat="1" x14ac:dyDescent="0.2">
      <c r="A660" s="12">
        <v>36</v>
      </c>
      <c r="B660" s="12" t="s">
        <v>623</v>
      </c>
      <c r="C660" s="13" t="s">
        <v>969</v>
      </c>
      <c r="D660" s="13" t="s">
        <v>968</v>
      </c>
      <c r="E660" s="15"/>
      <c r="F660" s="15">
        <f>SUM(F661:F662)</f>
        <v>201.5</v>
      </c>
      <c r="G660" s="14">
        <f>G661</f>
        <v>44727</v>
      </c>
    </row>
    <row r="661" spans="1:18" x14ac:dyDescent="0.2">
      <c r="C661" s="2" t="s">
        <v>18</v>
      </c>
      <c r="D661" s="2" t="s">
        <v>622</v>
      </c>
      <c r="E661" s="3">
        <v>169</v>
      </c>
      <c r="F661" s="3">
        <v>169</v>
      </c>
      <c r="G661" s="4">
        <v>44727</v>
      </c>
      <c r="M661" s="1"/>
      <c r="N661" s="1"/>
      <c r="O661" s="1"/>
      <c r="P661" s="1"/>
      <c r="Q661" s="1"/>
      <c r="R661" s="1"/>
    </row>
    <row r="662" spans="1:18" x14ac:dyDescent="0.2">
      <c r="C662" s="2" t="s">
        <v>18</v>
      </c>
      <c r="D662" s="2" t="s">
        <v>414</v>
      </c>
      <c r="E662" s="3">
        <v>65</v>
      </c>
      <c r="F662" s="3">
        <v>32.5</v>
      </c>
      <c r="G662" s="4">
        <v>43789</v>
      </c>
      <c r="M662" s="1"/>
      <c r="N662" s="1"/>
      <c r="O662" s="1"/>
      <c r="P662" s="1"/>
      <c r="Q662" s="1"/>
      <c r="R662" s="1"/>
    </row>
    <row r="663" spans="1:18" x14ac:dyDescent="0.2">
      <c r="G663" s="4"/>
      <c r="M663" s="1"/>
      <c r="N663" s="1"/>
      <c r="O663" s="1"/>
      <c r="P663" s="1"/>
      <c r="Q663" s="1"/>
      <c r="R663" s="1"/>
    </row>
    <row r="664" spans="1:18" s="12" customFormat="1" x14ac:dyDescent="0.2">
      <c r="B664" s="12" t="s">
        <v>210</v>
      </c>
      <c r="C664" s="13" t="s">
        <v>969</v>
      </c>
      <c r="D664" s="13" t="s">
        <v>968</v>
      </c>
      <c r="E664" s="15"/>
      <c r="F664" s="15">
        <f>SUM(F665:F669)</f>
        <v>201.24895330112722</v>
      </c>
      <c r="G664" s="14">
        <f>G667</f>
        <v>45183</v>
      </c>
      <c r="M664" s="13"/>
      <c r="N664" s="13"/>
      <c r="O664" s="13"/>
      <c r="P664" s="13"/>
      <c r="Q664" s="13"/>
      <c r="R664" s="13"/>
    </row>
    <row r="665" spans="1:18" x14ac:dyDescent="0.2">
      <c r="C665" s="2" t="s">
        <v>8</v>
      </c>
      <c r="D665" s="2" t="s">
        <v>208</v>
      </c>
      <c r="E665" s="3">
        <v>676</v>
      </c>
      <c r="F665" s="3">
        <f>500/7</f>
        <v>71.428571428571431</v>
      </c>
      <c r="G665" s="4">
        <v>44299</v>
      </c>
      <c r="I665" s="1">
        <v>4400</v>
      </c>
      <c r="J665" s="1">
        <v>4400</v>
      </c>
    </row>
    <row r="666" spans="1:18" x14ac:dyDescent="0.2">
      <c r="C666" s="2" t="s">
        <v>53</v>
      </c>
      <c r="D666" s="2" t="s">
        <v>47</v>
      </c>
      <c r="E666" s="3">
        <v>100</v>
      </c>
      <c r="F666" s="3">
        <v>11</v>
      </c>
      <c r="G666" s="4">
        <v>44515</v>
      </c>
      <c r="I666" s="1">
        <v>4100</v>
      </c>
      <c r="J666" s="1">
        <v>4100</v>
      </c>
    </row>
    <row r="667" spans="1:18" x14ac:dyDescent="0.2">
      <c r="C667" s="282" t="s">
        <v>7933</v>
      </c>
      <c r="D667" s="282" t="s">
        <v>1006</v>
      </c>
      <c r="E667" s="3">
        <v>684.6</v>
      </c>
      <c r="F667" s="3">
        <f>584.6/21</f>
        <v>27.838095238095239</v>
      </c>
      <c r="G667" s="4">
        <v>45183</v>
      </c>
    </row>
    <row r="668" spans="1:18" x14ac:dyDescent="0.2">
      <c r="C668" s="282" t="s">
        <v>2489</v>
      </c>
      <c r="D668" s="282" t="s">
        <v>1006</v>
      </c>
      <c r="E668" s="3">
        <v>1600</v>
      </c>
      <c r="F668" s="3">
        <f>1400/27</f>
        <v>51.851851851851855</v>
      </c>
      <c r="G668" s="4">
        <v>44439</v>
      </c>
      <c r="I668" s="1">
        <v>36400</v>
      </c>
      <c r="J668" s="1">
        <v>42500</v>
      </c>
    </row>
    <row r="669" spans="1:18" x14ac:dyDescent="0.2">
      <c r="C669" s="282" t="s">
        <v>504</v>
      </c>
      <c r="D669" s="282" t="s">
        <v>1006</v>
      </c>
      <c r="E669" s="3">
        <v>1000</v>
      </c>
      <c r="F669" s="3">
        <f>900/23</f>
        <v>39.130434782608695</v>
      </c>
      <c r="G669" s="4">
        <v>44228</v>
      </c>
      <c r="I669" s="1">
        <v>27000</v>
      </c>
      <c r="J669" s="1">
        <v>42500</v>
      </c>
    </row>
    <row r="670" spans="1:18" x14ac:dyDescent="0.2">
      <c r="G670" s="4"/>
    </row>
    <row r="671" spans="1:18" s="12" customFormat="1" x14ac:dyDescent="0.2">
      <c r="A671" s="12">
        <v>37</v>
      </c>
      <c r="B671" s="12" t="s">
        <v>1115</v>
      </c>
      <c r="C671" s="13" t="s">
        <v>969</v>
      </c>
      <c r="D671" s="13" t="s">
        <v>968</v>
      </c>
      <c r="E671" s="15"/>
      <c r="F671" s="15">
        <f>SUM(F672:F684)</f>
        <v>193.96055555555554</v>
      </c>
      <c r="G671" s="14">
        <f>G675</f>
        <v>44274</v>
      </c>
      <c r="M671" s="13"/>
      <c r="N671" s="13"/>
      <c r="O671" s="13"/>
      <c r="P671" s="13"/>
      <c r="Q671" s="13"/>
      <c r="R671" s="13"/>
    </row>
    <row r="672" spans="1:18" x14ac:dyDescent="0.2">
      <c r="C672" s="2" t="s">
        <v>18</v>
      </c>
      <c r="D672" s="2" t="s">
        <v>292</v>
      </c>
      <c r="E672" s="3">
        <v>38</v>
      </c>
      <c r="F672" s="3">
        <f>20/6</f>
        <v>3.3333333333333335</v>
      </c>
      <c r="G672" s="4">
        <v>43104</v>
      </c>
    </row>
    <row r="673" spans="1:18" x14ac:dyDescent="0.2">
      <c r="C673" s="2" t="s">
        <v>7</v>
      </c>
      <c r="D673" s="2" t="s">
        <v>292</v>
      </c>
      <c r="E673" s="3">
        <v>6.9</v>
      </c>
      <c r="F673" s="3">
        <f>E673/5</f>
        <v>1.3800000000000001</v>
      </c>
      <c r="G673" s="4">
        <v>42458</v>
      </c>
    </row>
    <row r="674" spans="1:18" x14ac:dyDescent="0.2">
      <c r="C674" s="2" t="s">
        <v>5</v>
      </c>
      <c r="D674" s="2" t="s">
        <v>292</v>
      </c>
      <c r="E674" s="3">
        <v>2.7</v>
      </c>
      <c r="F674" s="3">
        <f>1.7/4</f>
        <v>0.42499999999999999</v>
      </c>
      <c r="G674" s="4">
        <v>42139</v>
      </c>
    </row>
    <row r="675" spans="1:18" x14ac:dyDescent="0.2">
      <c r="C675" s="2" t="s">
        <v>18</v>
      </c>
      <c r="D675" s="2" t="s">
        <v>197</v>
      </c>
      <c r="E675" s="3">
        <v>500</v>
      </c>
      <c r="F675" s="3">
        <v>100</v>
      </c>
      <c r="G675" s="4">
        <v>44274</v>
      </c>
    </row>
    <row r="676" spans="1:18" x14ac:dyDescent="0.2">
      <c r="C676" s="2" t="s">
        <v>18</v>
      </c>
      <c r="D676" s="2" t="s">
        <v>197</v>
      </c>
      <c r="E676" s="3">
        <v>500</v>
      </c>
      <c r="F676" s="3">
        <f>200/9</f>
        <v>22.222222222222221</v>
      </c>
      <c r="G676" s="4">
        <v>44274</v>
      </c>
    </row>
    <row r="677" spans="1:18" x14ac:dyDescent="0.2">
      <c r="C677" s="2" t="s">
        <v>7</v>
      </c>
      <c r="D677" s="2" t="s">
        <v>192</v>
      </c>
      <c r="E677" s="3">
        <v>43</v>
      </c>
      <c r="F677" s="3">
        <f>E677/5</f>
        <v>8.6</v>
      </c>
      <c r="G677" s="4">
        <v>44077</v>
      </c>
    </row>
    <row r="678" spans="1:18" x14ac:dyDescent="0.2">
      <c r="C678" s="2" t="s">
        <v>5</v>
      </c>
      <c r="D678" s="2" t="s">
        <v>192</v>
      </c>
      <c r="E678" s="3">
        <v>28</v>
      </c>
      <c r="F678" s="3">
        <v>20</v>
      </c>
      <c r="G678" s="4">
        <v>43271</v>
      </c>
    </row>
    <row r="679" spans="1:18" x14ac:dyDescent="0.2">
      <c r="C679" s="2" t="s">
        <v>9</v>
      </c>
      <c r="D679" s="2" t="s">
        <v>22</v>
      </c>
      <c r="E679" s="3">
        <v>222</v>
      </c>
      <c r="F679" s="3">
        <v>10</v>
      </c>
      <c r="G679" s="4">
        <v>44194</v>
      </c>
      <c r="I679" s="1">
        <v>2500</v>
      </c>
      <c r="J679" s="1">
        <v>2500</v>
      </c>
    </row>
    <row r="680" spans="1:18" x14ac:dyDescent="0.2">
      <c r="C680" s="2" t="s">
        <v>8</v>
      </c>
      <c r="D680" s="2" t="s">
        <v>22</v>
      </c>
      <c r="E680" s="3">
        <v>200</v>
      </c>
      <c r="F680" s="3">
        <v>13</v>
      </c>
      <c r="G680" s="4">
        <v>43452</v>
      </c>
      <c r="I680" s="1">
        <v>1500</v>
      </c>
      <c r="J680" s="1">
        <v>2500</v>
      </c>
    </row>
    <row r="681" spans="1:18" x14ac:dyDescent="0.2">
      <c r="C681" s="2" t="s">
        <v>18</v>
      </c>
      <c r="D681" s="2" t="s">
        <v>22</v>
      </c>
      <c r="E681" s="3">
        <v>50</v>
      </c>
      <c r="F681" s="3">
        <v>5</v>
      </c>
      <c r="G681" s="4">
        <v>43051</v>
      </c>
      <c r="J681" s="1">
        <v>2500</v>
      </c>
    </row>
    <row r="682" spans="1:18" x14ac:dyDescent="0.2">
      <c r="C682" s="2" t="s">
        <v>7</v>
      </c>
      <c r="D682" s="2" t="s">
        <v>22</v>
      </c>
      <c r="E682" s="3">
        <v>30</v>
      </c>
      <c r="F682" s="3">
        <v>3</v>
      </c>
      <c r="G682" s="4">
        <v>42936</v>
      </c>
      <c r="J682" s="1">
        <v>2500</v>
      </c>
    </row>
    <row r="683" spans="1:18" x14ac:dyDescent="0.2">
      <c r="C683" s="2" t="s">
        <v>5</v>
      </c>
      <c r="D683" s="2" t="s">
        <v>22</v>
      </c>
      <c r="E683" s="3">
        <v>30</v>
      </c>
      <c r="F683" s="3">
        <v>5</v>
      </c>
      <c r="G683" s="4">
        <v>42674</v>
      </c>
      <c r="J683" s="1">
        <v>2500</v>
      </c>
    </row>
    <row r="684" spans="1:18" x14ac:dyDescent="0.2">
      <c r="C684" s="185" t="s">
        <v>5</v>
      </c>
      <c r="D684" s="185" t="s">
        <v>6794</v>
      </c>
      <c r="E684" s="3">
        <v>11</v>
      </c>
      <c r="F684" s="3">
        <v>2</v>
      </c>
      <c r="G684" s="4">
        <v>43215</v>
      </c>
    </row>
    <row r="685" spans="1:18" x14ac:dyDescent="0.2">
      <c r="G685" s="4"/>
    </row>
    <row r="686" spans="1:18" s="12" customFormat="1" x14ac:dyDescent="0.2">
      <c r="A686" s="12">
        <v>38</v>
      </c>
      <c r="B686" s="12" t="s">
        <v>1114</v>
      </c>
      <c r="C686" s="13" t="s">
        <v>969</v>
      </c>
      <c r="D686" s="13" t="s">
        <v>968</v>
      </c>
      <c r="E686" s="15"/>
      <c r="F686" s="15">
        <f>SUM(F687:F706)</f>
        <v>190.08571428571432</v>
      </c>
      <c r="G686" s="14">
        <f>G694</f>
        <v>45090</v>
      </c>
      <c r="M686" s="13"/>
      <c r="N686" s="13"/>
      <c r="O686" s="13"/>
      <c r="P686" s="13"/>
      <c r="Q686" s="13"/>
      <c r="R686" s="13"/>
    </row>
    <row r="687" spans="1:18" x14ac:dyDescent="0.2">
      <c r="B687" s="265" t="s">
        <v>7664</v>
      </c>
      <c r="C687" s="2" t="s">
        <v>18</v>
      </c>
      <c r="D687" s="2" t="s">
        <v>803</v>
      </c>
      <c r="E687" s="3">
        <v>100</v>
      </c>
      <c r="F687" s="3">
        <v>13</v>
      </c>
      <c r="G687" s="4">
        <v>43682</v>
      </c>
    </row>
    <row r="688" spans="1:18" x14ac:dyDescent="0.2">
      <c r="C688" s="2" t="s">
        <v>7</v>
      </c>
      <c r="D688" s="2" t="s">
        <v>803</v>
      </c>
      <c r="E688" s="3">
        <v>18</v>
      </c>
      <c r="F688" s="3">
        <v>3</v>
      </c>
      <c r="G688" s="4">
        <v>43319</v>
      </c>
    </row>
    <row r="689" spans="3:10" x14ac:dyDescent="0.2">
      <c r="C689" s="2" t="s">
        <v>5</v>
      </c>
      <c r="D689" s="2" t="s">
        <v>803</v>
      </c>
      <c r="E689" s="3">
        <v>4.5</v>
      </c>
      <c r="F689" s="3">
        <f>E689/3</f>
        <v>1.5</v>
      </c>
      <c r="G689" s="4">
        <v>42878</v>
      </c>
    </row>
    <row r="690" spans="3:10" x14ac:dyDescent="0.2">
      <c r="C690" s="2" t="s">
        <v>4</v>
      </c>
      <c r="D690" s="2" t="s">
        <v>877</v>
      </c>
      <c r="E690" s="3">
        <v>3.3</v>
      </c>
      <c r="F690" s="3">
        <v>0.5</v>
      </c>
      <c r="G690" s="4">
        <v>44026</v>
      </c>
    </row>
    <row r="691" spans="3:10" x14ac:dyDescent="0.2">
      <c r="C691" s="2" t="s">
        <v>5</v>
      </c>
      <c r="D691" s="2" t="s">
        <v>483</v>
      </c>
      <c r="E691" s="3">
        <v>13</v>
      </c>
      <c r="F691" s="3">
        <v>1.4</v>
      </c>
      <c r="G691" s="4">
        <v>44516</v>
      </c>
    </row>
    <row r="692" spans="3:10" x14ac:dyDescent="0.2">
      <c r="C692" s="2" t="s">
        <v>7</v>
      </c>
      <c r="D692" s="2" t="s">
        <v>446</v>
      </c>
      <c r="E692" s="3">
        <v>30</v>
      </c>
      <c r="F692" s="3">
        <v>5</v>
      </c>
      <c r="G692" s="4">
        <v>44756</v>
      </c>
    </row>
    <row r="693" spans="3:10" x14ac:dyDescent="0.2">
      <c r="C693" s="2" t="s">
        <v>5</v>
      </c>
      <c r="D693" s="2" t="s">
        <v>446</v>
      </c>
      <c r="E693" s="3">
        <v>28</v>
      </c>
      <c r="F693" s="3">
        <v>13</v>
      </c>
      <c r="G693" s="4">
        <v>44624</v>
      </c>
    </row>
    <row r="694" spans="3:10" x14ac:dyDescent="0.2">
      <c r="C694" s="2" t="s">
        <v>18</v>
      </c>
      <c r="D694" s="2" t="s">
        <v>403</v>
      </c>
      <c r="E694" s="3">
        <v>90</v>
      </c>
      <c r="F694" s="3">
        <v>30</v>
      </c>
      <c r="G694" s="4">
        <v>45090</v>
      </c>
    </row>
    <row r="695" spans="3:10" x14ac:dyDescent="0.2">
      <c r="C695" s="2" t="s">
        <v>18</v>
      </c>
      <c r="D695" s="2" t="s">
        <v>374</v>
      </c>
      <c r="E695" s="3">
        <v>130</v>
      </c>
      <c r="F695" s="3">
        <f>100/7</f>
        <v>14.285714285714286</v>
      </c>
      <c r="G695" s="4">
        <v>44323</v>
      </c>
    </row>
    <row r="696" spans="3:10" x14ac:dyDescent="0.2">
      <c r="C696" s="2" t="s">
        <v>7</v>
      </c>
      <c r="D696" s="2" t="s">
        <v>374</v>
      </c>
      <c r="E696" s="3">
        <v>44</v>
      </c>
      <c r="F696" s="3">
        <v>14</v>
      </c>
      <c r="G696" s="4">
        <v>43909</v>
      </c>
    </row>
    <row r="697" spans="3:10" x14ac:dyDescent="0.2">
      <c r="C697" s="2" t="s">
        <v>5</v>
      </c>
      <c r="D697" s="2" t="s">
        <v>148</v>
      </c>
      <c r="E697" s="3">
        <v>3</v>
      </c>
      <c r="F697" s="6" t="s">
        <v>1051</v>
      </c>
      <c r="G697" s="4">
        <v>41879</v>
      </c>
      <c r="I697" s="1">
        <v>11</v>
      </c>
    </row>
    <row r="698" spans="3:10" x14ac:dyDescent="0.2">
      <c r="C698" s="2" t="s">
        <v>7</v>
      </c>
      <c r="D698" s="2" t="s">
        <v>39</v>
      </c>
      <c r="E698" s="3">
        <v>42</v>
      </c>
      <c r="F698" s="6">
        <v>7</v>
      </c>
      <c r="G698" s="4">
        <v>43144</v>
      </c>
      <c r="J698" s="1">
        <v>2000</v>
      </c>
    </row>
    <row r="699" spans="3:10" x14ac:dyDescent="0.2">
      <c r="C699" s="2" t="s">
        <v>5</v>
      </c>
      <c r="D699" s="2" t="s">
        <v>39</v>
      </c>
      <c r="E699" s="3">
        <v>25</v>
      </c>
      <c r="F699" s="6">
        <v>5</v>
      </c>
      <c r="G699" s="4">
        <v>42374</v>
      </c>
      <c r="J699" s="1">
        <v>2000</v>
      </c>
    </row>
    <row r="700" spans="3:10" x14ac:dyDescent="0.2">
      <c r="C700" s="2" t="s">
        <v>4</v>
      </c>
      <c r="D700" s="2" t="s">
        <v>39</v>
      </c>
      <c r="E700" s="3">
        <v>3</v>
      </c>
      <c r="F700" s="6">
        <v>1</v>
      </c>
      <c r="G700" s="4">
        <v>42019</v>
      </c>
      <c r="J700" s="1">
        <v>2000</v>
      </c>
    </row>
    <row r="701" spans="3:10" x14ac:dyDescent="0.2">
      <c r="C701" s="2" t="s">
        <v>8</v>
      </c>
      <c r="D701" s="2" t="s">
        <v>15</v>
      </c>
      <c r="E701" s="3">
        <v>220</v>
      </c>
      <c r="F701" s="6">
        <v>30</v>
      </c>
      <c r="G701" s="4">
        <v>44502</v>
      </c>
      <c r="I701" s="1">
        <v>794</v>
      </c>
      <c r="J701" s="1">
        <v>794</v>
      </c>
    </row>
    <row r="702" spans="3:10" x14ac:dyDescent="0.2">
      <c r="C702" s="2" t="s">
        <v>8</v>
      </c>
      <c r="D702" s="2" t="s">
        <v>15</v>
      </c>
      <c r="E702" s="3">
        <v>220</v>
      </c>
      <c r="F702" s="6">
        <v>27</v>
      </c>
      <c r="G702" s="4">
        <v>44322</v>
      </c>
      <c r="I702" s="1">
        <v>780</v>
      </c>
      <c r="J702" s="1">
        <v>780</v>
      </c>
    </row>
    <row r="703" spans="3:10" x14ac:dyDescent="0.2">
      <c r="C703" s="2" t="s">
        <v>18</v>
      </c>
      <c r="D703" s="2" t="s">
        <v>15</v>
      </c>
      <c r="E703" s="3">
        <v>60</v>
      </c>
      <c r="F703" s="6">
        <v>10</v>
      </c>
      <c r="G703" s="4">
        <v>43528</v>
      </c>
    </row>
    <row r="704" spans="3:10" x14ac:dyDescent="0.2">
      <c r="C704" s="2" t="s">
        <v>7</v>
      </c>
      <c r="D704" s="2" t="s">
        <v>15</v>
      </c>
      <c r="E704" s="3">
        <v>28</v>
      </c>
      <c r="F704" s="6">
        <v>10</v>
      </c>
      <c r="G704" s="4">
        <v>43031</v>
      </c>
    </row>
    <row r="705" spans="1:18" x14ac:dyDescent="0.2">
      <c r="C705" s="2" t="s">
        <v>5</v>
      </c>
      <c r="D705" s="2" t="s">
        <v>15</v>
      </c>
      <c r="E705" s="3">
        <v>10</v>
      </c>
      <c r="F705" s="6">
        <v>4</v>
      </c>
      <c r="G705" s="4">
        <v>42508</v>
      </c>
    </row>
    <row r="706" spans="1:18" x14ac:dyDescent="0.2">
      <c r="C706" s="2" t="s">
        <v>4</v>
      </c>
      <c r="D706" s="2" t="s">
        <v>15</v>
      </c>
      <c r="E706" s="3">
        <v>1.8</v>
      </c>
      <c r="F706" s="6">
        <v>0.4</v>
      </c>
      <c r="G706" s="4">
        <v>41976</v>
      </c>
    </row>
    <row r="707" spans="1:18" x14ac:dyDescent="0.2">
      <c r="G707" s="4"/>
    </row>
    <row r="708" spans="1:18" s="12" customFormat="1" x14ac:dyDescent="0.2">
      <c r="A708" s="12">
        <v>39</v>
      </c>
      <c r="B708" s="12" t="s">
        <v>1113</v>
      </c>
      <c r="C708" s="13" t="s">
        <v>969</v>
      </c>
      <c r="D708" s="13" t="s">
        <v>968</v>
      </c>
      <c r="E708" s="15"/>
      <c r="F708" s="15">
        <f>SUM(F709:F713)</f>
        <v>185</v>
      </c>
      <c r="G708" s="14">
        <f>G709</f>
        <v>44608</v>
      </c>
      <c r="K708" s="12">
        <v>2014</v>
      </c>
    </row>
    <row r="709" spans="1:18" x14ac:dyDescent="0.2">
      <c r="C709" s="2" t="s">
        <v>9</v>
      </c>
      <c r="D709" s="2" t="s">
        <v>386</v>
      </c>
      <c r="E709" s="3">
        <v>400</v>
      </c>
      <c r="F709" s="3">
        <v>100</v>
      </c>
      <c r="G709" s="4">
        <v>44608</v>
      </c>
      <c r="M709" s="1"/>
      <c r="N709" s="1"/>
      <c r="O709" s="1"/>
      <c r="P709" s="1"/>
      <c r="Q709" s="1"/>
      <c r="R709" s="1"/>
    </row>
    <row r="710" spans="1:18" x14ac:dyDescent="0.2">
      <c r="C710" s="2" t="s">
        <v>8</v>
      </c>
      <c r="D710" s="2" t="s">
        <v>386</v>
      </c>
      <c r="E710" s="3">
        <v>140</v>
      </c>
      <c r="F710" s="3">
        <v>10</v>
      </c>
      <c r="G710" s="4">
        <v>44286</v>
      </c>
      <c r="M710" s="1"/>
      <c r="N710" s="1"/>
      <c r="O710" s="1"/>
      <c r="P710" s="1"/>
      <c r="Q710" s="1"/>
      <c r="R710" s="1"/>
    </row>
    <row r="711" spans="1:18" x14ac:dyDescent="0.2">
      <c r="C711" s="2" t="s">
        <v>18</v>
      </c>
      <c r="D711" s="2" t="s">
        <v>386</v>
      </c>
      <c r="E711" s="3">
        <v>110</v>
      </c>
      <c r="F711" s="3">
        <v>40</v>
      </c>
      <c r="G711" s="4">
        <v>43690</v>
      </c>
      <c r="M711" s="1"/>
      <c r="N711" s="1"/>
      <c r="O711" s="1"/>
      <c r="P711" s="1"/>
      <c r="Q711" s="1"/>
      <c r="R711" s="1"/>
    </row>
    <row r="712" spans="1:18" x14ac:dyDescent="0.2">
      <c r="C712" s="2" t="s">
        <v>53</v>
      </c>
      <c r="D712" s="2" t="s">
        <v>47</v>
      </c>
      <c r="E712" s="3">
        <v>100</v>
      </c>
      <c r="F712" s="3">
        <v>25</v>
      </c>
      <c r="G712" s="4">
        <v>44515</v>
      </c>
      <c r="I712" s="1">
        <v>4100</v>
      </c>
      <c r="J712" s="1">
        <v>4100</v>
      </c>
      <c r="M712" s="1"/>
      <c r="N712" s="1"/>
      <c r="O712" s="1"/>
      <c r="P712" s="1"/>
      <c r="Q712" s="1"/>
      <c r="R712" s="1"/>
    </row>
    <row r="713" spans="1:18" x14ac:dyDescent="0.2">
      <c r="C713" s="161" t="s">
        <v>7</v>
      </c>
      <c r="D713" s="161" t="s">
        <v>2040</v>
      </c>
      <c r="E713" s="3">
        <v>30</v>
      </c>
      <c r="F713" s="3">
        <v>10</v>
      </c>
      <c r="G713" s="4">
        <v>44881</v>
      </c>
      <c r="M713" s="1"/>
      <c r="N713" s="1"/>
      <c r="O713" s="1"/>
      <c r="P713" s="1"/>
      <c r="Q713" s="1"/>
      <c r="R713" s="1"/>
    </row>
    <row r="714" spans="1:18" x14ac:dyDescent="0.2">
      <c r="G714" s="4"/>
      <c r="M714" s="1"/>
      <c r="N714" s="1"/>
      <c r="O714" s="1"/>
      <c r="P714" s="1"/>
      <c r="Q714" s="1"/>
      <c r="R714" s="1"/>
    </row>
    <row r="715" spans="1:18" s="12" customFormat="1" x14ac:dyDescent="0.2">
      <c r="B715" s="12" t="s">
        <v>175</v>
      </c>
      <c r="C715" s="13" t="s">
        <v>969</v>
      </c>
      <c r="D715" s="13" t="s">
        <v>968</v>
      </c>
      <c r="E715" s="15"/>
      <c r="F715" s="15">
        <f>SUM(F716:F719)</f>
        <v>179.83809523809524</v>
      </c>
      <c r="G715" s="14">
        <f>G719</f>
        <v>45183</v>
      </c>
      <c r="M715" s="13"/>
      <c r="N715" s="13"/>
      <c r="O715" s="13"/>
      <c r="P715" s="13"/>
      <c r="Q715" s="13"/>
      <c r="R715" s="13"/>
    </row>
    <row r="716" spans="1:18" x14ac:dyDescent="0.2">
      <c r="B716" s="266" t="s">
        <v>7665</v>
      </c>
      <c r="C716" s="2" t="s">
        <v>18</v>
      </c>
      <c r="D716" s="2" t="s">
        <v>161</v>
      </c>
      <c r="E716" s="3">
        <v>100</v>
      </c>
      <c r="F716" s="3">
        <v>30</v>
      </c>
      <c r="G716" s="4">
        <v>44235</v>
      </c>
      <c r="I716" s="1">
        <v>5200</v>
      </c>
      <c r="J716" s="1">
        <v>8400</v>
      </c>
    </row>
    <row r="717" spans="1:18" x14ac:dyDescent="0.2">
      <c r="C717" s="2" t="s">
        <v>18</v>
      </c>
      <c r="D717" s="2" t="s">
        <v>161</v>
      </c>
      <c r="E717" s="3">
        <v>267</v>
      </c>
      <c r="F717" s="3">
        <v>100</v>
      </c>
      <c r="G717" s="4">
        <v>44140</v>
      </c>
      <c r="I717" s="1">
        <v>5000</v>
      </c>
      <c r="J717" s="1">
        <v>8400</v>
      </c>
    </row>
    <row r="718" spans="1:18" x14ac:dyDescent="0.2">
      <c r="C718" s="2" t="s">
        <v>9</v>
      </c>
      <c r="D718" s="2" t="s">
        <v>22</v>
      </c>
      <c r="E718" s="3">
        <v>222</v>
      </c>
      <c r="F718" s="3">
        <v>22</v>
      </c>
      <c r="G718" s="4">
        <v>44194</v>
      </c>
      <c r="I718" s="1">
        <v>2500</v>
      </c>
    </row>
    <row r="719" spans="1:18" x14ac:dyDescent="0.2">
      <c r="C719" s="282" t="s">
        <v>7933</v>
      </c>
      <c r="D719" s="282" t="s">
        <v>1006</v>
      </c>
      <c r="E719" s="3">
        <f>684.6</f>
        <v>684.6</v>
      </c>
      <c r="F719" s="3">
        <f>584.6/21</f>
        <v>27.838095238095239</v>
      </c>
      <c r="G719" s="4">
        <v>45183</v>
      </c>
    </row>
    <row r="720" spans="1:18" x14ac:dyDescent="0.2">
      <c r="G720" s="4"/>
    </row>
    <row r="721" spans="2:10" x14ac:dyDescent="0.2">
      <c r="B721" s="12" t="s">
        <v>1096</v>
      </c>
      <c r="C721" s="13" t="s">
        <v>969</v>
      </c>
      <c r="D721" s="13" t="s">
        <v>968</v>
      </c>
      <c r="F721" s="15">
        <f>SUM(F722:F746)</f>
        <v>172.73531746031748</v>
      </c>
      <c r="G721" s="14">
        <f>+G725</f>
        <v>44900</v>
      </c>
    </row>
    <row r="722" spans="2:10" x14ac:dyDescent="0.2">
      <c r="B722" s="266" t="s">
        <v>7840</v>
      </c>
      <c r="C722" s="2" t="s">
        <v>18</v>
      </c>
      <c r="D722" s="2" t="s">
        <v>926</v>
      </c>
      <c r="E722" s="3">
        <v>100</v>
      </c>
      <c r="F722" s="3">
        <v>20</v>
      </c>
      <c r="G722" s="4">
        <v>44690</v>
      </c>
      <c r="J722" s="1">
        <v>4300</v>
      </c>
    </row>
    <row r="723" spans="2:10" x14ac:dyDescent="0.2">
      <c r="B723" s="266" t="s">
        <v>7842</v>
      </c>
      <c r="C723" s="2" t="s">
        <v>7</v>
      </c>
      <c r="D723" s="2" t="s">
        <v>926</v>
      </c>
      <c r="E723" s="3">
        <v>40</v>
      </c>
      <c r="F723" s="3">
        <v>20</v>
      </c>
      <c r="G723" s="4">
        <v>44327</v>
      </c>
      <c r="J723" s="1">
        <v>4300</v>
      </c>
    </row>
    <row r="724" spans="2:10" x14ac:dyDescent="0.2">
      <c r="C724" s="2" t="s">
        <v>5</v>
      </c>
      <c r="D724" s="2" t="s">
        <v>926</v>
      </c>
      <c r="E724" s="3">
        <v>15</v>
      </c>
      <c r="F724" s="3">
        <v>5</v>
      </c>
      <c r="G724" s="4">
        <v>43816</v>
      </c>
      <c r="J724" s="1">
        <v>4300</v>
      </c>
    </row>
    <row r="725" spans="2:10" x14ac:dyDescent="0.2">
      <c r="C725" s="2" t="s">
        <v>18</v>
      </c>
      <c r="D725" s="2" t="s">
        <v>957</v>
      </c>
      <c r="E725" s="3">
        <v>50</v>
      </c>
      <c r="F725" s="3">
        <v>6</v>
      </c>
      <c r="G725" s="4">
        <v>44900</v>
      </c>
      <c r="I725" s="1">
        <v>450</v>
      </c>
      <c r="J725" s="1">
        <v>1400</v>
      </c>
    </row>
    <row r="726" spans="2:10" x14ac:dyDescent="0.2">
      <c r="C726" s="2" t="s">
        <v>7</v>
      </c>
      <c r="D726" s="2" t="s">
        <v>957</v>
      </c>
      <c r="E726" s="3">
        <v>35</v>
      </c>
      <c r="F726" s="3">
        <v>5</v>
      </c>
      <c r="G726" s="4">
        <v>44543</v>
      </c>
      <c r="J726" s="1">
        <v>1400</v>
      </c>
    </row>
    <row r="727" spans="2:10" x14ac:dyDescent="0.2">
      <c r="C727" s="2" t="s">
        <v>5</v>
      </c>
      <c r="D727" s="2" t="s">
        <v>957</v>
      </c>
      <c r="E727" s="3">
        <v>8.5</v>
      </c>
      <c r="F727" s="3">
        <v>1</v>
      </c>
      <c r="G727" s="4">
        <v>44181</v>
      </c>
      <c r="J727" s="1">
        <v>1400</v>
      </c>
    </row>
    <row r="728" spans="2:10" x14ac:dyDescent="0.2">
      <c r="C728" s="2" t="s">
        <v>4</v>
      </c>
      <c r="D728" s="2" t="s">
        <v>957</v>
      </c>
      <c r="E728" s="3">
        <v>2</v>
      </c>
      <c r="F728" s="3">
        <v>2</v>
      </c>
      <c r="G728" s="4">
        <v>43435</v>
      </c>
      <c r="J728" s="1">
        <v>1400</v>
      </c>
    </row>
    <row r="729" spans="2:10" x14ac:dyDescent="0.2">
      <c r="C729" s="2" t="s">
        <v>5</v>
      </c>
      <c r="D729" s="2" t="s">
        <v>1005</v>
      </c>
      <c r="E729" s="3">
        <v>20</v>
      </c>
      <c r="F729" s="3">
        <v>4</v>
      </c>
      <c r="G729" s="4">
        <v>43949</v>
      </c>
    </row>
    <row r="730" spans="2:10" x14ac:dyDescent="0.2">
      <c r="C730" s="2" t="s">
        <v>4</v>
      </c>
      <c r="D730" s="2" t="s">
        <v>1005</v>
      </c>
      <c r="E730" s="3">
        <v>5</v>
      </c>
      <c r="F730" s="3">
        <v>1</v>
      </c>
      <c r="G730" s="4">
        <v>43438</v>
      </c>
    </row>
    <row r="731" spans="2:10" x14ac:dyDescent="0.2">
      <c r="C731" s="2" t="s">
        <v>4</v>
      </c>
      <c r="D731" s="2" t="s">
        <v>424</v>
      </c>
      <c r="E731" s="3">
        <v>7</v>
      </c>
      <c r="F731" s="3">
        <v>0.7142857142857143</v>
      </c>
      <c r="G731" s="4">
        <v>43046</v>
      </c>
    </row>
    <row r="732" spans="2:10" x14ac:dyDescent="0.2">
      <c r="C732" s="2" t="s">
        <v>7</v>
      </c>
      <c r="D732" s="2" t="s">
        <v>525</v>
      </c>
      <c r="E732" s="3">
        <v>32</v>
      </c>
      <c r="F732" s="3">
        <f>20/7</f>
        <v>2.8571428571428572</v>
      </c>
      <c r="G732" s="4">
        <v>44364</v>
      </c>
    </row>
    <row r="733" spans="2:10" x14ac:dyDescent="0.2">
      <c r="C733" s="2" t="s">
        <v>7</v>
      </c>
      <c r="D733" s="2" t="s">
        <v>525</v>
      </c>
      <c r="E733" s="3">
        <v>10.199999999999999</v>
      </c>
      <c r="F733" s="3">
        <v>3</v>
      </c>
      <c r="G733" s="4">
        <v>43732</v>
      </c>
    </row>
    <row r="734" spans="2:10" x14ac:dyDescent="0.2">
      <c r="C734" s="2" t="s">
        <v>18</v>
      </c>
      <c r="D734" s="2" t="s">
        <v>310</v>
      </c>
      <c r="E734" s="3">
        <v>110</v>
      </c>
      <c r="F734" s="3">
        <f>70/5</f>
        <v>14</v>
      </c>
      <c r="G734" s="4">
        <v>44369</v>
      </c>
    </row>
    <row r="735" spans="2:10" x14ac:dyDescent="0.2">
      <c r="C735" s="2" t="s">
        <v>7</v>
      </c>
      <c r="D735" s="2" t="s">
        <v>310</v>
      </c>
      <c r="E735" s="3">
        <v>40</v>
      </c>
      <c r="F735" s="3">
        <v>8</v>
      </c>
      <c r="G735" s="4">
        <v>43419</v>
      </c>
    </row>
    <row r="736" spans="2:10" x14ac:dyDescent="0.2">
      <c r="C736" s="2" t="s">
        <v>5</v>
      </c>
      <c r="D736" s="2" t="s">
        <v>310</v>
      </c>
      <c r="E736" s="3">
        <v>14.7</v>
      </c>
      <c r="F736" s="3">
        <v>2.25</v>
      </c>
      <c r="G736" s="4">
        <v>43032</v>
      </c>
    </row>
    <row r="737" spans="2:18" x14ac:dyDescent="0.2">
      <c r="C737" s="2" t="s">
        <v>8</v>
      </c>
      <c r="D737" s="2" t="s">
        <v>258</v>
      </c>
      <c r="E737" s="3">
        <v>111</v>
      </c>
      <c r="F737" s="3">
        <v>7</v>
      </c>
      <c r="G737" s="4">
        <v>44622</v>
      </c>
    </row>
    <row r="738" spans="2:18" x14ac:dyDescent="0.2">
      <c r="C738" s="2" t="s">
        <v>18</v>
      </c>
      <c r="D738" s="2" t="s">
        <v>258</v>
      </c>
      <c r="E738" s="3">
        <v>55</v>
      </c>
      <c r="F738" s="3">
        <v>6</v>
      </c>
      <c r="G738" s="4">
        <v>44314</v>
      </c>
    </row>
    <row r="739" spans="2:18" x14ac:dyDescent="0.2">
      <c r="C739" s="2" t="s">
        <v>7</v>
      </c>
      <c r="D739" s="2" t="s">
        <v>258</v>
      </c>
      <c r="E739" s="3">
        <v>16</v>
      </c>
      <c r="F739" s="3">
        <v>2</v>
      </c>
      <c r="G739" s="4">
        <v>44009</v>
      </c>
    </row>
    <row r="740" spans="2:18" x14ac:dyDescent="0.2">
      <c r="C740" s="2" t="s">
        <v>5</v>
      </c>
      <c r="D740" s="2" t="s">
        <v>258</v>
      </c>
      <c r="E740" s="3">
        <v>14</v>
      </c>
      <c r="F740" s="3">
        <v>4</v>
      </c>
      <c r="G740" s="4">
        <v>43690</v>
      </c>
    </row>
    <row r="741" spans="2:18" x14ac:dyDescent="0.2">
      <c r="C741" s="2" t="s">
        <v>4</v>
      </c>
      <c r="D741" s="2" t="s">
        <v>258</v>
      </c>
      <c r="E741" s="3">
        <v>3.5</v>
      </c>
      <c r="F741" s="3">
        <f>+E741/9</f>
        <v>0.3888888888888889</v>
      </c>
      <c r="G741" s="4">
        <v>42979</v>
      </c>
    </row>
    <row r="742" spans="2:18" x14ac:dyDescent="0.2">
      <c r="C742" s="52" t="s">
        <v>8</v>
      </c>
      <c r="D742" s="52" t="s">
        <v>2119</v>
      </c>
      <c r="E742" s="3">
        <v>175</v>
      </c>
      <c r="F742" s="3">
        <f>75/4</f>
        <v>18.75</v>
      </c>
      <c r="G742" s="4">
        <v>44511</v>
      </c>
      <c r="I742" s="1">
        <v>3400</v>
      </c>
      <c r="J742" s="1">
        <v>3400</v>
      </c>
    </row>
    <row r="743" spans="2:18" x14ac:dyDescent="0.2">
      <c r="C743" s="52" t="s">
        <v>18</v>
      </c>
      <c r="D743" s="52" t="s">
        <v>2119</v>
      </c>
      <c r="E743" s="3">
        <v>125</v>
      </c>
      <c r="F743" s="3">
        <v>35</v>
      </c>
      <c r="G743" s="4">
        <v>44126</v>
      </c>
      <c r="I743" s="1">
        <v>1100</v>
      </c>
      <c r="J743" s="1">
        <v>3400</v>
      </c>
    </row>
    <row r="744" spans="2:18" x14ac:dyDescent="0.2">
      <c r="C744" s="52" t="s">
        <v>7</v>
      </c>
      <c r="D744" s="52" t="s">
        <v>2119</v>
      </c>
      <c r="E744" s="3">
        <v>40</v>
      </c>
      <c r="F744" s="3">
        <v>3</v>
      </c>
      <c r="G744" s="4">
        <v>43720</v>
      </c>
      <c r="J744" s="1">
        <v>3400</v>
      </c>
    </row>
    <row r="745" spans="2:18" x14ac:dyDescent="0.2">
      <c r="C745" s="52" t="s">
        <v>5</v>
      </c>
      <c r="D745" s="52" t="s">
        <v>2119</v>
      </c>
      <c r="E745" s="3">
        <v>11.5</v>
      </c>
      <c r="F745" s="3">
        <f>5.5/4</f>
        <v>1.375</v>
      </c>
      <c r="G745" s="4">
        <v>43355</v>
      </c>
      <c r="J745" s="1">
        <v>3400</v>
      </c>
    </row>
    <row r="746" spans="2:18" x14ac:dyDescent="0.2">
      <c r="C746" s="253" t="s">
        <v>4</v>
      </c>
      <c r="D746" s="253" t="s">
        <v>7616</v>
      </c>
      <c r="E746" s="3">
        <v>2.2000000000000002</v>
      </c>
      <c r="F746" s="3">
        <f>1.2/3</f>
        <v>0.39999999999999997</v>
      </c>
      <c r="G746" s="4">
        <v>43906</v>
      </c>
    </row>
    <row r="747" spans="2:18" x14ac:dyDescent="0.2">
      <c r="G747" s="4"/>
    </row>
    <row r="748" spans="2:18" s="12" customFormat="1" x14ac:dyDescent="0.2">
      <c r="B748" s="12" t="s">
        <v>239</v>
      </c>
      <c r="C748" s="13" t="s">
        <v>969</v>
      </c>
      <c r="D748" s="13" t="s">
        <v>968</v>
      </c>
      <c r="E748" s="15"/>
      <c r="F748" s="15">
        <f>SUM(F749:F750)</f>
        <v>170</v>
      </c>
      <c r="G748" s="14">
        <f>G749</f>
        <v>43040</v>
      </c>
      <c r="M748" s="13"/>
      <c r="N748" s="13"/>
      <c r="O748" s="13"/>
      <c r="P748" s="13"/>
      <c r="Q748" s="13"/>
      <c r="R748" s="13"/>
    </row>
    <row r="749" spans="2:18" x14ac:dyDescent="0.2">
      <c r="C749" s="2" t="s">
        <v>18</v>
      </c>
      <c r="D749" s="2" t="s">
        <v>232</v>
      </c>
      <c r="E749" s="3">
        <v>460</v>
      </c>
      <c r="F749" s="3">
        <v>150</v>
      </c>
      <c r="G749" s="4">
        <v>43040</v>
      </c>
    </row>
    <row r="750" spans="2:18" x14ac:dyDescent="0.2">
      <c r="C750" s="2" t="s">
        <v>18</v>
      </c>
      <c r="D750" s="2" t="s">
        <v>232</v>
      </c>
      <c r="E750" s="3">
        <v>100</v>
      </c>
      <c r="F750" s="3">
        <v>20</v>
      </c>
      <c r="G750" s="4">
        <v>42735</v>
      </c>
    </row>
    <row r="751" spans="2:18" x14ac:dyDescent="0.2">
      <c r="G751" s="4"/>
    </row>
    <row r="752" spans="2:18" x14ac:dyDescent="0.2">
      <c r="B752" s="12" t="s">
        <v>1112</v>
      </c>
      <c r="C752" s="13" t="s">
        <v>969</v>
      </c>
      <c r="D752" s="13" t="s">
        <v>968</v>
      </c>
      <c r="F752" s="15">
        <f>SUM(F753:F767)</f>
        <v>176.79545454545456</v>
      </c>
      <c r="G752" s="14">
        <f>G753</f>
        <v>45069</v>
      </c>
      <c r="I752" s="1">
        <v>5000</v>
      </c>
      <c r="J752" s="21">
        <f>+F752/I752</f>
        <v>3.5359090909090909E-2</v>
      </c>
      <c r="K752" s="1">
        <v>1976</v>
      </c>
    </row>
    <row r="753" spans="2:7" x14ac:dyDescent="0.2">
      <c r="B753" s="265" t="s">
        <v>7664</v>
      </c>
      <c r="C753" s="2" t="s">
        <v>18</v>
      </c>
      <c r="D753" s="2" t="s">
        <v>964</v>
      </c>
      <c r="E753" s="3">
        <v>450</v>
      </c>
      <c r="F753" s="3">
        <f>300/5</f>
        <v>60</v>
      </c>
      <c r="G753" s="4">
        <v>45069</v>
      </c>
    </row>
    <row r="754" spans="2:7" x14ac:dyDescent="0.2">
      <c r="C754" s="2" t="s">
        <v>7</v>
      </c>
      <c r="D754" s="2" t="s">
        <v>1086</v>
      </c>
      <c r="E754" s="3">
        <v>100</v>
      </c>
      <c r="F754" s="3">
        <v>5</v>
      </c>
      <c r="G754" s="4">
        <v>45042</v>
      </c>
    </row>
    <row r="755" spans="2:7" x14ac:dyDescent="0.2">
      <c r="C755" s="2" t="s">
        <v>5</v>
      </c>
      <c r="D755" s="2" t="s">
        <v>1086</v>
      </c>
      <c r="E755" s="3">
        <v>28</v>
      </c>
      <c r="F755" s="3">
        <v>16</v>
      </c>
      <c r="G755" s="4">
        <v>44649</v>
      </c>
    </row>
    <row r="756" spans="2:7" x14ac:dyDescent="0.2">
      <c r="C756" s="2" t="s">
        <v>5</v>
      </c>
      <c r="D756" s="2" t="s">
        <v>1063</v>
      </c>
      <c r="E756" s="3">
        <v>65</v>
      </c>
      <c r="F756" s="3">
        <v>10</v>
      </c>
      <c r="G756" s="4">
        <v>44984</v>
      </c>
    </row>
    <row r="757" spans="2:7" x14ac:dyDescent="0.2">
      <c r="C757" s="2" t="s">
        <v>7</v>
      </c>
      <c r="D757" s="2" t="s">
        <v>860</v>
      </c>
      <c r="E757" s="3">
        <v>25</v>
      </c>
      <c r="F757" s="3">
        <v>7</v>
      </c>
      <c r="G757" s="4">
        <v>44636</v>
      </c>
    </row>
    <row r="758" spans="2:7" x14ac:dyDescent="0.2">
      <c r="C758" s="2" t="s">
        <v>18</v>
      </c>
      <c r="D758" s="2" t="s">
        <v>1111</v>
      </c>
      <c r="E758" s="3">
        <v>125</v>
      </c>
      <c r="F758" s="3">
        <v>9</v>
      </c>
      <c r="G758" s="4">
        <v>44663</v>
      </c>
    </row>
    <row r="759" spans="2:7" x14ac:dyDescent="0.2">
      <c r="C759" s="2" t="s">
        <v>7</v>
      </c>
      <c r="D759" s="2" t="s">
        <v>1111</v>
      </c>
      <c r="E759" s="3">
        <v>54</v>
      </c>
      <c r="F759" s="3">
        <v>14</v>
      </c>
      <c r="G759" s="4">
        <v>44089</v>
      </c>
    </row>
    <row r="760" spans="2:7" x14ac:dyDescent="0.2">
      <c r="C760" s="2" t="s">
        <v>8</v>
      </c>
      <c r="D760" s="2" t="s">
        <v>448</v>
      </c>
      <c r="E760" s="3">
        <v>90</v>
      </c>
      <c r="F760" s="3">
        <f>50/11</f>
        <v>4.5454545454545459</v>
      </c>
      <c r="G760" s="4">
        <v>44776</v>
      </c>
    </row>
    <row r="761" spans="2:7" x14ac:dyDescent="0.2">
      <c r="C761" s="2" t="s">
        <v>18</v>
      </c>
      <c r="D761" s="2" t="s">
        <v>448</v>
      </c>
      <c r="E761" s="3">
        <v>40</v>
      </c>
      <c r="F761" s="3">
        <v>3.75</v>
      </c>
      <c r="G761" s="4">
        <v>44176</v>
      </c>
    </row>
    <row r="762" spans="2:7" x14ac:dyDescent="0.2">
      <c r="C762" s="2" t="s">
        <v>7</v>
      </c>
      <c r="D762" s="2" t="s">
        <v>448</v>
      </c>
      <c r="E762" s="3">
        <v>20</v>
      </c>
      <c r="F762" s="3">
        <f>15/5</f>
        <v>3</v>
      </c>
      <c r="G762" s="4">
        <v>43879</v>
      </c>
    </row>
    <row r="763" spans="2:7" x14ac:dyDescent="0.2">
      <c r="C763" s="2" t="s">
        <v>8</v>
      </c>
      <c r="D763" s="2" t="s">
        <v>258</v>
      </c>
      <c r="E763" s="3">
        <v>111</v>
      </c>
      <c r="F763" s="3">
        <v>7</v>
      </c>
      <c r="G763" s="4">
        <v>44622</v>
      </c>
    </row>
    <row r="764" spans="2:7" x14ac:dyDescent="0.2">
      <c r="C764" s="2" t="s">
        <v>18</v>
      </c>
      <c r="D764" s="2" t="s">
        <v>258</v>
      </c>
      <c r="E764" s="3">
        <v>55</v>
      </c>
      <c r="F764" s="3">
        <v>6</v>
      </c>
      <c r="G764" s="4">
        <v>44314</v>
      </c>
    </row>
    <row r="765" spans="2:7" x14ac:dyDescent="0.2">
      <c r="C765" s="2" t="s">
        <v>7</v>
      </c>
      <c r="D765" s="2" t="s">
        <v>258</v>
      </c>
      <c r="E765" s="3">
        <v>16</v>
      </c>
      <c r="F765" s="3">
        <v>4</v>
      </c>
      <c r="G765" s="4">
        <v>44009</v>
      </c>
    </row>
    <row r="766" spans="2:7" x14ac:dyDescent="0.2">
      <c r="C766" s="2" t="s">
        <v>7</v>
      </c>
      <c r="D766" s="2" t="s">
        <v>1063</v>
      </c>
      <c r="E766" s="3">
        <v>100</v>
      </c>
      <c r="F766" s="3">
        <v>15</v>
      </c>
      <c r="G766" s="4">
        <v>45106</v>
      </c>
    </row>
    <row r="767" spans="2:7" x14ac:dyDescent="0.2">
      <c r="C767" s="176" t="s">
        <v>5</v>
      </c>
      <c r="D767" s="176" t="s">
        <v>2036</v>
      </c>
      <c r="E767" s="3">
        <v>25</v>
      </c>
      <c r="F767" s="3">
        <v>12.5</v>
      </c>
      <c r="G767" s="4">
        <v>44454</v>
      </c>
    </row>
    <row r="768" spans="2:7" x14ac:dyDescent="0.2">
      <c r="G768" s="4"/>
    </row>
    <row r="769" spans="2:11" x14ac:dyDescent="0.2">
      <c r="B769" s="12" t="s">
        <v>5000</v>
      </c>
      <c r="C769" s="13" t="s">
        <v>969</v>
      </c>
      <c r="D769" s="13" t="s">
        <v>968</v>
      </c>
      <c r="F769" s="15">
        <f>SUM(F770:F785)</f>
        <v>434.99233954451347</v>
      </c>
      <c r="G769" s="14">
        <f>G785</f>
        <v>45106</v>
      </c>
      <c r="I769" s="1" t="s">
        <v>1</v>
      </c>
      <c r="J769" s="1" t="s">
        <v>1</v>
      </c>
      <c r="K769" s="1" t="s">
        <v>1</v>
      </c>
    </row>
    <row r="770" spans="2:11" x14ac:dyDescent="0.2">
      <c r="B770" s="12"/>
      <c r="C770" s="2" t="s">
        <v>7</v>
      </c>
      <c r="D770" s="2" t="s">
        <v>949</v>
      </c>
      <c r="E770" s="3">
        <v>350</v>
      </c>
      <c r="F770" s="3">
        <v>20</v>
      </c>
      <c r="G770" s="4">
        <v>44999</v>
      </c>
    </row>
    <row r="771" spans="2:11" x14ac:dyDescent="0.2">
      <c r="C771" s="2" t="s">
        <v>5</v>
      </c>
      <c r="D771" s="2" t="s">
        <v>1063</v>
      </c>
      <c r="E771" s="3">
        <v>65</v>
      </c>
      <c r="F771" s="3">
        <v>10</v>
      </c>
      <c r="G771" s="4">
        <v>44984</v>
      </c>
    </row>
    <row r="772" spans="2:11" x14ac:dyDescent="0.2">
      <c r="C772" s="2" t="s">
        <v>5</v>
      </c>
      <c r="D772" s="2" t="s">
        <v>843</v>
      </c>
      <c r="E772" s="3">
        <v>44</v>
      </c>
      <c r="F772" s="3">
        <v>10</v>
      </c>
      <c r="G772" s="4">
        <v>44671</v>
      </c>
    </row>
    <row r="773" spans="2:11" x14ac:dyDescent="0.2">
      <c r="C773" s="2" t="s">
        <v>5</v>
      </c>
      <c r="D773" s="2" t="s">
        <v>701</v>
      </c>
      <c r="E773" s="3">
        <v>50</v>
      </c>
      <c r="F773" s="3">
        <f>30/12</f>
        <v>2.5</v>
      </c>
      <c r="G773" s="4">
        <v>44796</v>
      </c>
    </row>
    <row r="774" spans="2:11" x14ac:dyDescent="0.2">
      <c r="C774" s="2" t="s">
        <v>4</v>
      </c>
      <c r="D774" s="2" t="s">
        <v>701</v>
      </c>
      <c r="E774" s="3">
        <v>12.5</v>
      </c>
      <c r="F774" s="3">
        <v>3</v>
      </c>
      <c r="G774" s="4">
        <v>44623</v>
      </c>
    </row>
    <row r="775" spans="2:11" x14ac:dyDescent="0.2">
      <c r="C775" s="2" t="s">
        <v>7</v>
      </c>
      <c r="D775" s="2" t="s">
        <v>456</v>
      </c>
      <c r="E775" s="3">
        <v>26.8</v>
      </c>
      <c r="F775" s="3">
        <v>4</v>
      </c>
      <c r="G775" s="4">
        <v>44600</v>
      </c>
    </row>
    <row r="776" spans="2:11" x14ac:dyDescent="0.2">
      <c r="C776" s="2" t="s">
        <v>18</v>
      </c>
      <c r="D776" s="2" t="s">
        <v>318</v>
      </c>
      <c r="E776" s="3">
        <v>8</v>
      </c>
      <c r="F776" s="3">
        <v>8</v>
      </c>
      <c r="G776" s="4">
        <v>45055</v>
      </c>
    </row>
    <row r="777" spans="2:11" x14ac:dyDescent="0.2">
      <c r="C777" s="2" t="s">
        <v>9</v>
      </c>
      <c r="D777" s="2" t="s">
        <v>22</v>
      </c>
      <c r="E777" s="3">
        <v>222</v>
      </c>
      <c r="F777" s="3">
        <f>200/21</f>
        <v>9.5238095238095237</v>
      </c>
      <c r="G777" s="4">
        <v>44194</v>
      </c>
      <c r="I777" s="1">
        <v>2500</v>
      </c>
      <c r="J777" s="1">
        <v>2500</v>
      </c>
    </row>
    <row r="778" spans="2:11" x14ac:dyDescent="0.2">
      <c r="C778" s="2" t="s">
        <v>8</v>
      </c>
      <c r="D778" s="2" t="s">
        <v>22</v>
      </c>
      <c r="E778" s="3">
        <v>200</v>
      </c>
      <c r="F778" s="3">
        <v>30</v>
      </c>
      <c r="G778" s="4">
        <v>43452</v>
      </c>
      <c r="I778" s="1">
        <v>1500</v>
      </c>
      <c r="J778" s="1">
        <v>2500</v>
      </c>
    </row>
    <row r="779" spans="2:11" x14ac:dyDescent="0.2">
      <c r="C779" s="2" t="s">
        <v>7</v>
      </c>
      <c r="D779" s="2" t="s">
        <v>1063</v>
      </c>
      <c r="E779" s="3">
        <v>100</v>
      </c>
      <c r="F779" s="3">
        <v>15</v>
      </c>
      <c r="G779" s="4">
        <v>45106</v>
      </c>
    </row>
    <row r="780" spans="2:11" x14ac:dyDescent="0.2">
      <c r="C780" s="2" t="s">
        <v>7</v>
      </c>
      <c r="D780" s="2" t="s">
        <v>2132</v>
      </c>
      <c r="E780" s="3">
        <v>176</v>
      </c>
      <c r="F780" s="3">
        <v>13</v>
      </c>
      <c r="G780" s="4">
        <v>44578</v>
      </c>
    </row>
    <row r="781" spans="2:11" x14ac:dyDescent="0.2">
      <c r="C781" s="52" t="s">
        <v>18</v>
      </c>
      <c r="D781" s="52" t="s">
        <v>2119</v>
      </c>
      <c r="E781" s="3">
        <v>125</v>
      </c>
      <c r="F781" s="3">
        <v>20</v>
      </c>
      <c r="G781" s="4">
        <v>44126</v>
      </c>
      <c r="I781" s="1">
        <v>1100</v>
      </c>
      <c r="J781" s="1">
        <v>3400</v>
      </c>
    </row>
    <row r="782" spans="2:11" x14ac:dyDescent="0.2">
      <c r="C782" s="52" t="s">
        <v>7</v>
      </c>
      <c r="D782" s="52" t="s">
        <v>2119</v>
      </c>
      <c r="E782" s="3">
        <v>40</v>
      </c>
      <c r="F782" s="3">
        <v>3</v>
      </c>
      <c r="G782" s="4">
        <v>43720</v>
      </c>
      <c r="J782" s="1">
        <v>3400</v>
      </c>
    </row>
    <row r="783" spans="2:11" x14ac:dyDescent="0.2">
      <c r="C783" s="282" t="s">
        <v>7933</v>
      </c>
      <c r="D783" s="282" t="s">
        <v>1006</v>
      </c>
      <c r="E783" s="3">
        <v>684.6</v>
      </c>
      <c r="F783" s="3">
        <f>584.6/21</f>
        <v>27.838095238095239</v>
      </c>
      <c r="G783" s="4">
        <v>45183</v>
      </c>
      <c r="I783" s="1">
        <v>42500</v>
      </c>
      <c r="J783" s="1">
        <v>42500</v>
      </c>
    </row>
    <row r="784" spans="2:11" x14ac:dyDescent="0.2">
      <c r="C784" s="282" t="s">
        <v>504</v>
      </c>
      <c r="D784" s="282" t="s">
        <v>1006</v>
      </c>
      <c r="E784" s="3">
        <v>1000</v>
      </c>
      <c r="F784" s="3">
        <f>900/23</f>
        <v>39.130434782608695</v>
      </c>
      <c r="G784" s="4">
        <v>44228</v>
      </c>
      <c r="I784" s="1">
        <v>27000</v>
      </c>
      <c r="J784" s="1">
        <v>42500</v>
      </c>
    </row>
    <row r="785" spans="2:11" x14ac:dyDescent="0.2">
      <c r="C785" s="282" t="s">
        <v>7</v>
      </c>
      <c r="D785" s="282" t="s">
        <v>1133</v>
      </c>
      <c r="E785" s="3">
        <v>1300</v>
      </c>
      <c r="F785" s="3">
        <v>220</v>
      </c>
      <c r="G785" s="4">
        <v>45106</v>
      </c>
      <c r="I785" s="1">
        <v>4000</v>
      </c>
      <c r="J785" s="1">
        <v>4000</v>
      </c>
    </row>
    <row r="786" spans="2:11" x14ac:dyDescent="0.2">
      <c r="G786" s="4"/>
    </row>
    <row r="787" spans="2:11" x14ac:dyDescent="0.2">
      <c r="B787" s="12" t="s">
        <v>1108</v>
      </c>
      <c r="C787" s="13" t="s">
        <v>969</v>
      </c>
      <c r="D787" s="13" t="s">
        <v>968</v>
      </c>
      <c r="E787" s="15"/>
      <c r="F787" s="15">
        <f>SUM(F788:F804)</f>
        <v>173.50000000000003</v>
      </c>
      <c r="G787" s="14">
        <f>G790</f>
        <v>44754</v>
      </c>
      <c r="I787" s="1">
        <v>6800</v>
      </c>
      <c r="J787" s="20">
        <f>+F787/I787</f>
        <v>2.5514705882352946E-2</v>
      </c>
      <c r="K787" s="1">
        <v>1972</v>
      </c>
    </row>
    <row r="788" spans="2:11" x14ac:dyDescent="0.2">
      <c r="B788" s="265" t="s">
        <v>7664</v>
      </c>
      <c r="C788" s="2" t="s">
        <v>18</v>
      </c>
      <c r="D788" s="2" t="s">
        <v>1043</v>
      </c>
      <c r="E788" s="3">
        <v>100</v>
      </c>
      <c r="F788" s="3">
        <v>15</v>
      </c>
      <c r="G788" s="4">
        <v>44699</v>
      </c>
    </row>
    <row r="789" spans="2:11" x14ac:dyDescent="0.2">
      <c r="C789" s="2" t="s">
        <v>7</v>
      </c>
      <c r="D789" s="2" t="s">
        <v>1043</v>
      </c>
      <c r="E789" s="3">
        <v>100</v>
      </c>
      <c r="F789" s="3">
        <f>25/3</f>
        <v>8.3333333333333339</v>
      </c>
      <c r="G789" s="4">
        <v>44286</v>
      </c>
    </row>
    <row r="790" spans="2:11" x14ac:dyDescent="0.2">
      <c r="C790" s="2" t="s">
        <v>18</v>
      </c>
      <c r="D790" s="2" t="s">
        <v>1005</v>
      </c>
      <c r="E790" s="3">
        <v>100</v>
      </c>
      <c r="F790" s="3">
        <v>40</v>
      </c>
      <c r="G790" s="4">
        <v>44754</v>
      </c>
    </row>
    <row r="791" spans="2:11" x14ac:dyDescent="0.2">
      <c r="C791" s="2" t="s">
        <v>5</v>
      </c>
      <c r="D791" s="2" t="s">
        <v>701</v>
      </c>
      <c r="E791" s="3">
        <v>50</v>
      </c>
      <c r="F791" s="3">
        <f>30/12</f>
        <v>2.5</v>
      </c>
      <c r="G791" s="4">
        <v>44796</v>
      </c>
    </row>
    <row r="792" spans="2:11" x14ac:dyDescent="0.2">
      <c r="C792" s="2" t="s">
        <v>4</v>
      </c>
      <c r="D792" s="2" t="s">
        <v>701</v>
      </c>
      <c r="E792" s="3">
        <v>12.5</v>
      </c>
      <c r="F792" s="3">
        <f>8/5</f>
        <v>1.6</v>
      </c>
      <c r="G792" s="4">
        <v>44623</v>
      </c>
    </row>
    <row r="793" spans="2:11" x14ac:dyDescent="0.2">
      <c r="C793" s="2" t="s">
        <v>4</v>
      </c>
      <c r="D793" s="2" t="s">
        <v>701</v>
      </c>
      <c r="E793" s="3">
        <v>7.2</v>
      </c>
      <c r="F793" s="3">
        <v>2</v>
      </c>
      <c r="G793" s="4">
        <v>44508</v>
      </c>
    </row>
    <row r="794" spans="2:11" x14ac:dyDescent="0.2">
      <c r="C794" s="2" t="s">
        <v>7</v>
      </c>
      <c r="D794" s="2" t="s">
        <v>871</v>
      </c>
      <c r="E794" s="3">
        <v>30</v>
      </c>
      <c r="F794" s="3">
        <f>20/3</f>
        <v>6.666666666666667</v>
      </c>
      <c r="G794" s="4">
        <v>44510</v>
      </c>
    </row>
    <row r="795" spans="2:11" x14ac:dyDescent="0.2">
      <c r="C795" s="2" t="s">
        <v>5</v>
      </c>
      <c r="D795" s="2" t="s">
        <v>871</v>
      </c>
      <c r="E795" s="3">
        <v>21.4</v>
      </c>
      <c r="F795" s="3">
        <v>5</v>
      </c>
      <c r="G795" s="4">
        <v>44232</v>
      </c>
    </row>
    <row r="796" spans="2:11" x14ac:dyDescent="0.2">
      <c r="C796" s="2" t="s">
        <v>18</v>
      </c>
      <c r="D796" s="2" t="s">
        <v>883</v>
      </c>
      <c r="E796" s="3">
        <v>200</v>
      </c>
      <c r="F796" s="3">
        <v>20</v>
      </c>
      <c r="G796" s="4">
        <v>44377</v>
      </c>
    </row>
    <row r="797" spans="2:11" x14ac:dyDescent="0.2">
      <c r="C797" s="2" t="s">
        <v>7</v>
      </c>
      <c r="D797" s="2" t="s">
        <v>883</v>
      </c>
      <c r="E797" s="3">
        <v>75</v>
      </c>
      <c r="F797" s="3">
        <v>20</v>
      </c>
      <c r="G797" s="4">
        <v>43783</v>
      </c>
    </row>
    <row r="798" spans="2:11" x14ac:dyDescent="0.2">
      <c r="C798" s="2" t="s">
        <v>18</v>
      </c>
      <c r="D798" s="2" t="s">
        <v>403</v>
      </c>
      <c r="E798" s="3">
        <v>90</v>
      </c>
      <c r="F798" s="3">
        <v>15</v>
      </c>
      <c r="G798" s="4">
        <v>45090</v>
      </c>
    </row>
    <row r="799" spans="2:11" x14ac:dyDescent="0.2">
      <c r="C799" s="2" t="s">
        <v>7</v>
      </c>
      <c r="D799" s="2" t="s">
        <v>403</v>
      </c>
      <c r="E799" s="3">
        <v>50</v>
      </c>
      <c r="F799" s="3">
        <v>20</v>
      </c>
      <c r="G799" s="4">
        <v>44538</v>
      </c>
    </row>
    <row r="800" spans="2:11" x14ac:dyDescent="0.2">
      <c r="C800" s="52" t="s">
        <v>7</v>
      </c>
      <c r="D800" s="52" t="s">
        <v>2119</v>
      </c>
      <c r="E800" s="3">
        <v>40</v>
      </c>
      <c r="F800" s="3">
        <v>3</v>
      </c>
      <c r="G800" s="4">
        <v>43720</v>
      </c>
      <c r="J800" s="1">
        <v>3400</v>
      </c>
    </row>
    <row r="801" spans="2:18" x14ac:dyDescent="0.2">
      <c r="C801" s="55" t="s">
        <v>18</v>
      </c>
      <c r="D801" s="55" t="s">
        <v>2112</v>
      </c>
      <c r="E801" s="3">
        <v>40</v>
      </c>
      <c r="F801" s="3">
        <v>5</v>
      </c>
      <c r="G801" s="4">
        <v>44238</v>
      </c>
      <c r="J801" s="1">
        <v>790</v>
      </c>
    </row>
    <row r="802" spans="2:18" x14ac:dyDescent="0.2">
      <c r="C802" s="55" t="s">
        <v>7</v>
      </c>
      <c r="D802" s="55" t="s">
        <v>2112</v>
      </c>
      <c r="E802" s="3">
        <v>25</v>
      </c>
      <c r="F802" s="3">
        <v>5</v>
      </c>
      <c r="G802" s="4">
        <v>43865</v>
      </c>
      <c r="J802" s="1">
        <v>790</v>
      </c>
    </row>
    <row r="803" spans="2:18" x14ac:dyDescent="0.2">
      <c r="C803" s="55" t="s">
        <v>5</v>
      </c>
      <c r="D803" s="55" t="s">
        <v>2112</v>
      </c>
      <c r="E803" s="3">
        <v>10</v>
      </c>
      <c r="F803" s="3">
        <v>2.5</v>
      </c>
      <c r="G803" s="4">
        <v>43564</v>
      </c>
      <c r="J803" s="1">
        <v>790</v>
      </c>
    </row>
    <row r="804" spans="2:18" x14ac:dyDescent="0.2">
      <c r="C804" s="55" t="s">
        <v>4</v>
      </c>
      <c r="D804" s="55" t="s">
        <v>2112</v>
      </c>
      <c r="E804" s="3">
        <v>3.9</v>
      </c>
      <c r="F804" s="3">
        <v>1.9</v>
      </c>
      <c r="G804" s="4">
        <v>43311</v>
      </c>
      <c r="J804" s="1">
        <v>790</v>
      </c>
    </row>
    <row r="805" spans="2:18" x14ac:dyDescent="0.2">
      <c r="G805" s="4"/>
    </row>
    <row r="806" spans="2:18" s="12" customFormat="1" x14ac:dyDescent="0.2">
      <c r="B806" s="12" t="s">
        <v>1107</v>
      </c>
      <c r="C806" s="13" t="s">
        <v>969</v>
      </c>
      <c r="D806" s="13" t="s">
        <v>968</v>
      </c>
      <c r="E806" s="15"/>
      <c r="F806" s="15">
        <f>SUM(F807:F815)</f>
        <v>168.44285714285715</v>
      </c>
      <c r="G806" s="14">
        <f>G812</f>
        <v>44880</v>
      </c>
      <c r="M806" s="13"/>
      <c r="N806" s="13"/>
      <c r="O806" s="13"/>
      <c r="P806" s="13"/>
      <c r="Q806" s="13"/>
      <c r="R806" s="13"/>
    </row>
    <row r="807" spans="2:18" x14ac:dyDescent="0.2">
      <c r="C807" s="2" t="s">
        <v>8</v>
      </c>
      <c r="D807" s="2" t="s">
        <v>208</v>
      </c>
      <c r="E807" s="3">
        <v>676</v>
      </c>
      <c r="F807" s="3">
        <f>500/7</f>
        <v>71.428571428571431</v>
      </c>
      <c r="G807" s="4">
        <v>44299</v>
      </c>
      <c r="I807" s="1">
        <v>4400</v>
      </c>
    </row>
    <row r="808" spans="2:18" x14ac:dyDescent="0.2">
      <c r="C808" s="2" t="s">
        <v>18</v>
      </c>
      <c r="D808" s="2" t="s">
        <v>208</v>
      </c>
      <c r="E808" s="3">
        <v>250</v>
      </c>
      <c r="F808" s="3">
        <f>170/5</f>
        <v>34</v>
      </c>
      <c r="G808" s="4">
        <v>43886</v>
      </c>
      <c r="I808" s="1">
        <v>2300</v>
      </c>
    </row>
    <row r="809" spans="2:18" x14ac:dyDescent="0.2">
      <c r="C809" s="2" t="s">
        <v>7</v>
      </c>
      <c r="D809" s="2" t="s">
        <v>208</v>
      </c>
      <c r="E809" s="3">
        <v>150</v>
      </c>
      <c r="F809" s="3">
        <v>20</v>
      </c>
      <c r="G809" s="4">
        <v>43556</v>
      </c>
    </row>
    <row r="810" spans="2:18" x14ac:dyDescent="0.2">
      <c r="C810" s="2" t="s">
        <v>5</v>
      </c>
      <c r="D810" s="2" t="s">
        <v>208</v>
      </c>
      <c r="E810" s="3">
        <v>7.3</v>
      </c>
      <c r="F810" s="3">
        <v>7.3</v>
      </c>
      <c r="G810" s="4">
        <v>43327</v>
      </c>
    </row>
    <row r="811" spans="2:18" x14ac:dyDescent="0.2">
      <c r="C811" s="2" t="s">
        <v>4</v>
      </c>
      <c r="D811" s="2" t="s">
        <v>208</v>
      </c>
      <c r="E811" s="3">
        <v>2</v>
      </c>
      <c r="F811" s="3">
        <v>2</v>
      </c>
      <c r="G811" s="4">
        <v>43047</v>
      </c>
    </row>
    <row r="812" spans="2:18" x14ac:dyDescent="0.2">
      <c r="C812" s="2" t="s">
        <v>8</v>
      </c>
      <c r="D812" s="2" t="s">
        <v>131</v>
      </c>
      <c r="E812" s="3">
        <v>135</v>
      </c>
      <c r="F812" s="3">
        <v>8</v>
      </c>
      <c r="G812" s="4">
        <v>44880</v>
      </c>
      <c r="I812" s="1">
        <v>615</v>
      </c>
    </row>
    <row r="813" spans="2:18" x14ac:dyDescent="0.2">
      <c r="C813" s="2" t="s">
        <v>7</v>
      </c>
      <c r="D813" s="2" t="s">
        <v>131</v>
      </c>
      <c r="E813" s="3">
        <v>10</v>
      </c>
      <c r="F813" s="3">
        <v>10</v>
      </c>
      <c r="G813" s="4">
        <v>42414</v>
      </c>
      <c r="J813" s="1">
        <v>615</v>
      </c>
    </row>
    <row r="814" spans="2:18" x14ac:dyDescent="0.2">
      <c r="C814" s="55" t="s">
        <v>9</v>
      </c>
      <c r="D814" s="55" t="s">
        <v>2115</v>
      </c>
      <c r="E814" s="3">
        <v>100</v>
      </c>
      <c r="F814" s="3">
        <f>75/7</f>
        <v>10.714285714285714</v>
      </c>
      <c r="G814" s="4">
        <v>44507</v>
      </c>
      <c r="I814" s="1">
        <v>1600</v>
      </c>
      <c r="J814" s="1">
        <v>1600</v>
      </c>
    </row>
    <row r="815" spans="2:18" x14ac:dyDescent="0.2">
      <c r="C815" s="55" t="s">
        <v>7</v>
      </c>
      <c r="D815" s="55" t="s">
        <v>2115</v>
      </c>
      <c r="E815" s="3">
        <v>5</v>
      </c>
      <c r="F815" s="3">
        <v>5</v>
      </c>
      <c r="G815" s="4">
        <v>42285</v>
      </c>
      <c r="J815" s="1">
        <v>1600</v>
      </c>
    </row>
    <row r="816" spans="2:18" x14ac:dyDescent="0.2">
      <c r="G816" s="4"/>
    </row>
    <row r="817" spans="2:18" s="12" customFormat="1" x14ac:dyDescent="0.2">
      <c r="B817" s="12" t="s">
        <v>1110</v>
      </c>
      <c r="C817" s="13" t="s">
        <v>969</v>
      </c>
      <c r="D817" s="13" t="s">
        <v>968</v>
      </c>
      <c r="E817" s="15"/>
      <c r="F817" s="15">
        <f>SUM(F818:F824)</f>
        <v>165.625</v>
      </c>
      <c r="G817" s="14">
        <f>G818</f>
        <v>44417</v>
      </c>
      <c r="M817" s="13"/>
      <c r="N817" s="13"/>
      <c r="O817" s="13"/>
      <c r="P817" s="13"/>
      <c r="Q817" s="13"/>
      <c r="R817" s="13"/>
    </row>
    <row r="818" spans="2:18" x14ac:dyDescent="0.2">
      <c r="C818" s="2" t="s">
        <v>18</v>
      </c>
      <c r="D818" s="2" t="s">
        <v>877</v>
      </c>
      <c r="E818" s="3">
        <v>85</v>
      </c>
      <c r="F818" s="3">
        <f>45/8</f>
        <v>5.625</v>
      </c>
      <c r="G818" s="4">
        <v>44417</v>
      </c>
      <c r="H818" s="5"/>
    </row>
    <row r="819" spans="2:18" x14ac:dyDescent="0.2">
      <c r="C819" s="2" t="s">
        <v>8</v>
      </c>
      <c r="D819" s="2" t="s">
        <v>208</v>
      </c>
      <c r="E819" s="3">
        <v>676</v>
      </c>
      <c r="F819" s="3">
        <v>71</v>
      </c>
      <c r="G819" s="4">
        <v>44299</v>
      </c>
      <c r="H819" s="5"/>
      <c r="I819" s="1">
        <v>4400</v>
      </c>
    </row>
    <row r="820" spans="2:18" x14ac:dyDescent="0.2">
      <c r="C820" s="2" t="s">
        <v>18</v>
      </c>
      <c r="D820" s="2" t="s">
        <v>208</v>
      </c>
      <c r="E820" s="3">
        <v>250</v>
      </c>
      <c r="F820" s="3">
        <f>170/5</f>
        <v>34</v>
      </c>
      <c r="G820" s="4">
        <v>43886</v>
      </c>
      <c r="H820" s="5"/>
      <c r="I820" s="1">
        <v>2300</v>
      </c>
    </row>
    <row r="821" spans="2:18" x14ac:dyDescent="0.2">
      <c r="C821" s="2" t="s">
        <v>7</v>
      </c>
      <c r="D821" s="2" t="s">
        <v>208</v>
      </c>
      <c r="E821" s="3">
        <v>150</v>
      </c>
      <c r="F821" s="3">
        <f>100/5</f>
        <v>20</v>
      </c>
      <c r="G821" s="4">
        <v>43556</v>
      </c>
      <c r="H821" s="5"/>
    </row>
    <row r="822" spans="2:18" x14ac:dyDescent="0.2">
      <c r="C822" s="2" t="s">
        <v>5</v>
      </c>
      <c r="D822" s="2" t="s">
        <v>208</v>
      </c>
      <c r="E822" s="3">
        <v>56</v>
      </c>
      <c r="F822" s="3">
        <v>20</v>
      </c>
      <c r="G822" s="4">
        <v>43174</v>
      </c>
      <c r="H822" s="5"/>
    </row>
    <row r="823" spans="2:18" x14ac:dyDescent="0.2">
      <c r="C823" s="2" t="s">
        <v>7</v>
      </c>
      <c r="D823" s="2" t="s">
        <v>131</v>
      </c>
      <c r="E823" s="3">
        <v>32</v>
      </c>
      <c r="F823" s="3">
        <v>12</v>
      </c>
      <c r="G823" s="4">
        <v>42528</v>
      </c>
      <c r="H823" s="5"/>
    </row>
    <row r="824" spans="2:18" x14ac:dyDescent="0.2">
      <c r="C824" s="2" t="s">
        <v>5</v>
      </c>
      <c r="D824" s="2" t="s">
        <v>2028</v>
      </c>
      <c r="E824" s="3">
        <v>18</v>
      </c>
      <c r="F824" s="3">
        <v>3</v>
      </c>
      <c r="G824" s="4">
        <v>44866</v>
      </c>
      <c r="H824" s="5"/>
    </row>
    <row r="825" spans="2:18" x14ac:dyDescent="0.2">
      <c r="G825" s="4"/>
      <c r="H825" s="5"/>
    </row>
    <row r="826" spans="2:18" x14ac:dyDescent="0.2">
      <c r="B826" s="12" t="s">
        <v>1105</v>
      </c>
      <c r="C826" s="13" t="s">
        <v>969</v>
      </c>
      <c r="D826" s="13" t="s">
        <v>968</v>
      </c>
      <c r="F826" s="15">
        <f>SUM(F827:F852)</f>
        <v>164.97499999999999</v>
      </c>
      <c r="G826" s="14">
        <f>+G836</f>
        <v>45020</v>
      </c>
      <c r="I826" s="1">
        <v>700</v>
      </c>
      <c r="K826" s="19">
        <f>(F827+F835+F836)/I826</f>
        <v>2.5714285714285714E-2</v>
      </c>
      <c r="L826" s="1">
        <v>2022</v>
      </c>
    </row>
    <row r="827" spans="2:18" x14ac:dyDescent="0.2">
      <c r="B827" s="265" t="s">
        <v>7664</v>
      </c>
      <c r="C827" s="2" t="s">
        <v>18</v>
      </c>
      <c r="D827" s="2" t="s">
        <v>957</v>
      </c>
      <c r="E827" s="3">
        <v>50</v>
      </c>
      <c r="F827" s="3">
        <v>6</v>
      </c>
      <c r="G827" s="4">
        <v>44900</v>
      </c>
      <c r="I827" s="1">
        <v>450</v>
      </c>
      <c r="J827" s="1">
        <v>1400</v>
      </c>
      <c r="K827" s="19">
        <f>+F826/I827</f>
        <v>0.36661111111111111</v>
      </c>
      <c r="L827" s="1">
        <v>2012</v>
      </c>
    </row>
    <row r="828" spans="2:18" x14ac:dyDescent="0.2">
      <c r="C828" s="2" t="s">
        <v>7</v>
      </c>
      <c r="D828" s="2" t="s">
        <v>957</v>
      </c>
      <c r="E828" s="3">
        <v>35</v>
      </c>
      <c r="F828" s="3">
        <v>5</v>
      </c>
      <c r="G828" s="4">
        <v>44543</v>
      </c>
      <c r="J828" s="1">
        <v>1400</v>
      </c>
    </row>
    <row r="829" spans="2:18" x14ac:dyDescent="0.2">
      <c r="C829" s="2" t="s">
        <v>5</v>
      </c>
      <c r="D829" s="2" t="s">
        <v>957</v>
      </c>
      <c r="E829" s="3">
        <v>8.5</v>
      </c>
      <c r="F829" s="3">
        <v>5</v>
      </c>
      <c r="G829" s="4">
        <v>44181</v>
      </c>
      <c r="J829" s="1">
        <v>1400</v>
      </c>
    </row>
    <row r="830" spans="2:18" x14ac:dyDescent="0.2">
      <c r="C830" s="2" t="s">
        <v>18</v>
      </c>
      <c r="D830" s="2" t="s">
        <v>1064</v>
      </c>
      <c r="E830" s="3">
        <v>85</v>
      </c>
      <c r="F830" s="3">
        <v>10</v>
      </c>
      <c r="G830" s="4">
        <v>44501</v>
      </c>
    </row>
    <row r="831" spans="2:18" x14ac:dyDescent="0.2">
      <c r="C831" s="2" t="s">
        <v>7</v>
      </c>
      <c r="D831" s="2" t="s">
        <v>1064</v>
      </c>
      <c r="E831" s="3">
        <v>28</v>
      </c>
      <c r="F831" s="3">
        <v>5</v>
      </c>
      <c r="G831" s="4">
        <v>44272</v>
      </c>
    </row>
    <row r="832" spans="2:18" x14ac:dyDescent="0.2">
      <c r="C832" s="2" t="s">
        <v>5</v>
      </c>
      <c r="D832" s="2" t="s">
        <v>1064</v>
      </c>
      <c r="E832" s="3">
        <v>15</v>
      </c>
      <c r="F832" s="3">
        <v>10</v>
      </c>
      <c r="G832" s="4">
        <v>43924</v>
      </c>
    </row>
    <row r="833" spans="3:7" x14ac:dyDescent="0.2">
      <c r="C833" s="2" t="s">
        <v>4</v>
      </c>
      <c r="D833" s="2" t="s">
        <v>1064</v>
      </c>
      <c r="E833" s="3">
        <v>2.9</v>
      </c>
      <c r="F833" s="3">
        <v>1</v>
      </c>
      <c r="G833" s="4">
        <v>43761</v>
      </c>
    </row>
    <row r="834" spans="3:7" x14ac:dyDescent="0.2">
      <c r="C834" s="2" t="s">
        <v>5</v>
      </c>
      <c r="D834" s="2" t="s">
        <v>832</v>
      </c>
      <c r="E834" s="3">
        <v>20</v>
      </c>
      <c r="F834" s="3">
        <v>2</v>
      </c>
      <c r="G834" s="4">
        <v>43816</v>
      </c>
    </row>
    <row r="835" spans="3:7" x14ac:dyDescent="0.2">
      <c r="C835" s="2" t="s">
        <v>5</v>
      </c>
      <c r="D835" s="2" t="s">
        <v>994</v>
      </c>
      <c r="E835" s="3">
        <v>23</v>
      </c>
      <c r="F835" s="3">
        <v>5</v>
      </c>
      <c r="G835" s="4">
        <v>44963</v>
      </c>
    </row>
    <row r="836" spans="3:7" x14ac:dyDescent="0.2">
      <c r="C836" s="2" t="s">
        <v>18</v>
      </c>
      <c r="D836" s="2" t="s">
        <v>424</v>
      </c>
      <c r="E836" s="3">
        <v>75</v>
      </c>
      <c r="F836" s="3">
        <v>7</v>
      </c>
      <c r="G836" s="4">
        <v>45020</v>
      </c>
    </row>
    <row r="837" spans="3:7" x14ac:dyDescent="0.2">
      <c r="C837" s="2" t="s">
        <v>18</v>
      </c>
      <c r="D837" s="2" t="s">
        <v>424</v>
      </c>
      <c r="E837" s="3">
        <v>80</v>
      </c>
      <c r="F837" s="3">
        <v>10</v>
      </c>
      <c r="G837" s="4">
        <v>44404</v>
      </c>
    </row>
    <row r="838" spans="3:7" x14ac:dyDescent="0.2">
      <c r="C838" s="2" t="s">
        <v>7</v>
      </c>
      <c r="D838" s="2" t="s">
        <v>424</v>
      </c>
      <c r="E838" s="3">
        <v>40</v>
      </c>
      <c r="F838" s="3">
        <v>10</v>
      </c>
      <c r="G838" s="4">
        <v>43957</v>
      </c>
    </row>
    <row r="839" spans="3:7" x14ac:dyDescent="0.2">
      <c r="C839" s="2" t="s">
        <v>5</v>
      </c>
      <c r="D839" s="2" t="s">
        <v>424</v>
      </c>
      <c r="E839" s="3">
        <v>20</v>
      </c>
      <c r="F839" s="3">
        <v>20</v>
      </c>
      <c r="G839" s="4">
        <v>43480</v>
      </c>
    </row>
    <row r="840" spans="3:7" x14ac:dyDescent="0.2">
      <c r="C840" s="2" t="s">
        <v>4</v>
      </c>
      <c r="D840" s="2" t="s">
        <v>424</v>
      </c>
      <c r="E840" s="3">
        <v>7</v>
      </c>
      <c r="F840" s="3">
        <v>2</v>
      </c>
      <c r="G840" s="4">
        <v>43046</v>
      </c>
    </row>
    <row r="841" spans="3:7" x14ac:dyDescent="0.2">
      <c r="C841" s="2" t="s">
        <v>7</v>
      </c>
      <c r="D841" s="2" t="s">
        <v>1072</v>
      </c>
      <c r="E841" s="3">
        <v>37</v>
      </c>
      <c r="F841" s="3">
        <v>4</v>
      </c>
      <c r="G841" s="4">
        <v>44860</v>
      </c>
    </row>
    <row r="842" spans="3:7" x14ac:dyDescent="0.2">
      <c r="C842" s="2" t="s">
        <v>7</v>
      </c>
      <c r="D842" s="2" t="s">
        <v>1072</v>
      </c>
      <c r="E842" s="3">
        <v>80</v>
      </c>
      <c r="F842" s="3">
        <v>10</v>
      </c>
      <c r="G842" s="4">
        <v>44327</v>
      </c>
    </row>
    <row r="843" spans="3:7" x14ac:dyDescent="0.2">
      <c r="C843" s="2" t="s">
        <v>5</v>
      </c>
      <c r="D843" s="2" t="s">
        <v>1072</v>
      </c>
      <c r="E843" s="3">
        <v>30</v>
      </c>
      <c r="F843" s="3">
        <v>7</v>
      </c>
      <c r="G843" s="4">
        <v>43963</v>
      </c>
    </row>
    <row r="844" spans="3:7" x14ac:dyDescent="0.2">
      <c r="C844" s="2" t="s">
        <v>18</v>
      </c>
      <c r="D844" s="2" t="s">
        <v>310</v>
      </c>
      <c r="E844" s="3">
        <v>110</v>
      </c>
      <c r="F844" s="3">
        <f>70/5</f>
        <v>14</v>
      </c>
      <c r="G844" s="4">
        <v>44369</v>
      </c>
    </row>
    <row r="845" spans="3:7" x14ac:dyDescent="0.2">
      <c r="C845" s="2" t="s">
        <v>7</v>
      </c>
      <c r="D845" s="2" t="s">
        <v>310</v>
      </c>
      <c r="E845" s="3">
        <v>40</v>
      </c>
      <c r="F845" s="3">
        <v>4</v>
      </c>
      <c r="G845" s="4">
        <v>43419</v>
      </c>
    </row>
    <row r="846" spans="3:7" x14ac:dyDescent="0.2">
      <c r="C846" s="2" t="s">
        <v>5</v>
      </c>
      <c r="D846" s="2" t="s">
        <v>310</v>
      </c>
      <c r="E846" s="3">
        <v>14.7</v>
      </c>
      <c r="F846" s="3">
        <v>2.25</v>
      </c>
      <c r="G846" s="4">
        <v>43032</v>
      </c>
    </row>
    <row r="847" spans="3:7" x14ac:dyDescent="0.2">
      <c r="C847" s="2" t="s">
        <v>7</v>
      </c>
      <c r="D847" s="2" t="s">
        <v>95</v>
      </c>
      <c r="E847" s="3">
        <v>25</v>
      </c>
      <c r="F847" s="3">
        <v>3</v>
      </c>
      <c r="G847" s="4">
        <v>43783</v>
      </c>
    </row>
    <row r="848" spans="3:7" x14ac:dyDescent="0.2">
      <c r="C848" s="2" t="s">
        <v>5</v>
      </c>
      <c r="D848" s="2" t="s">
        <v>95</v>
      </c>
      <c r="E848" s="3">
        <v>10</v>
      </c>
      <c r="F848" s="3">
        <v>2.5</v>
      </c>
      <c r="G848" s="4">
        <v>42304</v>
      </c>
    </row>
    <row r="849" spans="2:18" x14ac:dyDescent="0.2">
      <c r="C849" s="2" t="s">
        <v>4</v>
      </c>
      <c r="D849" s="2" t="s">
        <v>95</v>
      </c>
      <c r="E849" s="3">
        <v>5</v>
      </c>
      <c r="F849" s="3">
        <f>E849/3</f>
        <v>1.6666666666666667</v>
      </c>
      <c r="G849" s="4">
        <v>41940</v>
      </c>
    </row>
    <row r="850" spans="2:18" x14ac:dyDescent="0.2">
      <c r="C850" s="176" t="s">
        <v>5</v>
      </c>
      <c r="D850" s="176" t="s">
        <v>2034</v>
      </c>
      <c r="E850" s="3">
        <v>24</v>
      </c>
      <c r="F850" s="3">
        <v>12</v>
      </c>
      <c r="G850" s="4">
        <v>44719</v>
      </c>
    </row>
    <row r="851" spans="2:18" x14ac:dyDescent="0.2">
      <c r="C851" s="185" t="s">
        <v>5</v>
      </c>
      <c r="D851" s="185" t="s">
        <v>2031</v>
      </c>
      <c r="E851" s="3">
        <v>18.5</v>
      </c>
      <c r="F851" s="3">
        <f>E851/4</f>
        <v>4.625</v>
      </c>
      <c r="G851" s="4">
        <v>44561</v>
      </c>
    </row>
    <row r="852" spans="2:18" x14ac:dyDescent="0.2">
      <c r="C852" s="185" t="s">
        <v>4</v>
      </c>
      <c r="D852" s="185" t="s">
        <v>2031</v>
      </c>
      <c r="E852" s="3">
        <v>5.8</v>
      </c>
      <c r="F852" s="3">
        <f>E852/3</f>
        <v>1.9333333333333333</v>
      </c>
      <c r="G852" s="4">
        <v>44348</v>
      </c>
    </row>
    <row r="853" spans="2:18" x14ac:dyDescent="0.2">
      <c r="C853" s="253" t="s">
        <v>278</v>
      </c>
      <c r="D853" s="253" t="s">
        <v>7616</v>
      </c>
      <c r="E853" s="3">
        <v>2.2000000000000002</v>
      </c>
      <c r="F853" s="3">
        <f>1.2/3</f>
        <v>0.39999999999999997</v>
      </c>
      <c r="G853" s="4">
        <v>43906</v>
      </c>
    </row>
    <row r="854" spans="2:18" x14ac:dyDescent="0.2">
      <c r="G854" s="4"/>
    </row>
    <row r="855" spans="2:18" s="12" customFormat="1" x14ac:dyDescent="0.2">
      <c r="B855" s="12" t="s">
        <v>241</v>
      </c>
      <c r="C855" s="13" t="s">
        <v>969</v>
      </c>
      <c r="D855" s="13" t="s">
        <v>968</v>
      </c>
      <c r="E855" s="15"/>
      <c r="F855" s="15">
        <f>SUM(F856:F857)</f>
        <v>162.5</v>
      </c>
      <c r="G855" s="14">
        <f>G857</f>
        <v>44510</v>
      </c>
      <c r="M855" s="13"/>
      <c r="N855" s="13"/>
      <c r="O855" s="13"/>
      <c r="P855" s="13"/>
      <c r="Q855" s="13"/>
      <c r="R855" s="13"/>
    </row>
    <row r="856" spans="2:18" x14ac:dyDescent="0.2">
      <c r="C856" s="2" t="s">
        <v>8</v>
      </c>
      <c r="D856" s="2" t="s">
        <v>232</v>
      </c>
      <c r="E856" s="3">
        <v>750</v>
      </c>
      <c r="F856" s="3">
        <f>450/4</f>
        <v>112.5</v>
      </c>
      <c r="G856" s="4">
        <v>43593</v>
      </c>
    </row>
    <row r="857" spans="2:18" x14ac:dyDescent="0.2">
      <c r="C857" s="2" t="s">
        <v>53</v>
      </c>
      <c r="D857" s="2" t="s">
        <v>240</v>
      </c>
      <c r="E857" s="3">
        <v>250</v>
      </c>
      <c r="F857" s="3">
        <v>50</v>
      </c>
      <c r="G857" s="4">
        <v>44510</v>
      </c>
    </row>
    <row r="858" spans="2:18" x14ac:dyDescent="0.2">
      <c r="G858" s="4"/>
    </row>
    <row r="859" spans="2:18" s="12" customFormat="1" x14ac:dyDescent="0.2">
      <c r="B859" s="12" t="s">
        <v>1104</v>
      </c>
      <c r="C859" s="13" t="s">
        <v>969</v>
      </c>
      <c r="D859" s="13" t="s">
        <v>968</v>
      </c>
      <c r="E859" s="15"/>
      <c r="F859" s="15">
        <f>SUM(F860:F867)</f>
        <v>160.66666666666666</v>
      </c>
      <c r="G859" s="14">
        <f>G860</f>
        <v>44378</v>
      </c>
      <c r="M859" s="13"/>
      <c r="N859" s="13"/>
      <c r="O859" s="13"/>
      <c r="P859" s="13"/>
      <c r="Q859" s="13"/>
      <c r="R859" s="13"/>
    </row>
    <row r="860" spans="2:18" x14ac:dyDescent="0.2">
      <c r="C860" s="2" t="s">
        <v>5</v>
      </c>
      <c r="D860" s="2" t="s">
        <v>864</v>
      </c>
      <c r="E860" s="3">
        <v>10</v>
      </c>
      <c r="F860" s="3">
        <v>3</v>
      </c>
      <c r="G860" s="4">
        <v>44378</v>
      </c>
    </row>
    <row r="861" spans="2:18" x14ac:dyDescent="0.2">
      <c r="C861" s="2" t="s">
        <v>8</v>
      </c>
      <c r="D861" s="2" t="s">
        <v>211</v>
      </c>
      <c r="E861" s="3">
        <v>700</v>
      </c>
      <c r="F861" s="3">
        <f>400/12</f>
        <v>33.333333333333336</v>
      </c>
      <c r="G861" s="4">
        <v>44218</v>
      </c>
    </row>
    <row r="862" spans="2:18" x14ac:dyDescent="0.2">
      <c r="C862" s="2" t="s">
        <v>18</v>
      </c>
      <c r="D862" s="2" t="s">
        <v>211</v>
      </c>
      <c r="E862" s="3">
        <v>140</v>
      </c>
      <c r="F862" s="3">
        <f>E862/9</f>
        <v>15.555555555555555</v>
      </c>
      <c r="G862" s="4">
        <v>43453</v>
      </c>
    </row>
    <row r="863" spans="2:18" x14ac:dyDescent="0.2">
      <c r="C863" s="2" t="s">
        <v>7</v>
      </c>
      <c r="D863" s="2" t="s">
        <v>161</v>
      </c>
      <c r="E863" s="3">
        <v>462</v>
      </c>
      <c r="F863" s="3">
        <f>162/2</f>
        <v>81</v>
      </c>
      <c r="G863" s="4">
        <v>43886</v>
      </c>
      <c r="I863" s="1">
        <v>2500</v>
      </c>
      <c r="J863" s="1">
        <v>8400</v>
      </c>
    </row>
    <row r="864" spans="2:18" x14ac:dyDescent="0.2">
      <c r="C864" s="2" t="s">
        <v>5</v>
      </c>
      <c r="D864" s="2" t="s">
        <v>161</v>
      </c>
      <c r="E864" s="3">
        <v>102</v>
      </c>
      <c r="F864" s="3">
        <f>70/9</f>
        <v>7.7777777777777777</v>
      </c>
      <c r="G864" s="4">
        <v>43292</v>
      </c>
      <c r="J864" s="1">
        <v>8400</v>
      </c>
    </row>
    <row r="865" spans="2:18" x14ac:dyDescent="0.2">
      <c r="C865" s="2" t="s">
        <v>9</v>
      </c>
      <c r="D865" s="2" t="s">
        <v>148</v>
      </c>
      <c r="E865" s="3">
        <v>300</v>
      </c>
      <c r="F865" s="6" t="s">
        <v>1047</v>
      </c>
      <c r="G865" s="4">
        <v>44271</v>
      </c>
    </row>
    <row r="866" spans="2:18" x14ac:dyDescent="0.2">
      <c r="C866" s="2" t="s">
        <v>8</v>
      </c>
      <c r="D866" s="2" t="s">
        <v>148</v>
      </c>
      <c r="E866" s="3">
        <v>38</v>
      </c>
      <c r="F866" s="6" t="s">
        <v>1046</v>
      </c>
      <c r="G866" s="4">
        <v>43266</v>
      </c>
    </row>
    <row r="867" spans="2:18" x14ac:dyDescent="0.2">
      <c r="C867" s="2" t="s">
        <v>8</v>
      </c>
      <c r="D867" s="2" t="s">
        <v>2137</v>
      </c>
      <c r="E867" s="3">
        <v>220</v>
      </c>
      <c r="F867" s="6">
        <v>20</v>
      </c>
      <c r="G867" s="4">
        <v>44287</v>
      </c>
    </row>
    <row r="868" spans="2:18" x14ac:dyDescent="0.2">
      <c r="G868" s="4"/>
    </row>
    <row r="869" spans="2:18" s="12" customFormat="1" x14ac:dyDescent="0.2">
      <c r="B869" s="12" t="s">
        <v>1109</v>
      </c>
      <c r="C869" s="13" t="s">
        <v>969</v>
      </c>
      <c r="D869" s="13" t="s">
        <v>968</v>
      </c>
      <c r="E869" s="15"/>
      <c r="F869" s="15">
        <f>SUM(F870:F875)</f>
        <v>160.33333333333334</v>
      </c>
      <c r="G869" s="14">
        <f>G874</f>
        <v>44271</v>
      </c>
      <c r="M869" s="13"/>
      <c r="N869" s="13"/>
      <c r="O869" s="13"/>
      <c r="P869" s="13"/>
      <c r="Q869" s="13"/>
      <c r="R869" s="13"/>
    </row>
    <row r="870" spans="2:18" x14ac:dyDescent="0.2">
      <c r="C870" s="2" t="s">
        <v>7</v>
      </c>
      <c r="D870" s="2" t="s">
        <v>245</v>
      </c>
      <c r="E870" s="3">
        <v>100</v>
      </c>
      <c r="F870" s="3">
        <v>25</v>
      </c>
      <c r="G870" s="4">
        <v>42576</v>
      </c>
    </row>
    <row r="871" spans="2:18" x14ac:dyDescent="0.2">
      <c r="C871" s="2" t="s">
        <v>8</v>
      </c>
      <c r="D871" s="2" t="s">
        <v>211</v>
      </c>
      <c r="E871" s="3">
        <v>700</v>
      </c>
      <c r="F871" s="3">
        <v>33</v>
      </c>
      <c r="G871" s="4">
        <v>44218</v>
      </c>
    </row>
    <row r="872" spans="2:18" x14ac:dyDescent="0.2">
      <c r="C872" s="2" t="s">
        <v>18</v>
      </c>
      <c r="D872" s="2" t="s">
        <v>211</v>
      </c>
      <c r="E872" s="3">
        <v>230</v>
      </c>
      <c r="F872" s="3">
        <f>E872/6</f>
        <v>38.333333333333336</v>
      </c>
      <c r="G872" s="4">
        <v>43923</v>
      </c>
    </row>
    <row r="873" spans="2:18" x14ac:dyDescent="0.2">
      <c r="C873" s="2" t="s">
        <v>18</v>
      </c>
      <c r="D873" s="2" t="s">
        <v>161</v>
      </c>
      <c r="E873" s="3">
        <v>100</v>
      </c>
      <c r="F873" s="3">
        <f>70/5</f>
        <v>14</v>
      </c>
      <c r="G873" s="4">
        <v>44235</v>
      </c>
      <c r="J873" s="1">
        <v>8400</v>
      </c>
    </row>
    <row r="874" spans="2:18" x14ac:dyDescent="0.2">
      <c r="C874" s="2" t="s">
        <v>9</v>
      </c>
      <c r="D874" s="2" t="s">
        <v>148</v>
      </c>
      <c r="E874" s="3">
        <v>300</v>
      </c>
      <c r="F874" s="6" t="s">
        <v>1047</v>
      </c>
      <c r="G874" s="4">
        <v>44271</v>
      </c>
    </row>
    <row r="875" spans="2:18" x14ac:dyDescent="0.2">
      <c r="C875" s="2" t="s">
        <v>18</v>
      </c>
      <c r="D875" s="2" t="s">
        <v>80</v>
      </c>
      <c r="E875" s="3">
        <v>257</v>
      </c>
      <c r="F875" s="6">
        <v>50</v>
      </c>
      <c r="G875" s="4">
        <v>44201</v>
      </c>
    </row>
    <row r="876" spans="2:18" x14ac:dyDescent="0.2">
      <c r="G876" s="4"/>
    </row>
    <row r="877" spans="2:18" x14ac:dyDescent="0.2">
      <c r="B877" s="12" t="s">
        <v>1103</v>
      </c>
      <c r="C877" s="13" t="s">
        <v>969</v>
      </c>
      <c r="D877" s="13" t="s">
        <v>968</v>
      </c>
      <c r="F877" s="15">
        <f>SUM(F878:F890)</f>
        <v>154.78571428571428</v>
      </c>
      <c r="G877" s="14">
        <f>G878</f>
        <v>44852</v>
      </c>
    </row>
    <row r="878" spans="2:18" x14ac:dyDescent="0.2">
      <c r="B878" s="265" t="s">
        <v>7664</v>
      </c>
      <c r="C878" s="2" t="s">
        <v>5</v>
      </c>
      <c r="D878" s="2" t="s">
        <v>763</v>
      </c>
      <c r="E878" s="3">
        <v>125</v>
      </c>
      <c r="F878" s="3">
        <v>15</v>
      </c>
      <c r="G878" s="4">
        <v>44852</v>
      </c>
    </row>
    <row r="879" spans="2:18" x14ac:dyDescent="0.2">
      <c r="C879" s="2" t="s">
        <v>5</v>
      </c>
      <c r="D879" s="2" t="s">
        <v>716</v>
      </c>
      <c r="E879" s="3">
        <v>12.5</v>
      </c>
      <c r="F879" s="3">
        <v>2</v>
      </c>
      <c r="G879" s="4">
        <v>44784</v>
      </c>
    </row>
    <row r="880" spans="2:18" x14ac:dyDescent="0.2">
      <c r="C880" s="2" t="s">
        <v>5</v>
      </c>
      <c r="D880" s="2" t="s">
        <v>716</v>
      </c>
      <c r="E880" s="3">
        <v>10</v>
      </c>
      <c r="F880" s="3">
        <v>2</v>
      </c>
      <c r="G880" s="4">
        <v>44110</v>
      </c>
    </row>
    <row r="881" spans="2:11" x14ac:dyDescent="0.2">
      <c r="C881" s="2" t="s">
        <v>7</v>
      </c>
      <c r="D881" s="2" t="s">
        <v>606</v>
      </c>
      <c r="E881" s="3">
        <v>25</v>
      </c>
      <c r="F881" s="3">
        <v>2</v>
      </c>
      <c r="G881" s="4">
        <v>43440</v>
      </c>
    </row>
    <row r="882" spans="2:11" x14ac:dyDescent="0.2">
      <c r="C882" s="2" t="s">
        <v>18</v>
      </c>
      <c r="D882" s="2" t="s">
        <v>374</v>
      </c>
      <c r="E882" s="3">
        <v>130</v>
      </c>
      <c r="F882" s="3">
        <v>14.285714285714286</v>
      </c>
      <c r="G882" s="4">
        <v>44323</v>
      </c>
    </row>
    <row r="883" spans="2:11" x14ac:dyDescent="0.2">
      <c r="C883" s="2" t="s">
        <v>7</v>
      </c>
      <c r="D883" s="2" t="s">
        <v>374</v>
      </c>
      <c r="E883" s="3">
        <v>44</v>
      </c>
      <c r="F883" s="3">
        <v>5</v>
      </c>
      <c r="G883" s="4">
        <v>43909</v>
      </c>
    </row>
    <row r="884" spans="2:11" x14ac:dyDescent="0.2">
      <c r="C884" s="2" t="s">
        <v>5</v>
      </c>
      <c r="D884" s="2" t="s">
        <v>374</v>
      </c>
      <c r="E884" s="3">
        <v>15</v>
      </c>
      <c r="F884" s="3">
        <v>3</v>
      </c>
      <c r="G884" s="4">
        <v>43452</v>
      </c>
    </row>
    <row r="885" spans="2:11" x14ac:dyDescent="0.2">
      <c r="C885" s="2" t="s">
        <v>4</v>
      </c>
      <c r="D885" s="2" t="s">
        <v>374</v>
      </c>
      <c r="E885" s="3">
        <v>2.5</v>
      </c>
      <c r="F885" s="3">
        <v>1.5</v>
      </c>
      <c r="G885" s="4">
        <v>42936</v>
      </c>
    </row>
    <row r="886" spans="2:11" x14ac:dyDescent="0.2">
      <c r="C886" s="2" t="s">
        <v>8</v>
      </c>
      <c r="D886" s="2" t="s">
        <v>15</v>
      </c>
      <c r="E886" s="3">
        <v>220</v>
      </c>
      <c r="F886" s="3">
        <v>30</v>
      </c>
      <c r="G886" s="4">
        <v>44502</v>
      </c>
      <c r="I886" s="1">
        <v>794</v>
      </c>
      <c r="J886" s="1">
        <v>794</v>
      </c>
    </row>
    <row r="887" spans="2:11" x14ac:dyDescent="0.2">
      <c r="C887" s="2" t="s">
        <v>8</v>
      </c>
      <c r="D887" s="2" t="s">
        <v>15</v>
      </c>
      <c r="E887" s="3">
        <v>220</v>
      </c>
      <c r="F887" s="3">
        <v>27</v>
      </c>
      <c r="G887" s="4">
        <v>44322</v>
      </c>
      <c r="I887" s="1">
        <v>780</v>
      </c>
      <c r="J887" s="1">
        <v>780</v>
      </c>
    </row>
    <row r="888" spans="2:11" x14ac:dyDescent="0.2">
      <c r="C888" s="2" t="s">
        <v>18</v>
      </c>
      <c r="D888" s="2" t="s">
        <v>15</v>
      </c>
      <c r="E888" s="3">
        <v>60</v>
      </c>
      <c r="F888" s="3">
        <v>30</v>
      </c>
      <c r="G888" s="4">
        <v>43528</v>
      </c>
    </row>
    <row r="889" spans="2:11" x14ac:dyDescent="0.2">
      <c r="C889" s="93" t="s">
        <v>7</v>
      </c>
      <c r="D889" s="93" t="s">
        <v>2079</v>
      </c>
      <c r="E889" s="3">
        <v>100</v>
      </c>
      <c r="F889" s="3">
        <f>70/5</f>
        <v>14</v>
      </c>
      <c r="G889" s="4">
        <v>44937</v>
      </c>
      <c r="I889" s="1">
        <v>900</v>
      </c>
      <c r="J889" s="1">
        <v>900</v>
      </c>
    </row>
    <row r="890" spans="2:11" x14ac:dyDescent="0.2">
      <c r="C890" s="185" t="s">
        <v>5</v>
      </c>
      <c r="D890" s="185" t="s">
        <v>2030</v>
      </c>
      <c r="E890" s="3">
        <v>21</v>
      </c>
      <c r="F890" s="3">
        <v>9</v>
      </c>
      <c r="G890" s="4">
        <v>44334</v>
      </c>
    </row>
    <row r="891" spans="2:11" x14ac:dyDescent="0.2">
      <c r="G891" s="4"/>
    </row>
    <row r="892" spans="2:11" x14ac:dyDescent="0.2">
      <c r="B892" s="12" t="s">
        <v>6735</v>
      </c>
      <c r="C892" s="13" t="s">
        <v>969</v>
      </c>
      <c r="D892" s="13" t="s">
        <v>968</v>
      </c>
      <c r="E892" s="15"/>
      <c r="F892" s="15">
        <f>SUM(F893:F906)</f>
        <v>427.0488095238095</v>
      </c>
      <c r="G892" s="14">
        <f>G903</f>
        <v>45183</v>
      </c>
      <c r="I892" s="1" t="s">
        <v>1</v>
      </c>
      <c r="J892" s="1" t="s">
        <v>1</v>
      </c>
      <c r="K892" s="1" t="s">
        <v>1</v>
      </c>
    </row>
    <row r="893" spans="2:11" x14ac:dyDescent="0.2">
      <c r="C893" s="2" t="s">
        <v>18</v>
      </c>
      <c r="D893" s="2" t="s">
        <v>952</v>
      </c>
      <c r="E893" s="3">
        <v>270</v>
      </c>
      <c r="F893" s="3">
        <v>24</v>
      </c>
      <c r="G893" s="4">
        <v>45048</v>
      </c>
    </row>
    <row r="894" spans="2:11" x14ac:dyDescent="0.2">
      <c r="C894" s="2" t="s">
        <v>7</v>
      </c>
      <c r="D894" s="2" t="s">
        <v>949</v>
      </c>
      <c r="E894" s="3">
        <v>350</v>
      </c>
      <c r="F894" s="3">
        <v>20</v>
      </c>
      <c r="G894" s="4">
        <v>44999</v>
      </c>
    </row>
    <row r="895" spans="2:11" x14ac:dyDescent="0.2">
      <c r="C895" s="2" t="s">
        <v>7</v>
      </c>
      <c r="D895" s="2" t="s">
        <v>456</v>
      </c>
      <c r="E895" s="3">
        <v>26.8</v>
      </c>
      <c r="F895" s="3">
        <f>20/5</f>
        <v>4</v>
      </c>
      <c r="G895" s="4">
        <v>44600</v>
      </c>
    </row>
    <row r="896" spans="2:11" x14ac:dyDescent="0.2">
      <c r="C896" s="2" t="s">
        <v>8</v>
      </c>
      <c r="D896" s="2" t="s">
        <v>131</v>
      </c>
      <c r="E896" s="3">
        <v>135</v>
      </c>
      <c r="F896" s="3">
        <v>8</v>
      </c>
      <c r="G896" s="4">
        <v>44880</v>
      </c>
    </row>
    <row r="897" spans="2:18" x14ac:dyDescent="0.2">
      <c r="C897" s="2" t="s">
        <v>18</v>
      </c>
      <c r="D897" s="2" t="s">
        <v>131</v>
      </c>
      <c r="E897" s="3">
        <v>73</v>
      </c>
      <c r="F897" s="3">
        <f>53/7</f>
        <v>7.5714285714285712</v>
      </c>
      <c r="G897" s="4">
        <v>44565</v>
      </c>
    </row>
    <row r="898" spans="2:18" x14ac:dyDescent="0.2">
      <c r="C898" s="2" t="s">
        <v>18</v>
      </c>
      <c r="D898" s="2" t="s">
        <v>131</v>
      </c>
      <c r="E898" s="3">
        <v>31.7</v>
      </c>
      <c r="F898" s="3">
        <v>7</v>
      </c>
      <c r="G898" s="4">
        <v>43599</v>
      </c>
    </row>
    <row r="899" spans="2:18" x14ac:dyDescent="0.2">
      <c r="C899" s="2" t="s">
        <v>9</v>
      </c>
      <c r="D899" s="2" t="s">
        <v>39</v>
      </c>
      <c r="E899" s="3">
        <v>230</v>
      </c>
      <c r="F899" s="3">
        <v>24</v>
      </c>
      <c r="G899" s="4">
        <v>44984</v>
      </c>
      <c r="I899" s="1">
        <v>2000</v>
      </c>
      <c r="J899" s="1">
        <v>2000</v>
      </c>
    </row>
    <row r="900" spans="2:18" x14ac:dyDescent="0.2">
      <c r="C900" s="52" t="s">
        <v>8</v>
      </c>
      <c r="D900" s="52" t="s">
        <v>4897</v>
      </c>
      <c r="E900" s="3">
        <v>83</v>
      </c>
      <c r="F900" s="3">
        <f>68/10</f>
        <v>6.8</v>
      </c>
      <c r="G900" s="4">
        <v>44320</v>
      </c>
      <c r="I900" s="1">
        <v>3600</v>
      </c>
      <c r="J900" s="1">
        <v>3600</v>
      </c>
    </row>
    <row r="901" spans="2:18" x14ac:dyDescent="0.2">
      <c r="C901" s="55" t="s">
        <v>9</v>
      </c>
      <c r="D901" s="55" t="s">
        <v>2115</v>
      </c>
      <c r="E901" s="3">
        <v>100</v>
      </c>
      <c r="F901" s="3">
        <f>75/7</f>
        <v>10.714285714285714</v>
      </c>
      <c r="G901" s="4">
        <v>44507</v>
      </c>
      <c r="I901" s="1">
        <v>1600</v>
      </c>
      <c r="J901" s="1">
        <v>1600</v>
      </c>
    </row>
    <row r="902" spans="2:18" x14ac:dyDescent="0.2">
      <c r="C902" s="55" t="s">
        <v>53</v>
      </c>
      <c r="D902" s="55" t="s">
        <v>5013</v>
      </c>
      <c r="E902" s="3">
        <v>100</v>
      </c>
      <c r="F902" s="3">
        <f>70/5</f>
        <v>14</v>
      </c>
      <c r="G902" s="4">
        <v>44474</v>
      </c>
    </row>
    <row r="903" spans="2:18" x14ac:dyDescent="0.2">
      <c r="C903" s="282" t="s">
        <v>7933</v>
      </c>
      <c r="D903" s="282" t="s">
        <v>1006</v>
      </c>
      <c r="E903" s="3">
        <v>684.6</v>
      </c>
      <c r="F903" s="3">
        <f>584.6/21</f>
        <v>27.838095238095239</v>
      </c>
      <c r="G903" s="4">
        <v>45183</v>
      </c>
      <c r="I903" s="1">
        <v>42500</v>
      </c>
      <c r="J903" s="1">
        <v>42500</v>
      </c>
    </row>
    <row r="904" spans="2:18" x14ac:dyDescent="0.2">
      <c r="C904" s="282" t="s">
        <v>8</v>
      </c>
      <c r="D904" s="282" t="s">
        <v>3736</v>
      </c>
      <c r="E904" s="3">
        <v>235</v>
      </c>
      <c r="F904" s="3">
        <f>185/8</f>
        <v>23.125</v>
      </c>
      <c r="G904" s="4">
        <v>45161</v>
      </c>
      <c r="I904" s="1">
        <v>4300</v>
      </c>
      <c r="J904" s="1">
        <v>4300</v>
      </c>
    </row>
    <row r="905" spans="2:18" x14ac:dyDescent="0.2">
      <c r="C905" s="282" t="s">
        <v>7</v>
      </c>
      <c r="D905" s="282" t="s">
        <v>1133</v>
      </c>
      <c r="E905" s="3">
        <v>1300</v>
      </c>
      <c r="F905" s="3">
        <v>220</v>
      </c>
      <c r="G905" s="4">
        <v>45106</v>
      </c>
      <c r="I905" s="1">
        <v>4000</v>
      </c>
      <c r="J905" s="1">
        <v>4000</v>
      </c>
    </row>
    <row r="906" spans="2:18" x14ac:dyDescent="0.2">
      <c r="C906" s="282" t="s">
        <v>1040</v>
      </c>
      <c r="D906" s="282" t="s">
        <v>957</v>
      </c>
      <c r="E906" s="3">
        <v>141</v>
      </c>
      <c r="F906" s="3">
        <v>30</v>
      </c>
      <c r="G906" s="4">
        <v>45106</v>
      </c>
      <c r="I906" s="1">
        <v>1400</v>
      </c>
      <c r="J906" s="1">
        <v>1400</v>
      </c>
    </row>
    <row r="907" spans="2:18" x14ac:dyDescent="0.2">
      <c r="G907" s="4"/>
    </row>
    <row r="908" spans="2:18" s="12" customFormat="1" x14ac:dyDescent="0.2">
      <c r="B908" s="12" t="s">
        <v>1106</v>
      </c>
      <c r="C908" s="13" t="s">
        <v>969</v>
      </c>
      <c r="D908" s="13" t="s">
        <v>968</v>
      </c>
      <c r="E908" s="15"/>
      <c r="F908" s="15">
        <f>SUM(F909:F912)</f>
        <v>151.5</v>
      </c>
      <c r="G908" s="14">
        <f>G910</f>
        <v>44867</v>
      </c>
      <c r="M908" s="13"/>
      <c r="N908" s="13"/>
      <c r="O908" s="13"/>
      <c r="P908" s="13"/>
      <c r="Q908" s="13"/>
      <c r="R908" s="13"/>
    </row>
    <row r="909" spans="2:18" x14ac:dyDescent="0.2">
      <c r="B909" s="250" t="s">
        <v>7666</v>
      </c>
      <c r="C909" s="2" t="s">
        <v>9</v>
      </c>
      <c r="D909" s="2" t="s">
        <v>803</v>
      </c>
      <c r="E909" s="3">
        <v>325</v>
      </c>
      <c r="F909" s="3">
        <v>18.5</v>
      </c>
      <c r="G909" s="4">
        <v>44299</v>
      </c>
    </row>
    <row r="910" spans="2:18" x14ac:dyDescent="0.2">
      <c r="B910" s="266" t="s">
        <v>7665</v>
      </c>
      <c r="C910" s="2" t="s">
        <v>18</v>
      </c>
      <c r="D910" s="2" t="s">
        <v>318</v>
      </c>
      <c r="E910" s="3">
        <v>91</v>
      </c>
      <c r="F910" s="3">
        <v>21</v>
      </c>
      <c r="G910" s="4">
        <v>44867</v>
      </c>
    </row>
    <row r="911" spans="2:18" x14ac:dyDescent="0.2">
      <c r="C911" s="2" t="s">
        <v>8</v>
      </c>
      <c r="D911" s="2" t="s">
        <v>176</v>
      </c>
      <c r="E911" s="3">
        <v>130</v>
      </c>
      <c r="F911" s="3">
        <v>12</v>
      </c>
      <c r="G911" s="4">
        <v>42080</v>
      </c>
    </row>
    <row r="912" spans="2:18" x14ac:dyDescent="0.2">
      <c r="C912" s="2" t="s">
        <v>53</v>
      </c>
      <c r="D912" s="2" t="s">
        <v>154</v>
      </c>
      <c r="E912" s="3">
        <v>200</v>
      </c>
      <c r="F912" s="3">
        <v>100</v>
      </c>
      <c r="G912" s="4">
        <v>44907</v>
      </c>
      <c r="I912" s="1">
        <v>3500</v>
      </c>
    </row>
    <row r="913" spans="2:18" x14ac:dyDescent="0.2">
      <c r="G913" s="4"/>
    </row>
    <row r="914" spans="2:18" s="12" customFormat="1" x14ac:dyDescent="0.2">
      <c r="B914" s="12" t="s">
        <v>231</v>
      </c>
      <c r="C914" s="13" t="s">
        <v>969</v>
      </c>
      <c r="D914" s="13" t="s">
        <v>968</v>
      </c>
      <c r="E914" s="15"/>
      <c r="F914" s="15">
        <f>SUM(F915:F916)</f>
        <v>150</v>
      </c>
      <c r="G914" s="14">
        <f>G915</f>
        <v>44218</v>
      </c>
      <c r="M914" s="13"/>
      <c r="N914" s="13"/>
      <c r="O914" s="13"/>
      <c r="P914" s="13"/>
      <c r="Q914" s="13"/>
      <c r="R914" s="13"/>
    </row>
    <row r="915" spans="2:18" x14ac:dyDescent="0.2">
      <c r="C915" s="2" t="s">
        <v>8</v>
      </c>
      <c r="D915" s="2" t="s">
        <v>211</v>
      </c>
      <c r="E915" s="3">
        <v>700</v>
      </c>
      <c r="F915" s="3">
        <v>100</v>
      </c>
      <c r="G915" s="4">
        <v>44218</v>
      </c>
    </row>
    <row r="916" spans="2:18" x14ac:dyDescent="0.2">
      <c r="C916" s="2" t="s">
        <v>18</v>
      </c>
      <c r="D916" s="2" t="s">
        <v>80</v>
      </c>
      <c r="E916" s="3">
        <v>257</v>
      </c>
      <c r="F916" s="3">
        <v>50</v>
      </c>
      <c r="G916" s="4">
        <v>44201</v>
      </c>
    </row>
    <row r="917" spans="2:18" x14ac:dyDescent="0.2">
      <c r="G917" s="4"/>
    </row>
    <row r="918" spans="2:18" s="12" customFormat="1" x14ac:dyDescent="0.2">
      <c r="B918" s="12" t="s">
        <v>247</v>
      </c>
      <c r="C918" s="13" t="s">
        <v>969</v>
      </c>
      <c r="D918" s="13" t="s">
        <v>968</v>
      </c>
      <c r="E918" s="15"/>
      <c r="F918" s="15">
        <f>SUM(F919:F920)</f>
        <v>150</v>
      </c>
      <c r="G918" s="14">
        <f>G919</f>
        <v>43223</v>
      </c>
      <c r="M918" s="13"/>
      <c r="N918" s="13"/>
      <c r="O918" s="13"/>
      <c r="P918" s="13"/>
      <c r="Q918" s="13"/>
      <c r="R918" s="13"/>
    </row>
    <row r="919" spans="2:18" x14ac:dyDescent="0.2">
      <c r="C919" s="2" t="s">
        <v>18</v>
      </c>
      <c r="D919" s="2" t="s">
        <v>245</v>
      </c>
      <c r="E919" s="3">
        <v>820</v>
      </c>
      <c r="F919" s="3">
        <f>600/6</f>
        <v>100</v>
      </c>
      <c r="G919" s="4">
        <v>43223</v>
      </c>
    </row>
    <row r="920" spans="2:18" x14ac:dyDescent="0.2">
      <c r="C920" s="2" t="s">
        <v>7</v>
      </c>
      <c r="D920" s="2" t="s">
        <v>245</v>
      </c>
      <c r="E920" s="3">
        <v>100</v>
      </c>
      <c r="F920" s="3">
        <v>50</v>
      </c>
      <c r="G920" s="4">
        <v>42576</v>
      </c>
    </row>
    <row r="921" spans="2:18" x14ac:dyDescent="0.2">
      <c r="G921" s="4"/>
    </row>
    <row r="922" spans="2:18" s="12" customFormat="1" x14ac:dyDescent="0.2">
      <c r="B922" s="12" t="s">
        <v>7667</v>
      </c>
      <c r="C922" s="13" t="s">
        <v>969</v>
      </c>
      <c r="D922" s="13" t="s">
        <v>968</v>
      </c>
      <c r="E922" s="15"/>
      <c r="F922" s="15">
        <f>SUM(F923:F934)</f>
        <v>147.95476190476191</v>
      </c>
      <c r="G922" s="14">
        <f>G923</f>
        <v>44776</v>
      </c>
    </row>
    <row r="923" spans="2:18" x14ac:dyDescent="0.2">
      <c r="C923" s="2" t="s">
        <v>8</v>
      </c>
      <c r="D923" s="2" t="s">
        <v>448</v>
      </c>
      <c r="E923" s="3">
        <v>90</v>
      </c>
      <c r="F923" s="3">
        <v>20</v>
      </c>
      <c r="G923" s="4">
        <v>44776</v>
      </c>
      <c r="M923" s="1"/>
      <c r="N923" s="1"/>
      <c r="O923" s="1"/>
      <c r="P923" s="1"/>
      <c r="Q923" s="1"/>
      <c r="R923" s="1"/>
    </row>
    <row r="924" spans="2:18" x14ac:dyDescent="0.2">
      <c r="C924" s="2" t="s">
        <v>8</v>
      </c>
      <c r="D924" s="2" t="s">
        <v>211</v>
      </c>
      <c r="E924" s="3">
        <v>700</v>
      </c>
      <c r="F924" s="3">
        <f>400/12</f>
        <v>33.333333333333336</v>
      </c>
      <c r="G924" s="4">
        <v>44218</v>
      </c>
      <c r="M924" s="1"/>
      <c r="N924" s="1"/>
      <c r="O924" s="1"/>
      <c r="P924" s="1"/>
      <c r="Q924" s="1"/>
      <c r="R924" s="1"/>
    </row>
    <row r="925" spans="2:18" x14ac:dyDescent="0.2">
      <c r="C925" s="2" t="s">
        <v>7</v>
      </c>
      <c r="D925" s="2" t="s">
        <v>108</v>
      </c>
      <c r="E925" s="3">
        <v>37</v>
      </c>
      <c r="F925" s="3">
        <v>6.5</v>
      </c>
      <c r="G925" s="4">
        <v>43783</v>
      </c>
      <c r="M925" s="1"/>
      <c r="N925" s="1"/>
      <c r="O925" s="1"/>
      <c r="P925" s="1"/>
      <c r="Q925" s="1"/>
      <c r="R925" s="1"/>
    </row>
    <row r="926" spans="2:18" x14ac:dyDescent="0.2">
      <c r="C926" s="2" t="s">
        <v>5</v>
      </c>
      <c r="D926" s="2" t="s">
        <v>108</v>
      </c>
      <c r="E926" s="3">
        <v>15</v>
      </c>
      <c r="F926" s="3">
        <f>E926/2</f>
        <v>7.5</v>
      </c>
      <c r="G926" s="4">
        <v>43262</v>
      </c>
      <c r="M926" s="1"/>
      <c r="N926" s="1"/>
      <c r="O926" s="1"/>
      <c r="P926" s="1"/>
      <c r="Q926" s="1"/>
      <c r="R926" s="1"/>
    </row>
    <row r="927" spans="2:18" x14ac:dyDescent="0.2">
      <c r="C927" s="2" t="s">
        <v>8</v>
      </c>
      <c r="D927" s="2" t="s">
        <v>102</v>
      </c>
      <c r="E927" s="3">
        <v>30</v>
      </c>
      <c r="F927" s="3">
        <f>20/7</f>
        <v>2.8571428571428572</v>
      </c>
      <c r="G927" s="4">
        <v>43178</v>
      </c>
      <c r="M927" s="1"/>
      <c r="N927" s="1"/>
      <c r="O927" s="1"/>
      <c r="P927" s="1"/>
      <c r="Q927" s="1"/>
      <c r="R927" s="1"/>
    </row>
    <row r="928" spans="2:18" x14ac:dyDescent="0.2">
      <c r="C928" s="2" t="s">
        <v>8</v>
      </c>
      <c r="D928" s="2" t="s">
        <v>102</v>
      </c>
      <c r="E928" s="3">
        <v>40</v>
      </c>
      <c r="F928" s="3">
        <v>7</v>
      </c>
      <c r="G928" s="4">
        <v>42493</v>
      </c>
      <c r="M928" s="1"/>
      <c r="N928" s="1"/>
      <c r="O928" s="1"/>
      <c r="P928" s="1"/>
      <c r="Q928" s="1"/>
      <c r="R928" s="1"/>
    </row>
    <row r="929" spans="2:18" x14ac:dyDescent="0.2">
      <c r="C929" s="2" t="s">
        <v>18</v>
      </c>
      <c r="D929" s="2" t="s">
        <v>102</v>
      </c>
      <c r="E929" s="3">
        <v>24</v>
      </c>
      <c r="F929" s="3">
        <v>12</v>
      </c>
      <c r="G929" s="4">
        <v>41921</v>
      </c>
      <c r="M929" s="1"/>
      <c r="N929" s="1"/>
      <c r="O929" s="1"/>
      <c r="P929" s="1"/>
      <c r="Q929" s="1"/>
      <c r="R929" s="1"/>
    </row>
    <row r="930" spans="2:18" x14ac:dyDescent="0.2">
      <c r="C930" s="52" t="s">
        <v>8</v>
      </c>
      <c r="D930" s="52" t="s">
        <v>4897</v>
      </c>
      <c r="E930" s="3">
        <v>83</v>
      </c>
      <c r="F930" s="3">
        <v>6.8</v>
      </c>
      <c r="G930" s="4">
        <v>44320</v>
      </c>
      <c r="I930" s="1">
        <v>3600</v>
      </c>
      <c r="J930" s="1">
        <v>3600</v>
      </c>
      <c r="M930" s="1"/>
      <c r="N930" s="1"/>
      <c r="O930" s="1"/>
      <c r="P930" s="1"/>
      <c r="Q930" s="1"/>
      <c r="R930" s="1"/>
    </row>
    <row r="931" spans="2:18" x14ac:dyDescent="0.2">
      <c r="C931" s="52" t="s">
        <v>18</v>
      </c>
      <c r="D931" s="52" t="s">
        <v>4897</v>
      </c>
      <c r="E931" s="3">
        <v>100</v>
      </c>
      <c r="F931" s="3">
        <v>10</v>
      </c>
      <c r="G931" s="4">
        <v>43937</v>
      </c>
      <c r="I931" s="1">
        <v>1100</v>
      </c>
      <c r="J931" s="1">
        <v>3600</v>
      </c>
      <c r="M931" s="1"/>
      <c r="N931" s="1"/>
      <c r="O931" s="1"/>
      <c r="P931" s="1"/>
      <c r="Q931" s="1"/>
      <c r="R931" s="1"/>
    </row>
    <row r="932" spans="2:18" x14ac:dyDescent="0.2">
      <c r="C932" s="52" t="s">
        <v>7</v>
      </c>
      <c r="D932" s="52" t="s">
        <v>4897</v>
      </c>
      <c r="E932" s="3">
        <v>25</v>
      </c>
      <c r="F932" s="3">
        <f>E932/4</f>
        <v>6.25</v>
      </c>
      <c r="G932" s="4">
        <v>43172</v>
      </c>
      <c r="J932" s="1">
        <v>3600</v>
      </c>
      <c r="M932" s="1"/>
      <c r="N932" s="1"/>
      <c r="O932" s="1"/>
      <c r="P932" s="1"/>
      <c r="Q932" s="1"/>
      <c r="R932" s="1"/>
    </row>
    <row r="933" spans="2:18" x14ac:dyDescent="0.2">
      <c r="C933" s="55" t="s">
        <v>9</v>
      </c>
      <c r="D933" s="55" t="s">
        <v>2115</v>
      </c>
      <c r="E933" s="3">
        <v>100</v>
      </c>
      <c r="F933" s="3">
        <f>75/7</f>
        <v>10.714285714285714</v>
      </c>
      <c r="G933" s="4">
        <v>44507</v>
      </c>
      <c r="I933" s="1">
        <v>1600</v>
      </c>
      <c r="J933" s="1">
        <v>1600</v>
      </c>
      <c r="M933" s="1"/>
      <c r="N933" s="1"/>
      <c r="O933" s="1"/>
      <c r="P933" s="1"/>
      <c r="Q933" s="1"/>
      <c r="R933" s="1"/>
    </row>
    <row r="934" spans="2:18" x14ac:dyDescent="0.2">
      <c r="C934" s="55" t="s">
        <v>8</v>
      </c>
      <c r="D934" s="55" t="s">
        <v>2115</v>
      </c>
      <c r="E934" s="3">
        <v>72.5</v>
      </c>
      <c r="F934" s="3">
        <v>25</v>
      </c>
      <c r="G934" s="4">
        <v>43697</v>
      </c>
      <c r="J934" s="1">
        <v>1600</v>
      </c>
      <c r="M934" s="1"/>
      <c r="N934" s="1"/>
      <c r="O934" s="1"/>
      <c r="P934" s="1"/>
      <c r="Q934" s="1"/>
      <c r="R934" s="1"/>
    </row>
    <row r="935" spans="2:18" x14ac:dyDescent="0.2">
      <c r="G935" s="4"/>
      <c r="M935" s="1"/>
      <c r="N935" s="1"/>
      <c r="O935" s="1"/>
      <c r="P935" s="1"/>
      <c r="Q935" s="1"/>
      <c r="R935" s="1"/>
    </row>
    <row r="936" spans="2:18" x14ac:dyDescent="0.2">
      <c r="B936" s="12" t="s">
        <v>1083</v>
      </c>
      <c r="C936" s="13" t="s">
        <v>969</v>
      </c>
      <c r="D936" s="13" t="s">
        <v>968</v>
      </c>
      <c r="E936" s="15"/>
      <c r="F936" s="15">
        <f>SUM(F937:F941)</f>
        <v>175.60728663446054</v>
      </c>
      <c r="G936" s="14">
        <f>G938</f>
        <v>44679</v>
      </c>
      <c r="I936" s="1">
        <v>7000</v>
      </c>
      <c r="J936" s="19">
        <f>+F936/I936</f>
        <v>2.5086755233494362E-2</v>
      </c>
      <c r="K936" s="1">
        <v>2012</v>
      </c>
    </row>
    <row r="937" spans="2:18" x14ac:dyDescent="0.2">
      <c r="C937" s="2" t="s">
        <v>9</v>
      </c>
      <c r="D937" s="2" t="s">
        <v>803</v>
      </c>
      <c r="E937" s="3">
        <v>325</v>
      </c>
      <c r="F937" s="3">
        <f>32.5*2</f>
        <v>65</v>
      </c>
      <c r="G937" s="4">
        <v>44299</v>
      </c>
    </row>
    <row r="938" spans="2:18" x14ac:dyDescent="0.2">
      <c r="C938" s="2" t="s">
        <v>5</v>
      </c>
      <c r="D938" s="2" t="s">
        <v>1082</v>
      </c>
      <c r="E938" s="3">
        <v>25</v>
      </c>
      <c r="F938" s="3">
        <v>15</v>
      </c>
      <c r="G938" s="4">
        <v>44679</v>
      </c>
    </row>
    <row r="939" spans="2:18" x14ac:dyDescent="0.2">
      <c r="C939" s="185" t="s">
        <v>5</v>
      </c>
      <c r="D939" s="185" t="s">
        <v>2031</v>
      </c>
      <c r="E939" s="3">
        <v>18.5</v>
      </c>
      <c r="F939" s="3">
        <f>E939/4</f>
        <v>4.625</v>
      </c>
      <c r="G939" s="4">
        <v>44561</v>
      </c>
    </row>
    <row r="940" spans="2:18" x14ac:dyDescent="0.2">
      <c r="C940" s="282" t="s">
        <v>2489</v>
      </c>
      <c r="D940" s="282" t="s">
        <v>1006</v>
      </c>
      <c r="E940" s="3">
        <v>1600</v>
      </c>
      <c r="F940" s="3">
        <f>1400/27</f>
        <v>51.851851851851855</v>
      </c>
      <c r="G940" s="4">
        <v>44439</v>
      </c>
      <c r="I940" s="1">
        <v>36000</v>
      </c>
      <c r="J940" s="1">
        <v>42500</v>
      </c>
    </row>
    <row r="941" spans="2:18" x14ac:dyDescent="0.2">
      <c r="C941" s="282" t="s">
        <v>504</v>
      </c>
      <c r="D941" s="282" t="s">
        <v>1006</v>
      </c>
      <c r="E941" s="3">
        <v>1000</v>
      </c>
      <c r="F941" s="3">
        <f>900/23</f>
        <v>39.130434782608695</v>
      </c>
      <c r="G941" s="4">
        <v>44228</v>
      </c>
      <c r="I941" s="1">
        <v>27000</v>
      </c>
      <c r="J941" s="1">
        <v>42500</v>
      </c>
    </row>
    <row r="942" spans="2:18" x14ac:dyDescent="0.2">
      <c r="G942" s="4"/>
    </row>
    <row r="943" spans="2:18" s="12" customFormat="1" x14ac:dyDescent="0.2">
      <c r="B943" s="12" t="s">
        <v>249</v>
      </c>
      <c r="C943" s="13" t="s">
        <v>969</v>
      </c>
      <c r="D943" s="13" t="s">
        <v>968</v>
      </c>
      <c r="E943" s="15"/>
      <c r="F943" s="15">
        <f>SUM(F944:F946)</f>
        <v>146</v>
      </c>
      <c r="G943" s="14">
        <f>G945</f>
        <v>43923</v>
      </c>
      <c r="M943" s="13"/>
      <c r="N943" s="13"/>
      <c r="O943" s="13"/>
      <c r="P943" s="13"/>
      <c r="Q943" s="13"/>
      <c r="R943" s="13"/>
    </row>
    <row r="944" spans="2:18" x14ac:dyDescent="0.2">
      <c r="C944" s="2" t="s">
        <v>18</v>
      </c>
      <c r="D944" s="2" t="s">
        <v>245</v>
      </c>
      <c r="E944" s="3">
        <v>820</v>
      </c>
      <c r="F944" s="3">
        <f>600/6</f>
        <v>100</v>
      </c>
      <c r="G944" s="4">
        <v>43223</v>
      </c>
    </row>
    <row r="945" spans="2:18" x14ac:dyDescent="0.2">
      <c r="C945" s="2" t="s">
        <v>18</v>
      </c>
      <c r="D945" s="2" t="s">
        <v>211</v>
      </c>
      <c r="E945" s="3">
        <v>230</v>
      </c>
      <c r="F945" s="3">
        <v>38</v>
      </c>
      <c r="G945" s="4">
        <v>43923</v>
      </c>
    </row>
    <row r="946" spans="2:18" x14ac:dyDescent="0.2">
      <c r="C946" s="2" t="s">
        <v>5</v>
      </c>
      <c r="D946" s="2" t="s">
        <v>161</v>
      </c>
      <c r="E946" s="3">
        <v>102</v>
      </c>
      <c r="F946" s="3">
        <v>8</v>
      </c>
      <c r="G946" s="4">
        <v>43292</v>
      </c>
      <c r="J946" s="1">
        <v>8400</v>
      </c>
    </row>
    <row r="947" spans="2:18" x14ac:dyDescent="0.2">
      <c r="G947" s="4"/>
    </row>
    <row r="948" spans="2:18" s="12" customFormat="1" x14ac:dyDescent="0.2">
      <c r="B948" s="12" t="s">
        <v>4336</v>
      </c>
      <c r="C948" s="13" t="s">
        <v>969</v>
      </c>
      <c r="D948" s="13" t="s">
        <v>968</v>
      </c>
      <c r="E948" s="15"/>
      <c r="F948" s="15">
        <f>SUM(F949:F950)</f>
        <v>140</v>
      </c>
      <c r="G948" s="14">
        <f>G949</f>
        <v>44237</v>
      </c>
      <c r="M948" s="13"/>
      <c r="N948" s="13"/>
      <c r="O948" s="13"/>
      <c r="P948" s="13"/>
      <c r="Q948" s="13"/>
      <c r="R948" s="13"/>
    </row>
    <row r="949" spans="2:18" x14ac:dyDescent="0.2">
      <c r="C949" s="2" t="s">
        <v>8</v>
      </c>
      <c r="D949" s="2" t="s">
        <v>2137</v>
      </c>
      <c r="E949" s="3">
        <v>200</v>
      </c>
      <c r="F949" s="3">
        <v>40</v>
      </c>
      <c r="G949" s="4">
        <v>44237</v>
      </c>
    </row>
    <row r="950" spans="2:18" x14ac:dyDescent="0.2">
      <c r="C950" s="2" t="s">
        <v>18</v>
      </c>
      <c r="D950" s="2" t="s">
        <v>2137</v>
      </c>
      <c r="E950" s="3">
        <v>100</v>
      </c>
      <c r="F950" s="3">
        <v>100</v>
      </c>
      <c r="G950" s="4">
        <v>44158</v>
      </c>
    </row>
    <row r="951" spans="2:18" x14ac:dyDescent="0.2">
      <c r="G951" s="4"/>
    </row>
    <row r="952" spans="2:18" s="12" customFormat="1" x14ac:dyDescent="0.2">
      <c r="B952" s="12" t="s">
        <v>257</v>
      </c>
      <c r="C952" s="13" t="s">
        <v>969</v>
      </c>
      <c r="D952" s="13" t="s">
        <v>968</v>
      </c>
      <c r="E952" s="15"/>
      <c r="F952" s="15">
        <f>SUM(F953:F954)</f>
        <v>137.5</v>
      </c>
      <c r="G952" s="14">
        <f>G953</f>
        <v>44502</v>
      </c>
      <c r="M952" s="13"/>
      <c r="N952" s="13"/>
      <c r="O952" s="13"/>
      <c r="P952" s="13"/>
      <c r="Q952" s="13"/>
      <c r="R952" s="13"/>
    </row>
    <row r="953" spans="2:18" x14ac:dyDescent="0.2">
      <c r="C953" s="2" t="s">
        <v>8</v>
      </c>
      <c r="D953" s="2" t="s">
        <v>253</v>
      </c>
      <c r="E953" s="3">
        <v>600</v>
      </c>
      <c r="F953" s="3">
        <f>500/8</f>
        <v>62.5</v>
      </c>
      <c r="G953" s="4">
        <v>44502</v>
      </c>
    </row>
    <row r="954" spans="2:18" x14ac:dyDescent="0.2">
      <c r="C954" s="2" t="s">
        <v>18</v>
      </c>
      <c r="D954" s="2" t="s">
        <v>253</v>
      </c>
      <c r="E954" s="3">
        <v>500</v>
      </c>
      <c r="F954" s="3">
        <v>75</v>
      </c>
      <c r="G954" s="4">
        <v>44144</v>
      </c>
    </row>
    <row r="955" spans="2:18" x14ac:dyDescent="0.2">
      <c r="G955" s="4"/>
    </row>
    <row r="956" spans="2:18" s="12" customFormat="1" x14ac:dyDescent="0.2">
      <c r="B956" s="12" t="s">
        <v>1099</v>
      </c>
      <c r="C956" s="13" t="s">
        <v>969</v>
      </c>
      <c r="D956" s="13" t="s">
        <v>968</v>
      </c>
      <c r="E956" s="15"/>
      <c r="F956" s="15">
        <f>SUM(F957:F969)</f>
        <v>134.83571428571429</v>
      </c>
      <c r="G956" s="14">
        <f>G957</f>
        <v>45090</v>
      </c>
      <c r="I956" s="12" t="s">
        <v>6733</v>
      </c>
    </row>
    <row r="957" spans="2:18" x14ac:dyDescent="0.2">
      <c r="C957" s="2" t="s">
        <v>18</v>
      </c>
      <c r="D957" s="2" t="s">
        <v>403</v>
      </c>
      <c r="E957" s="3">
        <v>90</v>
      </c>
      <c r="F957" s="3">
        <v>15</v>
      </c>
      <c r="G957" s="4">
        <v>45090</v>
      </c>
      <c r="M957" s="1"/>
      <c r="N957" s="1"/>
      <c r="O957" s="1"/>
      <c r="P957" s="1"/>
      <c r="Q957" s="1"/>
      <c r="R957" s="1"/>
    </row>
    <row r="958" spans="2:18" x14ac:dyDescent="0.2">
      <c r="C958" s="2" t="s">
        <v>7</v>
      </c>
      <c r="D958" s="2" t="s">
        <v>403</v>
      </c>
      <c r="E958" s="3">
        <v>50</v>
      </c>
      <c r="F958" s="3">
        <f>30/6</f>
        <v>5</v>
      </c>
      <c r="G958" s="4">
        <v>44538</v>
      </c>
      <c r="M958" s="1"/>
      <c r="N958" s="1"/>
      <c r="O958" s="1"/>
      <c r="P958" s="1"/>
      <c r="Q958" s="1"/>
      <c r="R958" s="1"/>
    </row>
    <row r="959" spans="2:18" x14ac:dyDescent="0.2">
      <c r="C959" s="2" t="s">
        <v>5</v>
      </c>
      <c r="D959" s="2" t="s">
        <v>403</v>
      </c>
      <c r="E959" s="3">
        <v>12.5</v>
      </c>
      <c r="F959" s="3">
        <f>+E959/2</f>
        <v>6.25</v>
      </c>
      <c r="G959" s="4">
        <v>44306</v>
      </c>
      <c r="M959" s="1"/>
      <c r="N959" s="1"/>
      <c r="O959" s="1"/>
      <c r="P959" s="1"/>
      <c r="Q959" s="1"/>
      <c r="R959" s="1"/>
    </row>
    <row r="960" spans="2:18" x14ac:dyDescent="0.2">
      <c r="C960" s="2" t="s">
        <v>18</v>
      </c>
      <c r="D960" s="2" t="s">
        <v>374</v>
      </c>
      <c r="E960" s="3">
        <v>130</v>
      </c>
      <c r="F960" s="3">
        <f>100/7</f>
        <v>14.285714285714286</v>
      </c>
      <c r="G960" s="4">
        <v>44323</v>
      </c>
      <c r="M960" s="1"/>
      <c r="N960" s="1"/>
      <c r="O960" s="1"/>
      <c r="P960" s="1"/>
      <c r="Q960" s="1"/>
      <c r="R960" s="1"/>
    </row>
    <row r="961" spans="2:18" x14ac:dyDescent="0.2">
      <c r="C961" s="2" t="s">
        <v>7</v>
      </c>
      <c r="D961" s="2" t="s">
        <v>374</v>
      </c>
      <c r="E961" s="3">
        <v>44</v>
      </c>
      <c r="F961" s="3">
        <v>5</v>
      </c>
      <c r="G961" s="4">
        <v>43909</v>
      </c>
      <c r="M961" s="1"/>
      <c r="N961" s="1"/>
      <c r="O961" s="1"/>
      <c r="P961" s="1"/>
      <c r="Q961" s="1"/>
      <c r="R961" s="1"/>
    </row>
    <row r="962" spans="2:18" x14ac:dyDescent="0.2">
      <c r="C962" s="2" t="s">
        <v>5</v>
      </c>
      <c r="D962" s="2" t="s">
        <v>374</v>
      </c>
      <c r="E962" s="3">
        <v>15</v>
      </c>
      <c r="F962" s="3">
        <v>5</v>
      </c>
      <c r="G962" s="4">
        <v>43452</v>
      </c>
      <c r="M962" s="1"/>
      <c r="N962" s="1"/>
      <c r="O962" s="1"/>
      <c r="P962" s="1"/>
      <c r="Q962" s="1"/>
      <c r="R962" s="1"/>
    </row>
    <row r="963" spans="2:18" x14ac:dyDescent="0.2">
      <c r="C963" s="2" t="s">
        <v>9</v>
      </c>
      <c r="D963" s="2" t="s">
        <v>154</v>
      </c>
      <c r="E963" s="3">
        <v>400</v>
      </c>
      <c r="F963" s="3">
        <v>36</v>
      </c>
      <c r="G963" s="4">
        <v>44413</v>
      </c>
      <c r="M963" s="1"/>
      <c r="N963" s="1"/>
      <c r="O963" s="1"/>
      <c r="P963" s="1"/>
      <c r="Q963" s="1"/>
      <c r="R963" s="1"/>
    </row>
    <row r="964" spans="2:18" x14ac:dyDescent="0.2">
      <c r="C964" s="2" t="s">
        <v>8</v>
      </c>
      <c r="D964" s="2" t="s">
        <v>154</v>
      </c>
      <c r="E964" s="3">
        <v>100</v>
      </c>
      <c r="F964" s="3">
        <f>75/6</f>
        <v>12.5</v>
      </c>
      <c r="G964" s="4">
        <v>44067</v>
      </c>
      <c r="M964" s="1"/>
      <c r="N964" s="1"/>
      <c r="O964" s="1"/>
      <c r="P964" s="1"/>
      <c r="Q964" s="1"/>
      <c r="R964" s="1"/>
    </row>
    <row r="965" spans="2:18" x14ac:dyDescent="0.2">
      <c r="C965" s="2" t="s">
        <v>18</v>
      </c>
      <c r="D965" s="2" t="s">
        <v>154</v>
      </c>
      <c r="E965" s="3">
        <v>101</v>
      </c>
      <c r="F965" s="3">
        <f>60/4</f>
        <v>15</v>
      </c>
      <c r="G965" s="4">
        <v>43453</v>
      </c>
      <c r="M965" s="1"/>
      <c r="N965" s="1"/>
      <c r="O965" s="1"/>
      <c r="P965" s="1"/>
      <c r="Q965" s="1"/>
      <c r="R965" s="1"/>
    </row>
    <row r="966" spans="2:18" x14ac:dyDescent="0.2">
      <c r="C966" s="2" t="s">
        <v>7</v>
      </c>
      <c r="D966" s="2" t="s">
        <v>154</v>
      </c>
      <c r="E966" s="3">
        <v>14</v>
      </c>
      <c r="F966" s="3">
        <v>10</v>
      </c>
      <c r="G966" s="4">
        <v>42668</v>
      </c>
      <c r="M966" s="1"/>
      <c r="N966" s="1"/>
      <c r="O966" s="1"/>
      <c r="P966" s="1"/>
      <c r="Q966" s="1"/>
      <c r="R966" s="1"/>
    </row>
    <row r="967" spans="2:18" x14ac:dyDescent="0.2">
      <c r="C967" s="185" t="s">
        <v>5</v>
      </c>
      <c r="D967" s="185" t="s">
        <v>2030</v>
      </c>
      <c r="E967" s="3">
        <v>21</v>
      </c>
      <c r="F967" s="3">
        <f>12/3</f>
        <v>4</v>
      </c>
      <c r="G967" s="4">
        <v>44334</v>
      </c>
      <c r="M967" s="1"/>
      <c r="N967" s="1"/>
      <c r="O967" s="1"/>
      <c r="P967" s="1"/>
      <c r="Q967" s="1"/>
      <c r="R967" s="1"/>
    </row>
    <row r="968" spans="2:18" x14ac:dyDescent="0.2">
      <c r="C968" s="185" t="s">
        <v>5</v>
      </c>
      <c r="D968" s="185" t="s">
        <v>2026</v>
      </c>
      <c r="E968" s="3">
        <v>15.3</v>
      </c>
      <c r="F968" s="3">
        <v>5.3</v>
      </c>
      <c r="G968" s="4">
        <v>44733</v>
      </c>
      <c r="M968" s="1"/>
      <c r="N968" s="1"/>
      <c r="O968" s="1"/>
      <c r="P968" s="1"/>
      <c r="Q968" s="1"/>
      <c r="R968" s="1"/>
    </row>
    <row r="969" spans="2:18" x14ac:dyDescent="0.2">
      <c r="C969" s="185" t="s">
        <v>4</v>
      </c>
      <c r="D969" s="185" t="s">
        <v>2026</v>
      </c>
      <c r="E969" s="3">
        <v>3.5</v>
      </c>
      <c r="F969" s="3">
        <v>1.5</v>
      </c>
      <c r="G969" s="4">
        <v>44609</v>
      </c>
      <c r="M969" s="1"/>
      <c r="N969" s="1"/>
      <c r="O969" s="1"/>
      <c r="P969" s="1"/>
      <c r="Q969" s="1"/>
      <c r="R969" s="1"/>
    </row>
    <row r="970" spans="2:18" x14ac:dyDescent="0.2">
      <c r="G970" s="4"/>
      <c r="M970" s="1"/>
      <c r="N970" s="1"/>
      <c r="O970" s="1"/>
      <c r="P970" s="1"/>
      <c r="Q970" s="1"/>
      <c r="R970" s="1"/>
    </row>
    <row r="971" spans="2:18" s="12" customFormat="1" x14ac:dyDescent="0.2">
      <c r="B971" s="12" t="s">
        <v>193</v>
      </c>
      <c r="C971" s="13" t="s">
        <v>969</v>
      </c>
      <c r="D971" s="13" t="s">
        <v>968</v>
      </c>
      <c r="E971" s="15"/>
      <c r="F971" s="15">
        <f>SUM(F972:F975)</f>
        <v>131.18333333333334</v>
      </c>
      <c r="G971" s="14">
        <f>G973</f>
        <v>44384</v>
      </c>
      <c r="M971" s="13"/>
      <c r="N971" s="13"/>
      <c r="O971" s="13"/>
      <c r="P971" s="13"/>
      <c r="Q971" s="13"/>
      <c r="R971" s="13"/>
    </row>
    <row r="972" spans="2:18" x14ac:dyDescent="0.2">
      <c r="C972" s="2" t="s">
        <v>53</v>
      </c>
      <c r="D972" s="2" t="s">
        <v>176</v>
      </c>
      <c r="E972" s="3">
        <v>475</v>
      </c>
      <c r="F972" s="3">
        <f>E972/12</f>
        <v>39.583333333333336</v>
      </c>
      <c r="G972" s="4">
        <v>44278</v>
      </c>
    </row>
    <row r="973" spans="2:18" x14ac:dyDescent="0.2">
      <c r="C973" s="2" t="s">
        <v>18</v>
      </c>
      <c r="D973" s="2" t="s">
        <v>192</v>
      </c>
      <c r="E973" s="3">
        <v>235</v>
      </c>
      <c r="F973" s="3">
        <v>75</v>
      </c>
      <c r="G973" s="4">
        <v>44384</v>
      </c>
    </row>
    <row r="974" spans="2:18" x14ac:dyDescent="0.2">
      <c r="C974" s="2" t="s">
        <v>7</v>
      </c>
      <c r="D974" s="2" t="s">
        <v>192</v>
      </c>
      <c r="E974" s="3">
        <v>43</v>
      </c>
      <c r="F974" s="3">
        <f>+E974/5</f>
        <v>8.6</v>
      </c>
      <c r="G974" s="4">
        <v>44077</v>
      </c>
    </row>
    <row r="975" spans="2:18" x14ac:dyDescent="0.2">
      <c r="C975" s="2" t="s">
        <v>5</v>
      </c>
      <c r="D975" s="2" t="s">
        <v>192</v>
      </c>
      <c r="E975" s="3">
        <v>28</v>
      </c>
      <c r="F975" s="3">
        <v>8</v>
      </c>
      <c r="G975" s="4">
        <v>43301</v>
      </c>
    </row>
    <row r="976" spans="2:18" x14ac:dyDescent="0.2">
      <c r="G976" s="4"/>
    </row>
    <row r="977" spans="2:18" s="12" customFormat="1" x14ac:dyDescent="0.2">
      <c r="B977" s="12" t="s">
        <v>558</v>
      </c>
      <c r="C977" s="13" t="s">
        <v>969</v>
      </c>
      <c r="D977" s="13" t="s">
        <v>968</v>
      </c>
      <c r="E977" s="15"/>
      <c r="F977" s="15">
        <f>SUM(F978:F980)</f>
        <v>130.5</v>
      </c>
      <c r="G977" s="14">
        <f>G978</f>
        <v>45077</v>
      </c>
    </row>
    <row r="978" spans="2:18" x14ac:dyDescent="0.2">
      <c r="C978" s="2" t="s">
        <v>7</v>
      </c>
      <c r="D978" s="2" t="s">
        <v>548</v>
      </c>
      <c r="E978" s="3">
        <v>20</v>
      </c>
      <c r="F978" s="3">
        <v>8</v>
      </c>
      <c r="G978" s="4">
        <v>45077</v>
      </c>
      <c r="M978" s="1"/>
      <c r="N978" s="1"/>
      <c r="O978" s="1"/>
      <c r="P978" s="1"/>
      <c r="Q978" s="1"/>
      <c r="R978" s="1"/>
    </row>
    <row r="979" spans="2:18" x14ac:dyDescent="0.2">
      <c r="C979" s="2" t="s">
        <v>8</v>
      </c>
      <c r="D979" s="2" t="s">
        <v>232</v>
      </c>
      <c r="E979" s="3">
        <v>750</v>
      </c>
      <c r="F979" s="3">
        <f>450/4</f>
        <v>112.5</v>
      </c>
      <c r="G979" s="4">
        <v>43593</v>
      </c>
      <c r="M979" s="1"/>
      <c r="N979" s="1"/>
      <c r="O979" s="1"/>
      <c r="P979" s="1"/>
      <c r="Q979" s="1"/>
      <c r="R979" s="1"/>
    </row>
    <row r="980" spans="2:18" x14ac:dyDescent="0.2">
      <c r="C980" s="2" t="s">
        <v>7</v>
      </c>
      <c r="D980" s="2" t="s">
        <v>87</v>
      </c>
      <c r="E980" s="3">
        <v>25</v>
      </c>
      <c r="F980" s="3">
        <v>10</v>
      </c>
      <c r="G980" s="4">
        <v>44642</v>
      </c>
      <c r="M980" s="1"/>
      <c r="N980" s="1"/>
      <c r="O980" s="1"/>
      <c r="P980" s="1"/>
      <c r="Q980" s="1"/>
      <c r="R980" s="1"/>
    </row>
    <row r="981" spans="2:18" x14ac:dyDescent="0.2">
      <c r="G981" s="4"/>
      <c r="M981" s="1"/>
      <c r="N981" s="1"/>
      <c r="O981" s="1"/>
      <c r="P981" s="1"/>
      <c r="Q981" s="1"/>
      <c r="R981" s="1"/>
    </row>
    <row r="982" spans="2:18" s="12" customFormat="1" x14ac:dyDescent="0.2">
      <c r="B982" s="12" t="s">
        <v>170</v>
      </c>
      <c r="C982" s="13" t="s">
        <v>969</v>
      </c>
      <c r="D982" s="13" t="s">
        <v>968</v>
      </c>
      <c r="E982" s="15"/>
      <c r="F982" s="15">
        <f>SUM(F983:F984)</f>
        <v>131</v>
      </c>
      <c r="G982" s="14">
        <f>G983</f>
        <v>43886</v>
      </c>
      <c r="M982" s="13"/>
      <c r="N982" s="13"/>
      <c r="O982" s="13"/>
      <c r="P982" s="13"/>
      <c r="Q982" s="13"/>
      <c r="R982" s="13"/>
    </row>
    <row r="983" spans="2:18" x14ac:dyDescent="0.2">
      <c r="C983" s="2" t="s">
        <v>7</v>
      </c>
      <c r="D983" s="2" t="s">
        <v>161</v>
      </c>
      <c r="E983" s="3">
        <v>462</v>
      </c>
      <c r="F983" s="3">
        <f>162/2</f>
        <v>81</v>
      </c>
      <c r="G983" s="4">
        <v>43886</v>
      </c>
      <c r="I983" s="1">
        <v>2500</v>
      </c>
      <c r="J983" s="1">
        <v>8400</v>
      </c>
    </row>
    <row r="984" spans="2:18" x14ac:dyDescent="0.2">
      <c r="C984" s="2" t="s">
        <v>7</v>
      </c>
      <c r="D984" s="2" t="s">
        <v>161</v>
      </c>
      <c r="E984" s="3">
        <v>50</v>
      </c>
      <c r="F984" s="3">
        <v>50</v>
      </c>
      <c r="G984" s="4">
        <v>43566</v>
      </c>
    </row>
    <row r="985" spans="2:18" x14ac:dyDescent="0.2">
      <c r="G985" s="4"/>
    </row>
    <row r="986" spans="2:18" s="12" customFormat="1" x14ac:dyDescent="0.2">
      <c r="B986" s="12" t="s">
        <v>1085</v>
      </c>
      <c r="C986" s="13" t="s">
        <v>969</v>
      </c>
      <c r="D986" s="13" t="s">
        <v>968</v>
      </c>
      <c r="E986" s="15"/>
      <c r="F986" s="15">
        <f>SUM(F987:F1004)</f>
        <v>131.30000000000001</v>
      </c>
      <c r="G986" s="14">
        <f>G988</f>
        <v>45005</v>
      </c>
      <c r="M986" s="13"/>
      <c r="N986" s="13"/>
      <c r="O986" s="13"/>
      <c r="P986" s="13"/>
      <c r="Q986" s="13"/>
      <c r="R986" s="13"/>
    </row>
    <row r="987" spans="2:18" x14ac:dyDescent="0.2">
      <c r="C987" s="2" t="s">
        <v>5</v>
      </c>
      <c r="D987" s="2" t="s">
        <v>682</v>
      </c>
      <c r="E987" s="3">
        <v>15</v>
      </c>
      <c r="F987" s="3">
        <v>5</v>
      </c>
      <c r="G987" s="4">
        <v>44838</v>
      </c>
    </row>
    <row r="988" spans="2:18" x14ac:dyDescent="0.2">
      <c r="C988" s="2" t="s">
        <v>5</v>
      </c>
      <c r="D988" s="2" t="s">
        <v>688</v>
      </c>
      <c r="E988" s="3">
        <v>13</v>
      </c>
      <c r="F988" s="3">
        <v>3</v>
      </c>
      <c r="G988" s="4">
        <v>45005</v>
      </c>
    </row>
    <row r="989" spans="2:18" x14ac:dyDescent="0.2">
      <c r="C989" s="2" t="s">
        <v>5</v>
      </c>
      <c r="D989" s="2" t="s">
        <v>640</v>
      </c>
      <c r="E989" s="3">
        <v>11</v>
      </c>
      <c r="F989" s="3">
        <v>7</v>
      </c>
      <c r="G989" s="4">
        <v>44959</v>
      </c>
    </row>
    <row r="990" spans="2:18" x14ac:dyDescent="0.2">
      <c r="C990" s="2" t="s">
        <v>8</v>
      </c>
      <c r="D990" s="2" t="s">
        <v>1084</v>
      </c>
      <c r="E990" s="3">
        <v>90</v>
      </c>
      <c r="F990" s="3">
        <v>5</v>
      </c>
      <c r="G990" s="4">
        <v>44776</v>
      </c>
    </row>
    <row r="991" spans="2:18" x14ac:dyDescent="0.2">
      <c r="C991" s="2" t="s">
        <v>18</v>
      </c>
      <c r="D991" s="2" t="s">
        <v>1084</v>
      </c>
      <c r="E991" s="3">
        <v>40</v>
      </c>
      <c r="F991" s="3">
        <v>3.75</v>
      </c>
      <c r="G991" s="4">
        <v>44176</v>
      </c>
    </row>
    <row r="992" spans="2:18" x14ac:dyDescent="0.2">
      <c r="C992" s="2" t="s">
        <v>7</v>
      </c>
      <c r="D992" s="2" t="s">
        <v>1084</v>
      </c>
      <c r="E992" s="3">
        <v>20</v>
      </c>
      <c r="F992" s="3">
        <v>5</v>
      </c>
      <c r="G992" s="4">
        <v>43879</v>
      </c>
    </row>
    <row r="993" spans="2:10" x14ac:dyDescent="0.2">
      <c r="C993" s="2" t="s">
        <v>8</v>
      </c>
      <c r="D993" s="2" t="s">
        <v>131</v>
      </c>
      <c r="E993" s="3">
        <v>135</v>
      </c>
      <c r="F993" s="3">
        <v>8</v>
      </c>
      <c r="G993" s="4">
        <v>44880</v>
      </c>
      <c r="I993" s="1">
        <v>615</v>
      </c>
    </row>
    <row r="994" spans="2:10" x14ac:dyDescent="0.2">
      <c r="C994" s="2" t="s">
        <v>7</v>
      </c>
      <c r="D994" s="2" t="s">
        <v>131</v>
      </c>
      <c r="E994" s="3">
        <v>32</v>
      </c>
      <c r="F994" s="3">
        <f>20/4</f>
        <v>5</v>
      </c>
      <c r="G994" s="4">
        <v>42528</v>
      </c>
    </row>
    <row r="995" spans="2:10" x14ac:dyDescent="0.2">
      <c r="C995" s="2" t="s">
        <v>8</v>
      </c>
      <c r="D995" s="2" t="s">
        <v>55</v>
      </c>
      <c r="E995" s="3">
        <v>200</v>
      </c>
      <c r="F995" s="3">
        <v>18.75</v>
      </c>
      <c r="G995" s="4">
        <v>44055</v>
      </c>
      <c r="I995" s="1">
        <v>2000</v>
      </c>
      <c r="J995" s="1">
        <v>7000</v>
      </c>
    </row>
    <row r="996" spans="2:10" x14ac:dyDescent="0.2">
      <c r="C996" s="2" t="s">
        <v>18</v>
      </c>
      <c r="D996" s="2" t="s">
        <v>55</v>
      </c>
      <c r="E996" s="3">
        <v>65</v>
      </c>
      <c r="F996" s="3">
        <v>8</v>
      </c>
      <c r="G996" s="4">
        <v>43802</v>
      </c>
      <c r="I996" s="1">
        <v>685</v>
      </c>
      <c r="J996" s="1">
        <v>7000</v>
      </c>
    </row>
    <row r="997" spans="2:10" x14ac:dyDescent="0.2">
      <c r="C997" s="2" t="s">
        <v>7</v>
      </c>
      <c r="D997" s="2" t="s">
        <v>55</v>
      </c>
      <c r="E997" s="3">
        <v>40</v>
      </c>
      <c r="F997" s="3">
        <v>6.25</v>
      </c>
      <c r="G997" s="4">
        <v>43503</v>
      </c>
      <c r="J997" s="1">
        <v>7000</v>
      </c>
    </row>
    <row r="998" spans="2:10" x14ac:dyDescent="0.2">
      <c r="C998" s="2" t="s">
        <v>5</v>
      </c>
      <c r="D998" s="2" t="s">
        <v>55</v>
      </c>
      <c r="E998" s="3">
        <v>22</v>
      </c>
      <c r="F998" s="3">
        <v>10</v>
      </c>
      <c r="G998" s="4">
        <v>46550</v>
      </c>
      <c r="J998" s="1">
        <v>7000</v>
      </c>
    </row>
    <row r="999" spans="2:10" x14ac:dyDescent="0.2">
      <c r="C999" s="2" t="s">
        <v>4</v>
      </c>
      <c r="D999" s="2" t="s">
        <v>55</v>
      </c>
      <c r="E999" s="3">
        <v>6</v>
      </c>
      <c r="F999" s="3">
        <v>6</v>
      </c>
      <c r="G999" s="4">
        <v>42542</v>
      </c>
      <c r="J999" s="1">
        <v>7000</v>
      </c>
    </row>
    <row r="1000" spans="2:10" x14ac:dyDescent="0.2">
      <c r="C1000" s="52" t="s">
        <v>8</v>
      </c>
      <c r="D1000" s="52" t="s">
        <v>4897</v>
      </c>
      <c r="E1000" s="3">
        <v>83</v>
      </c>
      <c r="F1000" s="3">
        <f>68/10</f>
        <v>6.8</v>
      </c>
      <c r="G1000" s="4">
        <v>44320</v>
      </c>
      <c r="I1000" s="1">
        <v>3600</v>
      </c>
      <c r="J1000" s="1">
        <v>9000</v>
      </c>
    </row>
    <row r="1001" spans="2:10" x14ac:dyDescent="0.2">
      <c r="C1001" s="52" t="s">
        <v>18</v>
      </c>
      <c r="D1001" s="52" t="s">
        <v>4897</v>
      </c>
      <c r="E1001" s="3">
        <v>100</v>
      </c>
      <c r="F1001" s="3">
        <v>10</v>
      </c>
      <c r="G1001" s="4">
        <v>43937</v>
      </c>
      <c r="I1001" s="1">
        <v>1100</v>
      </c>
      <c r="J1001" s="1">
        <v>9000</v>
      </c>
    </row>
    <row r="1002" spans="2:10" x14ac:dyDescent="0.2">
      <c r="C1002" s="52" t="s">
        <v>7</v>
      </c>
      <c r="D1002" s="52" t="s">
        <v>4897</v>
      </c>
      <c r="E1002" s="3">
        <v>40</v>
      </c>
      <c r="F1002" s="3">
        <v>10</v>
      </c>
      <c r="G1002" s="4">
        <v>43522</v>
      </c>
      <c r="J1002" s="1">
        <v>9000</v>
      </c>
    </row>
    <row r="1003" spans="2:10" x14ac:dyDescent="0.2">
      <c r="C1003" s="52" t="s">
        <v>5</v>
      </c>
      <c r="D1003" s="52" t="s">
        <v>4897</v>
      </c>
      <c r="E1003" s="3">
        <v>25</v>
      </c>
      <c r="F1003" s="3">
        <f>E1003/4</f>
        <v>6.25</v>
      </c>
      <c r="G1003" s="4">
        <v>43172</v>
      </c>
      <c r="J1003" s="1">
        <v>9000</v>
      </c>
    </row>
    <row r="1004" spans="2:10" x14ac:dyDescent="0.2">
      <c r="C1004" s="52" t="s">
        <v>5</v>
      </c>
      <c r="D1004" s="52" t="s">
        <v>4897</v>
      </c>
      <c r="E1004" s="3">
        <v>15</v>
      </c>
      <c r="F1004" s="3">
        <f>E1004/2</f>
        <v>7.5</v>
      </c>
      <c r="G1004" s="4">
        <v>42371</v>
      </c>
      <c r="J1004" s="1">
        <v>9000</v>
      </c>
    </row>
    <row r="1005" spans="2:10" x14ac:dyDescent="0.2">
      <c r="G1005" s="4"/>
    </row>
    <row r="1006" spans="2:10" x14ac:dyDescent="0.2">
      <c r="B1006" s="12" t="s">
        <v>1101</v>
      </c>
      <c r="C1006" s="13" t="s">
        <v>969</v>
      </c>
      <c r="D1006" s="13" t="s">
        <v>968</v>
      </c>
      <c r="F1006" s="15">
        <f>SUM(F1007:F1026)</f>
        <v>130.06666666666669</v>
      </c>
      <c r="G1006" s="14">
        <f>G1015</f>
        <v>45041</v>
      </c>
    </row>
    <row r="1007" spans="2:10" x14ac:dyDescent="0.2">
      <c r="B1007" s="12"/>
      <c r="C1007" s="2" t="s">
        <v>7</v>
      </c>
      <c r="D1007" s="2" t="s">
        <v>949</v>
      </c>
      <c r="E1007" s="3">
        <v>350</v>
      </c>
      <c r="F1007" s="3">
        <v>20</v>
      </c>
      <c r="G1007" s="4">
        <v>44999</v>
      </c>
    </row>
    <row r="1008" spans="2:10" x14ac:dyDescent="0.2">
      <c r="C1008" s="2" t="s">
        <v>18</v>
      </c>
      <c r="D1008" s="2" t="s">
        <v>926</v>
      </c>
      <c r="E1008" s="3">
        <v>100</v>
      </c>
      <c r="F1008" s="3">
        <v>9</v>
      </c>
      <c r="G1008" s="4">
        <v>44690</v>
      </c>
      <c r="J1008" s="1">
        <v>4300</v>
      </c>
    </row>
    <row r="1009" spans="3:10" x14ac:dyDescent="0.2">
      <c r="C1009" s="2" t="s">
        <v>4</v>
      </c>
      <c r="D1009" s="2" t="s">
        <v>926</v>
      </c>
      <c r="E1009" s="3">
        <v>4</v>
      </c>
      <c r="F1009" s="3">
        <v>1</v>
      </c>
      <c r="G1009" s="4">
        <v>43243</v>
      </c>
      <c r="J1009" s="1">
        <v>4300</v>
      </c>
    </row>
    <row r="1010" spans="3:10" x14ac:dyDescent="0.2">
      <c r="C1010" s="2" t="s">
        <v>550</v>
      </c>
      <c r="D1010" s="2" t="s">
        <v>926</v>
      </c>
      <c r="E1010" s="3">
        <v>1.2</v>
      </c>
      <c r="F1010" s="3">
        <v>0.2</v>
      </c>
      <c r="G1010" s="4">
        <v>42799</v>
      </c>
      <c r="J1010" s="1">
        <v>4300</v>
      </c>
    </row>
    <row r="1011" spans="3:10" x14ac:dyDescent="0.2">
      <c r="C1011" s="2" t="s">
        <v>5</v>
      </c>
      <c r="D1011" s="2" t="s">
        <v>935</v>
      </c>
      <c r="E1011" s="3">
        <v>150</v>
      </c>
      <c r="F1011" s="3">
        <v>10</v>
      </c>
      <c r="G1011" s="4">
        <v>45008</v>
      </c>
    </row>
    <row r="1012" spans="3:10" x14ac:dyDescent="0.2">
      <c r="C1012" s="2" t="s">
        <v>4</v>
      </c>
      <c r="D1012" s="2" t="s">
        <v>1005</v>
      </c>
      <c r="E1012" s="3">
        <v>5</v>
      </c>
      <c r="F1012" s="3">
        <v>1</v>
      </c>
      <c r="G1012" s="4">
        <v>43438</v>
      </c>
    </row>
    <row r="1013" spans="3:10" x14ac:dyDescent="0.2">
      <c r="C1013" s="2" t="s">
        <v>4</v>
      </c>
      <c r="D1013" s="2" t="s">
        <v>690</v>
      </c>
      <c r="E1013" s="3">
        <v>30</v>
      </c>
      <c r="F1013" s="3">
        <v>5</v>
      </c>
      <c r="G1013" s="4">
        <v>44742</v>
      </c>
    </row>
    <row r="1014" spans="3:10" x14ac:dyDescent="0.2">
      <c r="C1014" s="2" t="s">
        <v>5</v>
      </c>
      <c r="D1014" s="2" t="s">
        <v>684</v>
      </c>
      <c r="E1014" s="3">
        <v>21</v>
      </c>
      <c r="F1014" s="3">
        <f>11/3</f>
        <v>3.6666666666666665</v>
      </c>
      <c r="G1014" s="4">
        <v>45027</v>
      </c>
    </row>
    <row r="1015" spans="3:10" x14ac:dyDescent="0.2">
      <c r="C1015" s="2" t="s">
        <v>7</v>
      </c>
      <c r="D1015" s="2" t="s">
        <v>907</v>
      </c>
      <c r="E1015" s="3">
        <v>97.4</v>
      </c>
      <c r="F1015" s="3">
        <f>47/6</f>
        <v>7.833333333333333</v>
      </c>
      <c r="G1015" s="4">
        <v>45041</v>
      </c>
    </row>
    <row r="1016" spans="3:10" x14ac:dyDescent="0.2">
      <c r="C1016" s="2" t="s">
        <v>278</v>
      </c>
      <c r="D1016" s="2" t="s">
        <v>776</v>
      </c>
      <c r="E1016" s="3">
        <v>4.5</v>
      </c>
      <c r="F1016" s="3">
        <v>1</v>
      </c>
      <c r="G1016" s="4">
        <v>44691</v>
      </c>
    </row>
    <row r="1017" spans="3:10" x14ac:dyDescent="0.2">
      <c r="C1017" s="2" t="s">
        <v>5</v>
      </c>
      <c r="D1017" s="2" t="s">
        <v>1069</v>
      </c>
      <c r="E1017" s="3">
        <v>5.3</v>
      </c>
      <c r="F1017" s="3">
        <v>2.5</v>
      </c>
      <c r="G1017" s="4">
        <v>44978</v>
      </c>
    </row>
    <row r="1018" spans="3:10" x14ac:dyDescent="0.2">
      <c r="C1018" s="2" t="s">
        <v>5</v>
      </c>
      <c r="D1018" s="2" t="s">
        <v>520</v>
      </c>
      <c r="E1018" s="3">
        <v>7</v>
      </c>
      <c r="F1018" s="3">
        <v>1</v>
      </c>
      <c r="G1018" s="4">
        <v>42885</v>
      </c>
    </row>
    <row r="1019" spans="3:10" x14ac:dyDescent="0.2">
      <c r="C1019" s="2" t="s">
        <v>4</v>
      </c>
      <c r="D1019" s="2" t="s">
        <v>520</v>
      </c>
      <c r="E1019" s="3">
        <v>3</v>
      </c>
      <c r="F1019" s="3">
        <v>0.5</v>
      </c>
      <c r="G1019" s="4">
        <v>42606</v>
      </c>
    </row>
    <row r="1020" spans="3:10" x14ac:dyDescent="0.2">
      <c r="C1020" s="2" t="s">
        <v>7</v>
      </c>
      <c r="D1020" s="2" t="s">
        <v>1100</v>
      </c>
      <c r="E1020" s="3">
        <v>18</v>
      </c>
      <c r="F1020" s="3">
        <v>4.5</v>
      </c>
      <c r="G1020" s="4">
        <v>44831</v>
      </c>
    </row>
    <row r="1021" spans="3:10" x14ac:dyDescent="0.2">
      <c r="C1021" s="2" t="s">
        <v>5</v>
      </c>
      <c r="D1021" s="2" t="s">
        <v>1100</v>
      </c>
      <c r="E1021" s="3">
        <v>18.5</v>
      </c>
      <c r="F1021" s="3">
        <v>5</v>
      </c>
      <c r="G1021" s="4">
        <v>44658</v>
      </c>
    </row>
    <row r="1022" spans="3:10" x14ac:dyDescent="0.2">
      <c r="C1022" s="2" t="s">
        <v>4</v>
      </c>
      <c r="D1022" s="2" t="s">
        <v>424</v>
      </c>
      <c r="E1022" s="3">
        <v>7</v>
      </c>
      <c r="F1022" s="3">
        <v>0.83333333333333337</v>
      </c>
      <c r="G1022" s="4">
        <v>43046</v>
      </c>
    </row>
    <row r="1023" spans="3:10" x14ac:dyDescent="0.2">
      <c r="C1023" s="2" t="s">
        <v>4</v>
      </c>
      <c r="D1023" s="2" t="s">
        <v>302</v>
      </c>
      <c r="E1023" s="3">
        <v>1.8</v>
      </c>
      <c r="F1023" s="3">
        <f>+E1023/9</f>
        <v>0.2</v>
      </c>
      <c r="G1023" s="4">
        <v>42690</v>
      </c>
    </row>
    <row r="1024" spans="3:10" x14ac:dyDescent="0.2">
      <c r="C1024" s="2" t="s">
        <v>7</v>
      </c>
      <c r="D1024" s="2" t="s">
        <v>74</v>
      </c>
      <c r="E1024" s="3">
        <v>25</v>
      </c>
      <c r="F1024" s="3">
        <v>5</v>
      </c>
      <c r="G1024" s="4">
        <v>42723</v>
      </c>
      <c r="I1024" s="1">
        <v>245</v>
      </c>
      <c r="J1024" s="1">
        <v>3800</v>
      </c>
    </row>
    <row r="1025" spans="2:18" x14ac:dyDescent="0.2">
      <c r="C1025" s="2" t="s">
        <v>1</v>
      </c>
      <c r="D1025" s="2" t="s">
        <v>0</v>
      </c>
      <c r="E1025" s="3">
        <v>300</v>
      </c>
      <c r="F1025" s="3">
        <v>50</v>
      </c>
      <c r="G1025" s="4">
        <v>45044</v>
      </c>
      <c r="I1025" s="1">
        <v>28700</v>
      </c>
      <c r="J1025" s="1">
        <v>28700</v>
      </c>
    </row>
    <row r="1026" spans="2:18" x14ac:dyDescent="0.2">
      <c r="C1026" s="93" t="s">
        <v>5</v>
      </c>
      <c r="D1026" s="93" t="s">
        <v>1144</v>
      </c>
      <c r="E1026" s="3">
        <v>19</v>
      </c>
      <c r="F1026" s="3">
        <f>11/6</f>
        <v>1.8333333333333333</v>
      </c>
      <c r="G1026" s="4">
        <v>45097</v>
      </c>
      <c r="I1026" s="1">
        <v>100</v>
      </c>
      <c r="J1026" s="1">
        <v>100</v>
      </c>
    </row>
    <row r="1027" spans="2:18" x14ac:dyDescent="0.2">
      <c r="G1027" s="4"/>
    </row>
    <row r="1028" spans="2:18" s="12" customFormat="1" x14ac:dyDescent="0.2">
      <c r="B1028" s="12" t="s">
        <v>6734</v>
      </c>
      <c r="C1028" s="13" t="s">
        <v>969</v>
      </c>
      <c r="D1028" s="13" t="s">
        <v>968</v>
      </c>
      <c r="E1028" s="15"/>
      <c r="F1028" s="15">
        <f>SUM(F1029:F1036)</f>
        <v>130.82619047619048</v>
      </c>
      <c r="G1028" s="14">
        <f>G1030</f>
        <v>44811</v>
      </c>
      <c r="M1028" s="13"/>
      <c r="N1028" s="13"/>
      <c r="O1028" s="13"/>
      <c r="P1028" s="13"/>
      <c r="Q1028" s="13"/>
      <c r="R1028" s="13"/>
    </row>
    <row r="1029" spans="2:18" x14ac:dyDescent="0.2">
      <c r="C1029" s="2" t="s">
        <v>4</v>
      </c>
      <c r="D1029" s="2" t="s">
        <v>678</v>
      </c>
      <c r="E1029" s="3">
        <v>15</v>
      </c>
      <c r="F1029" s="3">
        <f>15/7</f>
        <v>2.1428571428571428</v>
      </c>
      <c r="G1029" s="4">
        <v>44691</v>
      </c>
    </row>
    <row r="1030" spans="2:18" x14ac:dyDescent="0.2">
      <c r="C1030" s="2" t="s">
        <v>7</v>
      </c>
      <c r="D1030" s="2" t="s">
        <v>542</v>
      </c>
      <c r="E1030" s="3">
        <v>40</v>
      </c>
      <c r="F1030" s="3">
        <f>25/4</f>
        <v>6.25</v>
      </c>
      <c r="G1030" s="4">
        <v>44811</v>
      </c>
    </row>
    <row r="1031" spans="2:18" x14ac:dyDescent="0.2">
      <c r="C1031" s="2" t="s">
        <v>5</v>
      </c>
      <c r="D1031" s="2" t="s">
        <v>542</v>
      </c>
      <c r="E1031" s="3">
        <v>14</v>
      </c>
      <c r="F1031" s="3">
        <f>8/5</f>
        <v>1.6</v>
      </c>
      <c r="G1031" s="4">
        <v>44447</v>
      </c>
    </row>
    <row r="1032" spans="2:18" x14ac:dyDescent="0.2">
      <c r="C1032" s="2" t="s">
        <v>5</v>
      </c>
      <c r="D1032" s="2" t="s">
        <v>542</v>
      </c>
      <c r="E1032" s="3">
        <v>12</v>
      </c>
      <c r="F1032" s="3">
        <v>4</v>
      </c>
      <c r="G1032" s="4">
        <v>43532</v>
      </c>
    </row>
    <row r="1033" spans="2:18" x14ac:dyDescent="0.2">
      <c r="C1033" s="2" t="s">
        <v>9</v>
      </c>
      <c r="D1033" s="2" t="s">
        <v>3</v>
      </c>
      <c r="E1033" s="3">
        <v>90</v>
      </c>
      <c r="F1033" s="3">
        <v>10</v>
      </c>
      <c r="G1033" s="4">
        <v>44721</v>
      </c>
      <c r="I1033" s="1">
        <v>2200</v>
      </c>
      <c r="J1033" s="1">
        <v>2200</v>
      </c>
    </row>
    <row r="1034" spans="2:18" x14ac:dyDescent="0.2">
      <c r="C1034" s="2" t="s">
        <v>8</v>
      </c>
      <c r="D1034" s="2" t="s">
        <v>3</v>
      </c>
      <c r="E1034" s="3">
        <v>210</v>
      </c>
      <c r="F1034" s="3">
        <v>33.333333333333336</v>
      </c>
      <c r="G1034" s="4">
        <v>44432</v>
      </c>
      <c r="I1034" s="1">
        <v>1000</v>
      </c>
      <c r="J1034" s="1">
        <v>2200</v>
      </c>
    </row>
    <row r="1035" spans="2:18" x14ac:dyDescent="0.2">
      <c r="C1035" s="2" t="s">
        <v>18</v>
      </c>
      <c r="D1035" s="2" t="s">
        <v>3</v>
      </c>
      <c r="E1035" s="3">
        <v>70</v>
      </c>
      <c r="F1035" s="3">
        <v>70</v>
      </c>
      <c r="G1035" s="4">
        <v>44250</v>
      </c>
      <c r="J1035" s="1">
        <v>2200</v>
      </c>
    </row>
    <row r="1036" spans="2:18" x14ac:dyDescent="0.2">
      <c r="C1036" s="253" t="s">
        <v>4</v>
      </c>
      <c r="D1036" s="253" t="s">
        <v>2011</v>
      </c>
      <c r="E1036" s="3">
        <v>7</v>
      </c>
      <c r="F1036" s="3">
        <v>3.5</v>
      </c>
      <c r="G1036" s="4">
        <v>44216</v>
      </c>
    </row>
    <row r="1037" spans="2:18" x14ac:dyDescent="0.2">
      <c r="G1037" s="4"/>
    </row>
    <row r="1038" spans="2:18" s="12" customFormat="1" x14ac:dyDescent="0.2">
      <c r="B1038" s="12" t="s">
        <v>508</v>
      </c>
      <c r="C1038" s="13" t="s">
        <v>969</v>
      </c>
      <c r="D1038" s="13" t="s">
        <v>968</v>
      </c>
      <c r="E1038" s="15"/>
      <c r="F1038" s="15">
        <f>SUM(F1039:F1042)</f>
        <v>125.5</v>
      </c>
      <c r="G1038" s="14">
        <f>G1039</f>
        <v>44376</v>
      </c>
    </row>
    <row r="1039" spans="2:18" x14ac:dyDescent="0.2">
      <c r="C1039" s="2" t="s">
        <v>504</v>
      </c>
      <c r="D1039" s="2" t="s">
        <v>489</v>
      </c>
      <c r="E1039" s="3">
        <v>250</v>
      </c>
      <c r="F1039" s="3">
        <v>50</v>
      </c>
      <c r="G1039" s="4">
        <v>44376</v>
      </c>
      <c r="M1039" s="1"/>
      <c r="N1039" s="1"/>
      <c r="O1039" s="1"/>
      <c r="P1039" s="1"/>
      <c r="Q1039" s="1"/>
      <c r="R1039" s="1"/>
    </row>
    <row r="1040" spans="2:18" x14ac:dyDescent="0.2">
      <c r="C1040" s="2" t="s">
        <v>53</v>
      </c>
      <c r="D1040" s="2" t="s">
        <v>489</v>
      </c>
      <c r="E1040" s="3">
        <v>270</v>
      </c>
      <c r="F1040" s="3">
        <v>50</v>
      </c>
      <c r="G1040" s="4">
        <v>44152</v>
      </c>
      <c r="M1040" s="1"/>
      <c r="N1040" s="1"/>
      <c r="O1040" s="1"/>
      <c r="P1040" s="1"/>
      <c r="Q1040" s="1"/>
      <c r="R1040" s="1"/>
    </row>
    <row r="1041" spans="2:18" x14ac:dyDescent="0.2">
      <c r="C1041" s="2" t="s">
        <v>8</v>
      </c>
      <c r="D1041" s="2" t="s">
        <v>240</v>
      </c>
      <c r="E1041" s="3">
        <v>81</v>
      </c>
      <c r="F1041" s="3">
        <f>+E1041/6</f>
        <v>13.5</v>
      </c>
      <c r="G1041" s="4">
        <v>43418</v>
      </c>
      <c r="I1041" s="1">
        <v>1700</v>
      </c>
      <c r="J1041" s="1">
        <v>3800</v>
      </c>
      <c r="M1041" s="1"/>
      <c r="N1041" s="1"/>
      <c r="O1041" s="1"/>
      <c r="P1041" s="1"/>
      <c r="Q1041" s="1"/>
      <c r="R1041" s="1"/>
    </row>
    <row r="1042" spans="2:18" x14ac:dyDescent="0.2">
      <c r="C1042" s="2" t="s">
        <v>18</v>
      </c>
      <c r="D1042" s="2" t="s">
        <v>240</v>
      </c>
      <c r="E1042" s="3">
        <v>60</v>
      </c>
      <c r="F1042" s="3">
        <f>+E1042/5</f>
        <v>12</v>
      </c>
      <c r="G1042" s="4">
        <v>42736</v>
      </c>
      <c r="I1042" s="1">
        <v>800</v>
      </c>
      <c r="J1042" s="1">
        <v>3800</v>
      </c>
      <c r="M1042" s="1"/>
      <c r="N1042" s="1"/>
      <c r="O1042" s="1"/>
      <c r="P1042" s="1"/>
      <c r="Q1042" s="1"/>
      <c r="R1042" s="1"/>
    </row>
    <row r="1043" spans="2:18" x14ac:dyDescent="0.2">
      <c r="G1043" s="4"/>
      <c r="M1043" s="1"/>
      <c r="N1043" s="1"/>
      <c r="O1043" s="1"/>
      <c r="P1043" s="1"/>
      <c r="Q1043" s="1"/>
      <c r="R1043" s="1"/>
    </row>
    <row r="1044" spans="2:18" s="12" customFormat="1" x14ac:dyDescent="0.2">
      <c r="B1044" s="12" t="s">
        <v>160</v>
      </c>
      <c r="C1044" s="13" t="s">
        <v>969</v>
      </c>
      <c r="D1044" s="13" t="s">
        <v>968</v>
      </c>
      <c r="E1044" s="15"/>
      <c r="F1044" s="15">
        <f>SUM(F1045:F1048)</f>
        <v>131.05555555555554</v>
      </c>
      <c r="G1044" s="14">
        <f>G1048</f>
        <v>45063</v>
      </c>
      <c r="M1044" s="13"/>
      <c r="N1044" s="13"/>
      <c r="O1044" s="13"/>
      <c r="P1044" s="13"/>
      <c r="Q1044" s="13"/>
      <c r="R1044" s="13"/>
    </row>
    <row r="1045" spans="2:18" x14ac:dyDescent="0.2">
      <c r="C1045" s="2" t="s">
        <v>53</v>
      </c>
      <c r="D1045" s="2" t="s">
        <v>154</v>
      </c>
      <c r="E1045" s="3">
        <v>200</v>
      </c>
      <c r="F1045" s="3">
        <v>50</v>
      </c>
      <c r="G1045" s="4">
        <v>44907</v>
      </c>
      <c r="I1045" s="1">
        <v>3500</v>
      </c>
    </row>
    <row r="1046" spans="2:18" x14ac:dyDescent="0.2">
      <c r="C1046" s="2" t="s">
        <v>9</v>
      </c>
      <c r="D1046" s="2" t="s">
        <v>154</v>
      </c>
      <c r="E1046" s="3">
        <v>400</v>
      </c>
      <c r="F1046" s="3">
        <f>320/9</f>
        <v>35.555555555555557</v>
      </c>
      <c r="G1046" s="4">
        <v>44413</v>
      </c>
      <c r="I1046" s="1">
        <v>4200</v>
      </c>
    </row>
    <row r="1047" spans="2:18" x14ac:dyDescent="0.2">
      <c r="C1047" s="2" t="s">
        <v>18</v>
      </c>
      <c r="D1047" s="2" t="s">
        <v>32</v>
      </c>
      <c r="E1047" s="3">
        <v>230</v>
      </c>
      <c r="F1047" s="3">
        <v>40</v>
      </c>
      <c r="G1047" s="4">
        <v>43634</v>
      </c>
      <c r="I1047" s="1">
        <v>770</v>
      </c>
      <c r="J1047" s="1">
        <v>770</v>
      </c>
    </row>
    <row r="1048" spans="2:18" x14ac:dyDescent="0.2">
      <c r="C1048" s="253" t="s">
        <v>5</v>
      </c>
      <c r="D1048" s="253" t="s">
        <v>2011</v>
      </c>
      <c r="E1048" s="3">
        <v>11.5</v>
      </c>
      <c r="F1048" s="3">
        <v>5.5</v>
      </c>
      <c r="G1048" s="4">
        <v>45063</v>
      </c>
    </row>
    <row r="1049" spans="2:18" x14ac:dyDescent="0.2">
      <c r="G1049" s="4"/>
    </row>
    <row r="1050" spans="2:18" s="12" customFormat="1" x14ac:dyDescent="0.2">
      <c r="B1050" s="12" t="s">
        <v>495</v>
      </c>
      <c r="C1050" s="13" t="s">
        <v>969</v>
      </c>
      <c r="D1050" s="13" t="s">
        <v>968</v>
      </c>
      <c r="E1050" s="15"/>
      <c r="F1050" s="15">
        <f>SUM(F1051:F1055)</f>
        <v>130.35185185185185</v>
      </c>
      <c r="G1050" s="14">
        <f>G1054</f>
        <v>44557</v>
      </c>
    </row>
    <row r="1051" spans="2:18" x14ac:dyDescent="0.2">
      <c r="C1051" s="2" t="s">
        <v>9</v>
      </c>
      <c r="D1051" s="2" t="s">
        <v>489</v>
      </c>
      <c r="E1051" s="3">
        <v>206</v>
      </c>
      <c r="F1051" s="3">
        <v>14</v>
      </c>
      <c r="G1051" s="4">
        <v>43725</v>
      </c>
      <c r="M1051" s="1"/>
      <c r="N1051" s="1"/>
      <c r="O1051" s="1"/>
      <c r="P1051" s="1"/>
      <c r="Q1051" s="1"/>
      <c r="R1051" s="1"/>
    </row>
    <row r="1052" spans="2:18" x14ac:dyDescent="0.2">
      <c r="C1052" s="2" t="s">
        <v>9</v>
      </c>
      <c r="D1052" s="2" t="s">
        <v>47</v>
      </c>
      <c r="E1052" s="3">
        <v>248</v>
      </c>
      <c r="F1052" s="3">
        <f>150/4</f>
        <v>37.5</v>
      </c>
      <c r="G1052" s="4">
        <v>43678</v>
      </c>
      <c r="I1052" s="1">
        <v>1700</v>
      </c>
      <c r="J1052" s="1">
        <v>4100</v>
      </c>
      <c r="M1052" s="1"/>
      <c r="N1052" s="1"/>
      <c r="O1052" s="1"/>
      <c r="P1052" s="1"/>
      <c r="Q1052" s="1"/>
      <c r="R1052" s="1"/>
    </row>
    <row r="1053" spans="2:18" x14ac:dyDescent="0.2">
      <c r="C1053" s="2" t="s">
        <v>18</v>
      </c>
      <c r="D1053" s="2" t="s">
        <v>47</v>
      </c>
      <c r="E1053" s="3">
        <v>50</v>
      </c>
      <c r="F1053" s="3">
        <v>15</v>
      </c>
      <c r="G1053" s="4">
        <v>42509</v>
      </c>
      <c r="J1053" s="1">
        <v>4100</v>
      </c>
      <c r="M1053" s="1"/>
      <c r="N1053" s="1"/>
      <c r="O1053" s="1"/>
      <c r="P1053" s="1"/>
      <c r="Q1053" s="1"/>
      <c r="R1053" s="1"/>
    </row>
    <row r="1054" spans="2:18" x14ac:dyDescent="0.2">
      <c r="C1054" s="2" t="s">
        <v>18</v>
      </c>
      <c r="D1054" s="2" t="s">
        <v>2130</v>
      </c>
      <c r="E1054" s="3">
        <v>200</v>
      </c>
      <c r="F1054" s="3">
        <v>12</v>
      </c>
      <c r="G1054" s="4">
        <v>44557</v>
      </c>
      <c r="I1054" s="1">
        <v>1300</v>
      </c>
      <c r="J1054" s="1">
        <v>1300</v>
      </c>
      <c r="M1054" s="1"/>
      <c r="N1054" s="1"/>
      <c r="O1054" s="1"/>
      <c r="P1054" s="1"/>
      <c r="Q1054" s="1"/>
      <c r="R1054" s="1"/>
    </row>
    <row r="1055" spans="2:18" x14ac:dyDescent="0.2">
      <c r="C1055" s="282" t="s">
        <v>2489</v>
      </c>
      <c r="D1055" s="282" t="s">
        <v>1006</v>
      </c>
      <c r="E1055" s="3">
        <v>1600</v>
      </c>
      <c r="F1055" s="3">
        <f>1400/27</f>
        <v>51.851851851851855</v>
      </c>
      <c r="G1055" s="4">
        <v>44439</v>
      </c>
      <c r="I1055" s="1">
        <v>36000</v>
      </c>
      <c r="J1055" s="1">
        <v>42500</v>
      </c>
      <c r="M1055" s="1"/>
      <c r="N1055" s="1"/>
      <c r="O1055" s="1"/>
      <c r="P1055" s="1"/>
      <c r="Q1055" s="1"/>
      <c r="R1055" s="1"/>
    </row>
    <row r="1056" spans="2:18" x14ac:dyDescent="0.2">
      <c r="C1056" s="282" t="s">
        <v>504</v>
      </c>
      <c r="D1056" s="282" t="s">
        <v>1006</v>
      </c>
      <c r="E1056" s="3">
        <v>1000</v>
      </c>
      <c r="F1056" s="3">
        <f>900/23</f>
        <v>39.130434782608695</v>
      </c>
      <c r="G1056" s="4">
        <v>44228</v>
      </c>
      <c r="I1056" s="1">
        <v>27000</v>
      </c>
      <c r="J1056" s="1">
        <v>42500</v>
      </c>
      <c r="M1056" s="1"/>
      <c r="N1056" s="1"/>
      <c r="O1056" s="1"/>
      <c r="P1056" s="1"/>
      <c r="Q1056" s="1"/>
      <c r="R1056" s="1"/>
    </row>
    <row r="1057" spans="2:19" x14ac:dyDescent="0.2">
      <c r="G1057" s="4"/>
      <c r="M1057" s="1"/>
      <c r="N1057" s="1"/>
      <c r="O1057" s="1"/>
      <c r="P1057" s="1"/>
      <c r="Q1057" s="1"/>
      <c r="R1057" s="1"/>
    </row>
    <row r="1058" spans="2:19" s="12" customFormat="1" x14ac:dyDescent="0.2">
      <c r="B1058" s="12" t="s">
        <v>63</v>
      </c>
      <c r="C1058" s="13" t="s">
        <v>969</v>
      </c>
      <c r="D1058" s="13" t="s">
        <v>968</v>
      </c>
      <c r="E1058" s="15"/>
      <c r="F1058" s="15">
        <f>SUM(F1059:F1060)</f>
        <v>127.83809523809524</v>
      </c>
      <c r="G1058" s="14">
        <f>G1060</f>
        <v>45183</v>
      </c>
      <c r="I1058" s="46"/>
      <c r="J1058" s="46"/>
      <c r="M1058" s="13"/>
      <c r="N1058" s="13"/>
      <c r="O1058" s="13"/>
      <c r="P1058" s="13"/>
      <c r="Q1058" s="13"/>
      <c r="R1058" s="13"/>
    </row>
    <row r="1059" spans="2:19" x14ac:dyDescent="0.2">
      <c r="C1059" s="2" t="s">
        <v>8</v>
      </c>
      <c r="D1059" s="2" t="s">
        <v>57</v>
      </c>
      <c r="E1059" s="3">
        <v>250</v>
      </c>
      <c r="F1059" s="3">
        <v>100</v>
      </c>
      <c r="G1059" s="4">
        <v>45069</v>
      </c>
      <c r="I1059" s="5"/>
      <c r="J1059" s="5"/>
    </row>
    <row r="1060" spans="2:19" x14ac:dyDescent="0.2">
      <c r="C1060" s="282" t="s">
        <v>7933</v>
      </c>
      <c r="D1060" s="282" t="s">
        <v>1006</v>
      </c>
      <c r="E1060" s="3">
        <v>684.6</v>
      </c>
      <c r="F1060" s="3">
        <f>584.6/21</f>
        <v>27.838095238095239</v>
      </c>
      <c r="G1060" s="4">
        <v>45183</v>
      </c>
      <c r="I1060" s="5"/>
      <c r="J1060" s="5"/>
    </row>
    <row r="1061" spans="2:19" x14ac:dyDescent="0.2">
      <c r="G1061" s="4"/>
      <c r="I1061" s="5"/>
      <c r="J1061" s="5"/>
    </row>
    <row r="1062" spans="2:19" s="12" customFormat="1" x14ac:dyDescent="0.2">
      <c r="B1062" s="12" t="s">
        <v>172</v>
      </c>
      <c r="C1062" s="13" t="s">
        <v>969</v>
      </c>
      <c r="D1062" s="13" t="s">
        <v>968</v>
      </c>
      <c r="E1062" s="15"/>
      <c r="F1062" s="15">
        <f>SUM(F1063:F1068)</f>
        <v>125.4</v>
      </c>
      <c r="G1062" s="14">
        <f>G1067</f>
        <v>44550</v>
      </c>
      <c r="M1062" s="13"/>
      <c r="N1062" s="13"/>
      <c r="O1062" s="13"/>
      <c r="P1062" s="13"/>
      <c r="Q1062" s="13"/>
      <c r="R1062" s="13"/>
    </row>
    <row r="1063" spans="2:19" x14ac:dyDescent="0.2">
      <c r="C1063" s="2" t="s">
        <v>18</v>
      </c>
      <c r="D1063" s="2" t="s">
        <v>161</v>
      </c>
      <c r="E1063" s="3">
        <v>100</v>
      </c>
      <c r="F1063" s="3">
        <v>14</v>
      </c>
      <c r="G1063" s="4">
        <v>44235</v>
      </c>
      <c r="I1063" s="1">
        <v>5200</v>
      </c>
      <c r="J1063" s="1">
        <v>8400</v>
      </c>
    </row>
    <row r="1064" spans="2:19" x14ac:dyDescent="0.2">
      <c r="C1064" s="2" t="s">
        <v>18</v>
      </c>
      <c r="D1064" s="2" t="s">
        <v>161</v>
      </c>
      <c r="E1064" s="3">
        <v>267</v>
      </c>
      <c r="F1064" s="3">
        <f>167/5</f>
        <v>33.4</v>
      </c>
      <c r="G1064" s="4">
        <v>44140</v>
      </c>
      <c r="I1064" s="1">
        <v>5000</v>
      </c>
      <c r="J1064" s="1">
        <v>8400</v>
      </c>
    </row>
    <row r="1065" spans="2:19" x14ac:dyDescent="0.2">
      <c r="C1065" s="2" t="s">
        <v>5</v>
      </c>
      <c r="D1065" s="2" t="s">
        <v>161</v>
      </c>
      <c r="E1065" s="3">
        <v>102</v>
      </c>
      <c r="F1065" s="3">
        <v>8</v>
      </c>
      <c r="G1065" s="4">
        <v>43292</v>
      </c>
      <c r="J1065" s="1">
        <v>8400</v>
      </c>
    </row>
    <row r="1066" spans="2:19" x14ac:dyDescent="0.2">
      <c r="C1066" s="2" t="s">
        <v>5</v>
      </c>
      <c r="D1066" s="2" t="s">
        <v>161</v>
      </c>
      <c r="E1066" s="3">
        <v>112</v>
      </c>
      <c r="F1066" s="3">
        <v>20</v>
      </c>
      <c r="G1066" s="4">
        <v>43115</v>
      </c>
      <c r="J1066" s="1">
        <v>8400</v>
      </c>
    </row>
    <row r="1067" spans="2:19" x14ac:dyDescent="0.2">
      <c r="C1067" s="2" t="s">
        <v>7</v>
      </c>
      <c r="D1067" s="2" t="s">
        <v>64</v>
      </c>
      <c r="E1067" s="3">
        <f>1600/7</f>
        <v>228.57142857142858</v>
      </c>
      <c r="F1067" s="3">
        <v>40</v>
      </c>
      <c r="G1067" s="4">
        <v>44550</v>
      </c>
    </row>
    <row r="1068" spans="2:19" x14ac:dyDescent="0.2">
      <c r="C1068" s="2" t="s">
        <v>5</v>
      </c>
      <c r="D1068" s="2" t="s">
        <v>64</v>
      </c>
      <c r="E1068" s="3">
        <v>50</v>
      </c>
      <c r="F1068" s="3">
        <v>10</v>
      </c>
      <c r="G1068" s="4">
        <v>44165</v>
      </c>
    </row>
    <row r="1069" spans="2:19" x14ac:dyDescent="0.2">
      <c r="G1069" s="4"/>
    </row>
    <row r="1070" spans="2:19" x14ac:dyDescent="0.2">
      <c r="B1070" s="12" t="s">
        <v>1092</v>
      </c>
      <c r="C1070" s="13" t="s">
        <v>969</v>
      </c>
      <c r="D1070" s="13" t="s">
        <v>968</v>
      </c>
      <c r="E1070" s="15"/>
      <c r="F1070" s="15">
        <f>SUM(F1071:F1080)</f>
        <v>125.33333333333333</v>
      </c>
      <c r="G1070" s="14">
        <f>+G1074</f>
        <v>45104</v>
      </c>
      <c r="I1070" s="1">
        <v>350</v>
      </c>
      <c r="J1070" s="19">
        <f>+F1070/I1070</f>
        <v>0.35809523809523808</v>
      </c>
      <c r="K1070" s="1">
        <v>2017</v>
      </c>
      <c r="S1070" s="1" t="s">
        <v>1091</v>
      </c>
    </row>
    <row r="1071" spans="2:19" x14ac:dyDescent="0.2">
      <c r="B1071" s="265" t="s">
        <v>7664</v>
      </c>
      <c r="C1071" s="2" t="s">
        <v>7</v>
      </c>
      <c r="D1071" s="2" t="s">
        <v>952</v>
      </c>
      <c r="E1071" s="3">
        <v>130</v>
      </c>
      <c r="F1071" s="3">
        <f>70/3</f>
        <v>23.333333333333332</v>
      </c>
      <c r="G1071" s="4">
        <v>44607</v>
      </c>
    </row>
    <row r="1072" spans="2:19" x14ac:dyDescent="0.2">
      <c r="C1072" s="2" t="s">
        <v>5</v>
      </c>
      <c r="D1072" s="2" t="s">
        <v>952</v>
      </c>
      <c r="E1072" s="3">
        <v>40</v>
      </c>
      <c r="F1072" s="3">
        <v>10</v>
      </c>
      <c r="G1072" s="4">
        <v>44446</v>
      </c>
    </row>
    <row r="1073" spans="2:18" x14ac:dyDescent="0.2">
      <c r="C1073" s="2" t="s">
        <v>5</v>
      </c>
      <c r="D1073" s="2" t="s">
        <v>779</v>
      </c>
      <c r="E1073" s="3">
        <v>33</v>
      </c>
      <c r="F1073" s="3">
        <v>10</v>
      </c>
      <c r="G1073" s="4">
        <v>44893</v>
      </c>
    </row>
    <row r="1074" spans="2:18" x14ac:dyDescent="0.2">
      <c r="C1074" s="2" t="s">
        <v>5</v>
      </c>
      <c r="D1074" s="2" t="s">
        <v>546</v>
      </c>
      <c r="E1074" s="3">
        <v>58</v>
      </c>
      <c r="F1074" s="3">
        <v>20</v>
      </c>
      <c r="G1074" s="4">
        <v>45104</v>
      </c>
    </row>
    <row r="1075" spans="2:18" x14ac:dyDescent="0.2">
      <c r="C1075" s="2" t="s">
        <v>18</v>
      </c>
      <c r="D1075" s="2" t="s">
        <v>424</v>
      </c>
      <c r="E1075" s="3">
        <v>75</v>
      </c>
      <c r="F1075" s="3">
        <v>20</v>
      </c>
      <c r="G1075" s="4">
        <v>45020</v>
      </c>
    </row>
    <row r="1076" spans="2:18" x14ac:dyDescent="0.2">
      <c r="C1076" s="2" t="s">
        <v>18</v>
      </c>
      <c r="D1076" s="2" t="s">
        <v>424</v>
      </c>
      <c r="E1076" s="3">
        <v>80</v>
      </c>
      <c r="F1076" s="3">
        <v>10</v>
      </c>
      <c r="G1076" s="4">
        <v>44404</v>
      </c>
    </row>
    <row r="1077" spans="2:18" x14ac:dyDescent="0.2">
      <c r="C1077" s="2" t="s">
        <v>7</v>
      </c>
      <c r="D1077" s="2" t="s">
        <v>424</v>
      </c>
      <c r="E1077" s="3">
        <v>40</v>
      </c>
      <c r="F1077" s="3">
        <v>10</v>
      </c>
      <c r="G1077" s="4">
        <v>43957</v>
      </c>
    </row>
    <row r="1078" spans="2:18" x14ac:dyDescent="0.2">
      <c r="C1078" s="93" t="s">
        <v>18</v>
      </c>
      <c r="D1078" s="93" t="s">
        <v>6008</v>
      </c>
      <c r="E1078" s="3">
        <v>15</v>
      </c>
      <c r="F1078" s="3">
        <f>E1078/2</f>
        <v>7.5</v>
      </c>
      <c r="G1078" s="4">
        <v>45006</v>
      </c>
      <c r="I1078" s="1">
        <v>250</v>
      </c>
      <c r="J1078" s="1">
        <v>250</v>
      </c>
    </row>
    <row r="1079" spans="2:18" x14ac:dyDescent="0.2">
      <c r="C1079" s="93" t="s">
        <v>7</v>
      </c>
      <c r="D1079" s="93" t="s">
        <v>6008</v>
      </c>
      <c r="E1079" s="3">
        <v>50</v>
      </c>
      <c r="F1079" s="3">
        <v>7</v>
      </c>
      <c r="G1079" s="4">
        <v>44670</v>
      </c>
      <c r="J1079" s="1">
        <v>250</v>
      </c>
    </row>
    <row r="1080" spans="2:18" x14ac:dyDescent="0.2">
      <c r="C1080" s="176" t="s">
        <v>5</v>
      </c>
      <c r="D1080" s="176" t="s">
        <v>2035</v>
      </c>
      <c r="E1080" s="3">
        <v>30</v>
      </c>
      <c r="F1080" s="3">
        <v>7.5</v>
      </c>
      <c r="G1080" s="4">
        <v>44729</v>
      </c>
    </row>
    <row r="1081" spans="2:18" x14ac:dyDescent="0.2">
      <c r="G1081" s="4"/>
    </row>
    <row r="1082" spans="2:18" s="12" customFormat="1" x14ac:dyDescent="0.2">
      <c r="B1082" s="12" t="s">
        <v>1098</v>
      </c>
      <c r="C1082" s="13" t="s">
        <v>969</v>
      </c>
      <c r="D1082" s="13" t="s">
        <v>968</v>
      </c>
      <c r="E1082" s="15"/>
      <c r="F1082" s="15">
        <f>SUM(F1083:F1091)</f>
        <v>122.44444444444444</v>
      </c>
      <c r="G1082" s="14">
        <f>G1084</f>
        <v>45090</v>
      </c>
      <c r="M1082" s="13"/>
      <c r="N1082" s="13"/>
      <c r="O1082" s="13"/>
      <c r="P1082" s="13"/>
      <c r="Q1082" s="13"/>
      <c r="R1082" s="13"/>
    </row>
    <row r="1083" spans="2:18" x14ac:dyDescent="0.2">
      <c r="C1083" s="2" t="s">
        <v>5</v>
      </c>
      <c r="D1083" s="2" t="s">
        <v>999</v>
      </c>
      <c r="E1083" s="3">
        <v>25</v>
      </c>
      <c r="F1083" s="3">
        <v>5</v>
      </c>
      <c r="G1083" s="4">
        <v>44699</v>
      </c>
    </row>
    <row r="1084" spans="2:18" x14ac:dyDescent="0.2">
      <c r="C1084" s="2" t="s">
        <v>4</v>
      </c>
      <c r="D1084" s="2" t="s">
        <v>705</v>
      </c>
      <c r="E1084" s="3">
        <v>113</v>
      </c>
      <c r="F1084" s="3">
        <v>8</v>
      </c>
      <c r="G1084" s="4">
        <v>45090</v>
      </c>
    </row>
    <row r="1085" spans="2:18" x14ac:dyDescent="0.2">
      <c r="C1085" s="2" t="s">
        <v>4</v>
      </c>
      <c r="D1085" s="2" t="s">
        <v>652</v>
      </c>
      <c r="E1085" s="3">
        <v>12</v>
      </c>
      <c r="F1085" s="3">
        <v>4</v>
      </c>
      <c r="G1085" s="4">
        <v>44971</v>
      </c>
    </row>
    <row r="1086" spans="2:18" x14ac:dyDescent="0.2">
      <c r="C1086" s="2" t="s">
        <v>5</v>
      </c>
      <c r="D1086" s="2" t="s">
        <v>161</v>
      </c>
      <c r="E1086" s="3">
        <v>102</v>
      </c>
      <c r="F1086" s="3">
        <f>70/9</f>
        <v>7.7777777777777777</v>
      </c>
      <c r="G1086" s="4">
        <v>43292</v>
      </c>
      <c r="J1086" s="1">
        <v>8400</v>
      </c>
    </row>
    <row r="1087" spans="2:18" x14ac:dyDescent="0.2">
      <c r="C1087" s="2" t="s">
        <v>18</v>
      </c>
      <c r="D1087" s="2" t="s">
        <v>80</v>
      </c>
      <c r="E1087" s="3">
        <v>257</v>
      </c>
      <c r="F1087" s="3">
        <f>107/3</f>
        <v>35.666666666666664</v>
      </c>
      <c r="G1087" s="4">
        <v>44201</v>
      </c>
    </row>
    <row r="1088" spans="2:18" x14ac:dyDescent="0.2">
      <c r="C1088" s="2" t="s">
        <v>7</v>
      </c>
      <c r="D1088" s="2" t="s">
        <v>80</v>
      </c>
      <c r="E1088" s="3">
        <v>100</v>
      </c>
      <c r="F1088" s="3">
        <v>20</v>
      </c>
      <c r="G1088" s="4">
        <v>43958</v>
      </c>
    </row>
    <row r="1089" spans="2:10" x14ac:dyDescent="0.2">
      <c r="C1089" s="2" t="s">
        <v>5</v>
      </c>
      <c r="D1089" s="2" t="s">
        <v>80</v>
      </c>
      <c r="E1089" s="3">
        <v>43</v>
      </c>
      <c r="F1089" s="3">
        <f>+E1089/6</f>
        <v>7.166666666666667</v>
      </c>
      <c r="G1089" s="4">
        <v>43622</v>
      </c>
    </row>
    <row r="1090" spans="2:10" x14ac:dyDescent="0.2">
      <c r="C1090" s="2" t="s">
        <v>7</v>
      </c>
      <c r="D1090" s="2" t="s">
        <v>64</v>
      </c>
      <c r="E1090" s="3">
        <f>1600/7</f>
        <v>228.57142857142858</v>
      </c>
      <c r="F1090" s="3">
        <f>149/6</f>
        <v>24.833333333333332</v>
      </c>
      <c r="G1090" s="4">
        <v>44550</v>
      </c>
    </row>
    <row r="1091" spans="2:10" x14ac:dyDescent="0.2">
      <c r="C1091" s="2" t="s">
        <v>5</v>
      </c>
      <c r="D1091" s="2" t="s">
        <v>64</v>
      </c>
      <c r="E1091" s="3">
        <v>50</v>
      </c>
      <c r="F1091" s="3">
        <v>10</v>
      </c>
      <c r="G1091" s="4">
        <v>44165</v>
      </c>
    </row>
    <row r="1092" spans="2:10" x14ac:dyDescent="0.2">
      <c r="G1092" s="4"/>
    </row>
    <row r="1093" spans="2:10" x14ac:dyDescent="0.2">
      <c r="B1093" s="12" t="s">
        <v>1093</v>
      </c>
      <c r="C1093" s="13" t="s">
        <v>969</v>
      </c>
      <c r="D1093" s="13" t="s">
        <v>968</v>
      </c>
      <c r="F1093" s="15">
        <f>SUM(F1094:F1103)</f>
        <v>121.91666666666667</v>
      </c>
      <c r="G1093" s="14">
        <f>G1094</f>
        <v>45036</v>
      </c>
    </row>
    <row r="1094" spans="2:10" x14ac:dyDescent="0.2">
      <c r="B1094" s="265" t="s">
        <v>7664</v>
      </c>
      <c r="C1094" s="2" t="s">
        <v>7</v>
      </c>
      <c r="D1094" s="2" t="s">
        <v>796</v>
      </c>
      <c r="E1094" s="3">
        <v>50</v>
      </c>
      <c r="F1094" s="3">
        <v>6</v>
      </c>
      <c r="G1094" s="4">
        <v>45036</v>
      </c>
    </row>
    <row r="1095" spans="2:10" x14ac:dyDescent="0.2">
      <c r="C1095" s="2" t="s">
        <v>7</v>
      </c>
      <c r="D1095" s="2" t="s">
        <v>984</v>
      </c>
      <c r="E1095" s="3">
        <v>38</v>
      </c>
      <c r="F1095" s="3">
        <f>20/3</f>
        <v>6.666666666666667</v>
      </c>
      <c r="G1095" s="4">
        <v>44812</v>
      </c>
    </row>
    <row r="1096" spans="2:10" x14ac:dyDescent="0.2">
      <c r="C1096" s="2" t="s">
        <v>5</v>
      </c>
      <c r="D1096" s="2" t="s">
        <v>984</v>
      </c>
      <c r="E1096" s="3">
        <v>19</v>
      </c>
      <c r="F1096" s="3">
        <v>7</v>
      </c>
      <c r="G1096" s="4">
        <v>44467</v>
      </c>
    </row>
    <row r="1097" spans="2:10" x14ac:dyDescent="0.2">
      <c r="C1097" s="2" t="s">
        <v>5</v>
      </c>
      <c r="D1097" s="2" t="s">
        <v>516</v>
      </c>
      <c r="E1097" s="3">
        <v>14.5</v>
      </c>
      <c r="F1097" s="3">
        <v>3</v>
      </c>
      <c r="G1097" s="4">
        <v>43389</v>
      </c>
    </row>
    <row r="1098" spans="2:10" x14ac:dyDescent="0.2">
      <c r="C1098" s="2" t="s">
        <v>9</v>
      </c>
      <c r="D1098" s="2" t="s">
        <v>154</v>
      </c>
      <c r="E1098" s="3">
        <v>400</v>
      </c>
      <c r="F1098" s="3">
        <v>36</v>
      </c>
      <c r="G1098" s="4">
        <v>44413</v>
      </c>
      <c r="I1098" s="1">
        <v>4200</v>
      </c>
    </row>
    <row r="1099" spans="2:10" x14ac:dyDescent="0.2">
      <c r="C1099" s="2" t="s">
        <v>8</v>
      </c>
      <c r="D1099" s="2" t="s">
        <v>154</v>
      </c>
      <c r="E1099" s="3">
        <v>100</v>
      </c>
      <c r="F1099" s="3">
        <f>75/6</f>
        <v>12.5</v>
      </c>
      <c r="G1099" s="4">
        <v>44067</v>
      </c>
    </row>
    <row r="1100" spans="2:10" x14ac:dyDescent="0.2">
      <c r="C1100" s="2" t="s">
        <v>8</v>
      </c>
      <c r="D1100" s="2" t="s">
        <v>55</v>
      </c>
      <c r="E1100" s="3">
        <v>200</v>
      </c>
      <c r="F1100" s="3">
        <f>150/8</f>
        <v>18.75</v>
      </c>
      <c r="G1100" s="4">
        <v>44055</v>
      </c>
      <c r="I1100" s="1">
        <v>2000</v>
      </c>
      <c r="J1100" s="1">
        <v>7000</v>
      </c>
    </row>
    <row r="1101" spans="2:10" x14ac:dyDescent="0.2">
      <c r="C1101" s="2" t="s">
        <v>18</v>
      </c>
      <c r="D1101" s="2" t="s">
        <v>55</v>
      </c>
      <c r="E1101" s="3">
        <v>65</v>
      </c>
      <c r="F1101" s="3">
        <v>8</v>
      </c>
      <c r="G1101" s="4">
        <v>43802</v>
      </c>
      <c r="I1101" s="1">
        <v>685</v>
      </c>
      <c r="J1101" s="1">
        <v>7000</v>
      </c>
    </row>
    <row r="1102" spans="2:10" x14ac:dyDescent="0.2">
      <c r="C1102" s="2" t="s">
        <v>7</v>
      </c>
      <c r="D1102" s="2" t="s">
        <v>55</v>
      </c>
      <c r="E1102" s="3">
        <v>40</v>
      </c>
      <c r="F1102" s="3">
        <v>15</v>
      </c>
      <c r="G1102" s="4">
        <v>43503</v>
      </c>
      <c r="J1102" s="1">
        <v>7000</v>
      </c>
    </row>
    <row r="1103" spans="2:10" x14ac:dyDescent="0.2">
      <c r="C1103" s="2" t="s">
        <v>5</v>
      </c>
      <c r="D1103" s="2" t="s">
        <v>2028</v>
      </c>
      <c r="E1103" s="3">
        <v>18</v>
      </c>
      <c r="F1103" s="3">
        <v>9</v>
      </c>
      <c r="G1103" s="4">
        <v>44866</v>
      </c>
    </row>
    <row r="1104" spans="2:10" x14ac:dyDescent="0.2">
      <c r="G1104" s="4"/>
    </row>
    <row r="1105" spans="2:18" s="12" customFormat="1" x14ac:dyDescent="0.2">
      <c r="B1105" s="12" t="s">
        <v>4999</v>
      </c>
      <c r="C1105" s="13" t="s">
        <v>969</v>
      </c>
      <c r="D1105" s="13" t="s">
        <v>968</v>
      </c>
      <c r="E1105" s="15"/>
      <c r="F1105" s="15">
        <f>SUM(F1106:F1107)</f>
        <v>121</v>
      </c>
      <c r="G1105" s="14">
        <f>G1106</f>
        <v>44648</v>
      </c>
      <c r="M1105" s="13"/>
      <c r="N1105" s="13"/>
      <c r="O1105" s="13"/>
      <c r="P1105" s="13"/>
      <c r="Q1105" s="13"/>
      <c r="R1105" s="13"/>
    </row>
    <row r="1106" spans="2:18" x14ac:dyDescent="0.2">
      <c r="B1106" s="54"/>
      <c r="C1106" s="2" t="s">
        <v>7</v>
      </c>
      <c r="D1106" s="2" t="s">
        <v>2133</v>
      </c>
      <c r="E1106" s="3">
        <f>1300/7</f>
        <v>185.71428571428572</v>
      </c>
      <c r="F1106" s="3">
        <v>96</v>
      </c>
      <c r="G1106" s="4">
        <v>44648</v>
      </c>
    </row>
    <row r="1107" spans="2:18" x14ac:dyDescent="0.2">
      <c r="C1107" s="55" t="s">
        <v>8</v>
      </c>
      <c r="D1107" s="55" t="s">
        <v>2115</v>
      </c>
      <c r="E1107" s="3">
        <v>72.5</v>
      </c>
      <c r="F1107" s="3">
        <v>25</v>
      </c>
      <c r="G1107" s="4">
        <v>43697</v>
      </c>
      <c r="J1107" s="1">
        <v>1600</v>
      </c>
    </row>
    <row r="1108" spans="2:18" x14ac:dyDescent="0.2">
      <c r="G1108" s="4"/>
    </row>
    <row r="1109" spans="2:18" s="12" customFormat="1" x14ac:dyDescent="0.2">
      <c r="B1109" s="12" t="s">
        <v>1097</v>
      </c>
      <c r="C1109" s="13" t="s">
        <v>969</v>
      </c>
      <c r="D1109" s="13" t="s">
        <v>968</v>
      </c>
      <c r="E1109" s="15"/>
      <c r="F1109" s="15">
        <f>SUM(F1110:F1130)</f>
        <v>121.18333333333334</v>
      </c>
      <c r="G1109" s="14">
        <f>G1110</f>
        <v>45041</v>
      </c>
      <c r="M1109" s="13"/>
      <c r="N1109" s="13"/>
      <c r="O1109" s="13"/>
      <c r="P1109" s="13"/>
      <c r="Q1109" s="13"/>
      <c r="R1109" s="13"/>
    </row>
    <row r="1110" spans="2:18" x14ac:dyDescent="0.2">
      <c r="B1110" s="265" t="s">
        <v>7664</v>
      </c>
      <c r="C1110" s="2" t="s">
        <v>7</v>
      </c>
      <c r="D1110" s="2" t="s">
        <v>907</v>
      </c>
      <c r="E1110" s="3">
        <v>97.4</v>
      </c>
      <c r="F1110" s="3">
        <f>47/6</f>
        <v>7.833333333333333</v>
      </c>
      <c r="G1110" s="4">
        <v>45041</v>
      </c>
    </row>
    <row r="1111" spans="2:18" x14ac:dyDescent="0.2">
      <c r="C1111" s="2" t="s">
        <v>7</v>
      </c>
      <c r="D1111" s="2" t="s">
        <v>542</v>
      </c>
      <c r="E1111" s="3">
        <v>40</v>
      </c>
      <c r="F1111" s="3">
        <f>25/4</f>
        <v>6.25</v>
      </c>
      <c r="G1111" s="4">
        <v>44811</v>
      </c>
    </row>
    <row r="1112" spans="2:18" x14ac:dyDescent="0.2">
      <c r="C1112" s="2" t="s">
        <v>5</v>
      </c>
      <c r="D1112" s="2" t="s">
        <v>542</v>
      </c>
      <c r="E1112" s="3">
        <v>14</v>
      </c>
      <c r="F1112" s="3">
        <v>6</v>
      </c>
      <c r="G1112" s="4">
        <v>44447</v>
      </c>
    </row>
    <row r="1113" spans="2:18" x14ac:dyDescent="0.2">
      <c r="C1113" s="2" t="s">
        <v>5</v>
      </c>
      <c r="D1113" s="2" t="s">
        <v>465</v>
      </c>
      <c r="E1113" s="3">
        <v>15.5</v>
      </c>
      <c r="F1113" s="3">
        <v>1.625</v>
      </c>
      <c r="G1113" s="4">
        <v>44727</v>
      </c>
    </row>
    <row r="1114" spans="2:18" x14ac:dyDescent="0.2">
      <c r="C1114" s="2" t="s">
        <v>5</v>
      </c>
      <c r="D1114" s="2" t="s">
        <v>465</v>
      </c>
      <c r="E1114" s="3">
        <v>12</v>
      </c>
      <c r="F1114" s="3">
        <v>3</v>
      </c>
      <c r="G1114" s="4">
        <v>43948</v>
      </c>
    </row>
    <row r="1115" spans="2:18" x14ac:dyDescent="0.2">
      <c r="C1115" s="2" t="s">
        <v>5</v>
      </c>
      <c r="D1115" s="2" t="s">
        <v>541</v>
      </c>
      <c r="E1115" s="3">
        <v>5</v>
      </c>
      <c r="F1115" s="3">
        <v>3</v>
      </c>
      <c r="G1115" s="4">
        <v>44514</v>
      </c>
    </row>
    <row r="1116" spans="2:18" x14ac:dyDescent="0.2">
      <c r="C1116" s="2" t="s">
        <v>8</v>
      </c>
      <c r="D1116" s="2" t="s">
        <v>448</v>
      </c>
      <c r="E1116" s="3">
        <v>90</v>
      </c>
      <c r="F1116" s="3">
        <v>5</v>
      </c>
      <c r="G1116" s="4">
        <v>44776</v>
      </c>
    </row>
    <row r="1117" spans="2:18" x14ac:dyDescent="0.2">
      <c r="C1117" s="2" t="s">
        <v>18</v>
      </c>
      <c r="D1117" s="2" t="s">
        <v>448</v>
      </c>
      <c r="E1117" s="3">
        <v>40</v>
      </c>
      <c r="F1117" s="3">
        <v>4</v>
      </c>
      <c r="G1117" s="4">
        <v>44176</v>
      </c>
    </row>
    <row r="1118" spans="2:18" x14ac:dyDescent="0.2">
      <c r="C1118" s="2" t="s">
        <v>7</v>
      </c>
      <c r="D1118" s="2" t="s">
        <v>448</v>
      </c>
      <c r="E1118" s="3">
        <v>20</v>
      </c>
      <c r="F1118" s="3">
        <v>3</v>
      </c>
      <c r="G1118" s="4">
        <v>43879</v>
      </c>
    </row>
    <row r="1119" spans="2:18" x14ac:dyDescent="0.2">
      <c r="C1119" s="2" t="s">
        <v>7</v>
      </c>
      <c r="D1119" s="2" t="s">
        <v>416</v>
      </c>
      <c r="E1119" s="3">
        <v>16</v>
      </c>
      <c r="F1119" s="3">
        <v>4</v>
      </c>
      <c r="G1119" s="4">
        <v>42995</v>
      </c>
    </row>
    <row r="1120" spans="2:18" x14ac:dyDescent="0.2">
      <c r="C1120" s="2" t="s">
        <v>5</v>
      </c>
      <c r="D1120" s="2" t="s">
        <v>416</v>
      </c>
      <c r="E1120" s="3">
        <v>8</v>
      </c>
      <c r="F1120" s="3">
        <v>4</v>
      </c>
      <c r="G1120" s="4">
        <v>42416</v>
      </c>
    </row>
    <row r="1121" spans="2:18" x14ac:dyDescent="0.2">
      <c r="C1121" s="2" t="s">
        <v>7</v>
      </c>
      <c r="D1121" s="2" t="s">
        <v>360</v>
      </c>
      <c r="E1121" s="3">
        <v>27.5</v>
      </c>
      <c r="F1121" s="3">
        <f>E1121/4</f>
        <v>6.875</v>
      </c>
      <c r="G1121" s="4">
        <v>44181</v>
      </c>
    </row>
    <row r="1122" spans="2:18" x14ac:dyDescent="0.2">
      <c r="C1122" s="2" t="s">
        <v>5</v>
      </c>
      <c r="D1122" s="2" t="s">
        <v>360</v>
      </c>
      <c r="E1122" s="3">
        <v>10.7</v>
      </c>
      <c r="F1122" s="3">
        <v>4</v>
      </c>
      <c r="G1122" s="4">
        <v>43250</v>
      </c>
    </row>
    <row r="1123" spans="2:18" x14ac:dyDescent="0.2">
      <c r="C1123" s="2" t="s">
        <v>5</v>
      </c>
      <c r="D1123" s="2" t="s">
        <v>302</v>
      </c>
      <c r="E1123" s="3">
        <v>10</v>
      </c>
      <c r="F1123" s="3">
        <v>3</v>
      </c>
      <c r="G1123" s="4">
        <v>44637</v>
      </c>
    </row>
    <row r="1124" spans="2:18" x14ac:dyDescent="0.2">
      <c r="C1124" s="2" t="s">
        <v>4</v>
      </c>
      <c r="D1124" s="2" t="s">
        <v>302</v>
      </c>
      <c r="E1124" s="3">
        <v>4.5</v>
      </c>
      <c r="F1124" s="3">
        <v>2</v>
      </c>
      <c r="G1124" s="4">
        <v>44175</v>
      </c>
    </row>
    <row r="1125" spans="2:18" x14ac:dyDescent="0.2">
      <c r="C1125" s="2" t="s">
        <v>4</v>
      </c>
      <c r="D1125" s="2" t="s">
        <v>1056</v>
      </c>
      <c r="E1125" s="3">
        <v>4.3</v>
      </c>
      <c r="F1125" s="3">
        <f>E1125/3</f>
        <v>1.4333333333333333</v>
      </c>
      <c r="G1125" s="4">
        <v>42821</v>
      </c>
    </row>
    <row r="1126" spans="2:18" x14ac:dyDescent="0.2">
      <c r="C1126" s="2" t="s">
        <v>53</v>
      </c>
      <c r="D1126" s="2" t="s">
        <v>47</v>
      </c>
      <c r="E1126" s="3">
        <v>100</v>
      </c>
      <c r="F1126" s="3">
        <v>11</v>
      </c>
      <c r="G1126" s="4">
        <v>44515</v>
      </c>
      <c r="I1126" s="1">
        <v>4100</v>
      </c>
      <c r="J1126" s="1">
        <v>4100</v>
      </c>
    </row>
    <row r="1127" spans="2:18" x14ac:dyDescent="0.2">
      <c r="C1127" s="2" t="s">
        <v>8</v>
      </c>
      <c r="D1127" s="2" t="s">
        <v>47</v>
      </c>
      <c r="E1127" s="3">
        <v>145</v>
      </c>
      <c r="F1127" s="3">
        <f>85/6</f>
        <v>14.166666666666666</v>
      </c>
      <c r="G1127" s="4">
        <v>43228</v>
      </c>
      <c r="I1127" s="1">
        <v>855</v>
      </c>
      <c r="J1127" s="1">
        <v>4100</v>
      </c>
    </row>
    <row r="1128" spans="2:18" x14ac:dyDescent="0.2">
      <c r="C1128" s="2" t="s">
        <v>18</v>
      </c>
      <c r="D1128" s="2" t="s">
        <v>47</v>
      </c>
      <c r="E1128" s="3">
        <v>50</v>
      </c>
      <c r="F1128" s="3">
        <v>10</v>
      </c>
      <c r="G1128" s="4">
        <v>42509</v>
      </c>
      <c r="J1128" s="1">
        <v>4100</v>
      </c>
    </row>
    <row r="1129" spans="2:18" x14ac:dyDescent="0.2">
      <c r="C1129" s="2" t="s">
        <v>7</v>
      </c>
      <c r="D1129" s="2" t="s">
        <v>47</v>
      </c>
      <c r="E1129" s="3">
        <v>30</v>
      </c>
      <c r="F1129" s="3">
        <v>20</v>
      </c>
      <c r="G1129" s="4">
        <v>41808</v>
      </c>
      <c r="J1129" s="1">
        <v>4100</v>
      </c>
    </row>
    <row r="1130" spans="2:18" x14ac:dyDescent="0.2">
      <c r="C1130" s="253" t="s">
        <v>5</v>
      </c>
      <c r="D1130" s="253" t="s">
        <v>7616</v>
      </c>
      <c r="E1130" s="3">
        <v>2.2000000000000002</v>
      </c>
      <c r="F1130" s="3">
        <v>1</v>
      </c>
      <c r="G1130" s="4">
        <v>43906</v>
      </c>
    </row>
    <row r="1131" spans="2:18" x14ac:dyDescent="0.2">
      <c r="G1131" s="4"/>
    </row>
    <row r="1132" spans="2:18" s="12" customFormat="1" x14ac:dyDescent="0.2">
      <c r="B1132" s="12" t="s">
        <v>11</v>
      </c>
      <c r="C1132" s="13" t="s">
        <v>969</v>
      </c>
      <c r="D1132" s="13" t="s">
        <v>968</v>
      </c>
      <c r="E1132" s="15"/>
      <c r="F1132" s="15">
        <f>SUM(F1133:F1135)</f>
        <v>153.33333333333334</v>
      </c>
      <c r="G1132" s="14">
        <f>+G1135</f>
        <v>45230</v>
      </c>
      <c r="M1132" s="13"/>
      <c r="N1132" s="13"/>
      <c r="O1132" s="13"/>
      <c r="P1132" s="13"/>
      <c r="Q1132" s="13"/>
      <c r="R1132" s="13"/>
    </row>
    <row r="1133" spans="2:18" x14ac:dyDescent="0.2">
      <c r="C1133" s="2" t="s">
        <v>9</v>
      </c>
      <c r="D1133" s="2" t="s">
        <v>3</v>
      </c>
      <c r="E1133" s="3">
        <v>90</v>
      </c>
      <c r="F1133" s="3">
        <v>10</v>
      </c>
      <c r="G1133" s="4">
        <v>44721</v>
      </c>
      <c r="I1133" s="1">
        <v>2200</v>
      </c>
      <c r="J1133" s="1">
        <v>2500</v>
      </c>
    </row>
    <row r="1134" spans="2:18" x14ac:dyDescent="0.2">
      <c r="C1134" s="2" t="s">
        <v>8</v>
      </c>
      <c r="D1134" s="2" t="s">
        <v>3</v>
      </c>
      <c r="E1134" s="3">
        <v>210</v>
      </c>
      <c r="F1134" s="3">
        <v>110</v>
      </c>
      <c r="G1134" s="4">
        <v>44432</v>
      </c>
      <c r="I1134" s="1">
        <v>1000</v>
      </c>
      <c r="J1134" s="1">
        <v>2500</v>
      </c>
    </row>
    <row r="1135" spans="2:18" x14ac:dyDescent="0.2">
      <c r="C1135" s="282" t="s">
        <v>53</v>
      </c>
      <c r="D1135" s="2" t="s">
        <v>3</v>
      </c>
      <c r="E1135" s="3">
        <v>200</v>
      </c>
      <c r="F1135" s="3">
        <v>33.333333333333336</v>
      </c>
      <c r="G1135" s="4">
        <v>45230</v>
      </c>
      <c r="J1135" s="1">
        <v>2500</v>
      </c>
    </row>
    <row r="1136" spans="2:18" x14ac:dyDescent="0.2">
      <c r="G1136" s="4"/>
    </row>
    <row r="1137" spans="2:18" s="12" customFormat="1" x14ac:dyDescent="0.2">
      <c r="B1137" s="12" t="s">
        <v>207</v>
      </c>
      <c r="C1137" s="13" t="s">
        <v>969</v>
      </c>
      <c r="D1137" s="13" t="s">
        <v>968</v>
      </c>
      <c r="E1137" s="15"/>
      <c r="F1137" s="15">
        <f>SUM(F1138:F1139)</f>
        <v>120</v>
      </c>
      <c r="G1137" s="14">
        <f>G1138</f>
        <v>44274</v>
      </c>
      <c r="M1137" s="13"/>
      <c r="N1137" s="13"/>
      <c r="O1137" s="13"/>
      <c r="P1137" s="13"/>
      <c r="Q1137" s="13"/>
      <c r="R1137" s="13"/>
    </row>
    <row r="1138" spans="2:18" x14ac:dyDescent="0.2">
      <c r="B1138" s="250" t="s">
        <v>7668</v>
      </c>
      <c r="C1138" s="2" t="s">
        <v>18</v>
      </c>
      <c r="D1138" s="2" t="s">
        <v>197</v>
      </c>
      <c r="E1138" s="3">
        <v>500</v>
      </c>
      <c r="F1138" s="3">
        <v>100</v>
      </c>
      <c r="G1138" s="4">
        <v>44274</v>
      </c>
    </row>
    <row r="1139" spans="2:18" x14ac:dyDescent="0.2">
      <c r="B1139" s="266" t="s">
        <v>7663</v>
      </c>
      <c r="C1139" s="2" t="s">
        <v>8</v>
      </c>
      <c r="D1139" s="2" t="s">
        <v>2137</v>
      </c>
      <c r="E1139" s="3">
        <v>200</v>
      </c>
      <c r="F1139" s="3">
        <v>20</v>
      </c>
      <c r="G1139" s="4">
        <v>44237</v>
      </c>
    </row>
    <row r="1140" spans="2:18" x14ac:dyDescent="0.2">
      <c r="G1140" s="4"/>
    </row>
    <row r="1141" spans="2:18" x14ac:dyDescent="0.2">
      <c r="B1141" s="12" t="s">
        <v>1095</v>
      </c>
      <c r="C1141" s="13" t="s">
        <v>969</v>
      </c>
      <c r="D1141" s="13" t="s">
        <v>968</v>
      </c>
      <c r="F1141" s="15">
        <f>SUM(F1142:F1146)</f>
        <v>118.75</v>
      </c>
      <c r="G1141" s="14">
        <f>G1143</f>
        <v>45050</v>
      </c>
    </row>
    <row r="1142" spans="2:18" x14ac:dyDescent="0.2">
      <c r="C1142" s="2" t="s">
        <v>18</v>
      </c>
      <c r="D1142" s="2" t="s">
        <v>803</v>
      </c>
      <c r="E1142" s="3">
        <v>100</v>
      </c>
      <c r="F1142" s="3">
        <v>13</v>
      </c>
      <c r="G1142" s="4">
        <v>43682</v>
      </c>
    </row>
    <row r="1143" spans="2:18" x14ac:dyDescent="0.2">
      <c r="C1143" s="2" t="s">
        <v>4</v>
      </c>
      <c r="D1143" s="2" t="s">
        <v>1094</v>
      </c>
      <c r="E1143" s="3">
        <v>8</v>
      </c>
      <c r="F1143" s="3">
        <v>7</v>
      </c>
      <c r="G1143" s="4">
        <v>45050</v>
      </c>
    </row>
    <row r="1144" spans="2:18" x14ac:dyDescent="0.2">
      <c r="C1144" s="2" t="s">
        <v>9</v>
      </c>
      <c r="D1144" s="2" t="s">
        <v>55</v>
      </c>
      <c r="E1144" s="3">
        <v>250</v>
      </c>
      <c r="F1144" s="3">
        <f>150/5</f>
        <v>30</v>
      </c>
      <c r="G1144" s="4">
        <v>44350</v>
      </c>
      <c r="I1144" s="1">
        <v>7000</v>
      </c>
      <c r="J1144" s="1">
        <v>7000</v>
      </c>
    </row>
    <row r="1145" spans="2:18" x14ac:dyDescent="0.2">
      <c r="C1145" s="2" t="s">
        <v>8</v>
      </c>
      <c r="D1145" s="2" t="s">
        <v>55</v>
      </c>
      <c r="E1145" s="3">
        <v>200</v>
      </c>
      <c r="F1145" s="3">
        <f>150/8</f>
        <v>18.75</v>
      </c>
      <c r="G1145" s="4">
        <v>44055</v>
      </c>
      <c r="I1145" s="1">
        <v>2000</v>
      </c>
      <c r="J1145" s="1">
        <v>7000</v>
      </c>
    </row>
    <row r="1146" spans="2:18" x14ac:dyDescent="0.2">
      <c r="C1146" s="2" t="s">
        <v>1</v>
      </c>
      <c r="D1146" s="2" t="s">
        <v>0</v>
      </c>
      <c r="E1146" s="3">
        <v>300</v>
      </c>
      <c r="F1146" s="3">
        <v>50</v>
      </c>
      <c r="G1146" s="4">
        <v>45044</v>
      </c>
      <c r="I1146" s="1">
        <v>28700</v>
      </c>
      <c r="J1146" s="1">
        <v>28700</v>
      </c>
    </row>
    <row r="1147" spans="2:18" x14ac:dyDescent="0.2">
      <c r="G1147" s="4"/>
    </row>
    <row r="1148" spans="2:18" x14ac:dyDescent="0.2">
      <c r="B1148" s="12" t="s">
        <v>7325</v>
      </c>
      <c r="C1148" s="13" t="s">
        <v>969</v>
      </c>
      <c r="D1148" s="13" t="s">
        <v>968</v>
      </c>
      <c r="E1148" s="15"/>
      <c r="F1148" s="15">
        <f>SUM(F1149:F1164)</f>
        <v>117.86666666666667</v>
      </c>
      <c r="G1148" s="14">
        <f>G1156</f>
        <v>45005</v>
      </c>
      <c r="I1148" s="225" t="s">
        <v>7324</v>
      </c>
    </row>
    <row r="1149" spans="2:18" x14ac:dyDescent="0.2">
      <c r="B1149" s="265" t="s">
        <v>7664</v>
      </c>
      <c r="C1149" s="2" t="s">
        <v>18</v>
      </c>
      <c r="D1149" s="2" t="s">
        <v>957</v>
      </c>
      <c r="E1149" s="3">
        <v>50</v>
      </c>
      <c r="F1149" s="3">
        <f>30/5</f>
        <v>6</v>
      </c>
      <c r="G1149" s="4">
        <v>44900</v>
      </c>
      <c r="I1149" s="1">
        <v>450</v>
      </c>
      <c r="J1149" s="1">
        <v>1400</v>
      </c>
    </row>
    <row r="1150" spans="2:18" x14ac:dyDescent="0.2">
      <c r="C1150" s="2" t="s">
        <v>18</v>
      </c>
      <c r="D1150" s="2" t="s">
        <v>1064</v>
      </c>
      <c r="E1150" s="3">
        <v>85</v>
      </c>
      <c r="F1150" s="3">
        <v>10</v>
      </c>
      <c r="G1150" s="4">
        <v>44501</v>
      </c>
    </row>
    <row r="1151" spans="2:18" x14ac:dyDescent="0.2">
      <c r="C1151" s="2" t="s">
        <v>7</v>
      </c>
      <c r="D1151" s="2" t="s">
        <v>1064</v>
      </c>
      <c r="E1151" s="3">
        <v>28</v>
      </c>
      <c r="F1151" s="3">
        <v>5</v>
      </c>
      <c r="G1151" s="4">
        <v>44272</v>
      </c>
    </row>
    <row r="1152" spans="2:18" x14ac:dyDescent="0.2">
      <c r="C1152" s="2" t="s">
        <v>5</v>
      </c>
      <c r="D1152" s="2" t="s">
        <v>1064</v>
      </c>
      <c r="E1152" s="3">
        <v>15</v>
      </c>
      <c r="F1152" s="3">
        <v>5</v>
      </c>
      <c r="G1152" s="4">
        <v>43924</v>
      </c>
    </row>
    <row r="1153" spans="2:7" x14ac:dyDescent="0.2">
      <c r="C1153" s="2" t="s">
        <v>4</v>
      </c>
      <c r="D1153" s="2" t="s">
        <v>1064</v>
      </c>
      <c r="E1153" s="3">
        <v>3.9</v>
      </c>
      <c r="F1153" s="3">
        <v>2.9</v>
      </c>
      <c r="G1153" s="4">
        <v>43761</v>
      </c>
    </row>
    <row r="1154" spans="2:7" x14ac:dyDescent="0.2">
      <c r="C1154" s="2" t="s">
        <v>4</v>
      </c>
      <c r="D1154" s="2" t="s">
        <v>1024</v>
      </c>
      <c r="E1154" s="3">
        <v>2.8</v>
      </c>
      <c r="F1154" s="3">
        <v>0.8</v>
      </c>
      <c r="G1154" s="4">
        <v>44994</v>
      </c>
    </row>
    <row r="1155" spans="2:7" x14ac:dyDescent="0.2">
      <c r="C1155" s="2" t="s">
        <v>4</v>
      </c>
      <c r="D1155" s="2" t="s">
        <v>1024</v>
      </c>
      <c r="E1155" s="3">
        <v>2.6</v>
      </c>
      <c r="F1155" s="3">
        <v>1</v>
      </c>
      <c r="G1155" s="4">
        <v>44147</v>
      </c>
    </row>
    <row r="1156" spans="2:7" x14ac:dyDescent="0.2">
      <c r="C1156" s="2" t="s">
        <v>5</v>
      </c>
      <c r="D1156" s="2" t="s">
        <v>688</v>
      </c>
      <c r="E1156" s="3">
        <v>12.5</v>
      </c>
      <c r="F1156" s="3">
        <v>7</v>
      </c>
      <c r="G1156" s="4">
        <v>45005</v>
      </c>
    </row>
    <row r="1157" spans="2:7" x14ac:dyDescent="0.2">
      <c r="C1157" s="2" t="s">
        <v>4</v>
      </c>
      <c r="D1157" s="2" t="s">
        <v>652</v>
      </c>
      <c r="E1157" s="3">
        <v>12</v>
      </c>
      <c r="F1157" s="3">
        <v>2</v>
      </c>
      <c r="G1157" s="4">
        <v>44971</v>
      </c>
    </row>
    <row r="1158" spans="2:7" x14ac:dyDescent="0.2">
      <c r="C1158" s="2" t="s">
        <v>4</v>
      </c>
      <c r="D1158" s="2" t="s">
        <v>596</v>
      </c>
      <c r="E1158" s="3">
        <v>6</v>
      </c>
      <c r="F1158" s="3">
        <v>2</v>
      </c>
      <c r="G1158" s="4">
        <v>44781</v>
      </c>
    </row>
    <row r="1159" spans="2:7" x14ac:dyDescent="0.2">
      <c r="C1159" s="2" t="s">
        <v>278</v>
      </c>
      <c r="D1159" s="2" t="s">
        <v>596</v>
      </c>
      <c r="E1159" s="3">
        <v>1</v>
      </c>
      <c r="F1159" s="3">
        <v>0.5</v>
      </c>
      <c r="G1159" s="4">
        <v>44476</v>
      </c>
    </row>
    <row r="1160" spans="2:7" x14ac:dyDescent="0.2">
      <c r="C1160" s="2" t="s">
        <v>7</v>
      </c>
      <c r="D1160" s="2" t="s">
        <v>1063</v>
      </c>
      <c r="E1160" s="3">
        <v>100</v>
      </c>
      <c r="F1160" s="3">
        <v>15</v>
      </c>
      <c r="G1160" s="4">
        <v>45106</v>
      </c>
    </row>
    <row r="1161" spans="2:7" x14ac:dyDescent="0.2">
      <c r="C1161" s="93" t="s">
        <v>7</v>
      </c>
      <c r="D1161" s="93" t="s">
        <v>5459</v>
      </c>
      <c r="E1161" s="3">
        <v>75</v>
      </c>
      <c r="F1161" s="3">
        <f>50/3</f>
        <v>16.666666666666668</v>
      </c>
      <c r="G1161" s="4">
        <v>44677</v>
      </c>
    </row>
    <row r="1162" spans="2:7" x14ac:dyDescent="0.2">
      <c r="C1162" s="93" t="s">
        <v>5</v>
      </c>
      <c r="D1162" s="93" t="s">
        <v>5459</v>
      </c>
      <c r="E1162" s="3">
        <v>40</v>
      </c>
      <c r="F1162" s="3">
        <v>40</v>
      </c>
      <c r="G1162" s="4">
        <v>44682</v>
      </c>
    </row>
    <row r="1163" spans="2:7" x14ac:dyDescent="0.2">
      <c r="C1163" s="93" t="s">
        <v>5</v>
      </c>
      <c r="D1163" s="93" t="s">
        <v>2020</v>
      </c>
      <c r="E1163" s="3">
        <v>10</v>
      </c>
      <c r="F1163" s="3">
        <v>2</v>
      </c>
      <c r="G1163" s="4">
        <v>44504</v>
      </c>
    </row>
    <row r="1164" spans="2:7" x14ac:dyDescent="0.2">
      <c r="C1164" s="93" t="s">
        <v>4</v>
      </c>
      <c r="D1164" s="93" t="s">
        <v>2020</v>
      </c>
      <c r="E1164" s="3">
        <v>4</v>
      </c>
      <c r="F1164" s="3">
        <v>2</v>
      </c>
      <c r="G1164" s="4">
        <v>44097</v>
      </c>
    </row>
    <row r="1165" spans="2:7" x14ac:dyDescent="0.2">
      <c r="G1165" s="4"/>
    </row>
    <row r="1166" spans="2:7" x14ac:dyDescent="0.2">
      <c r="B1166" s="12" t="s">
        <v>1080</v>
      </c>
      <c r="C1166" s="13" t="s">
        <v>969</v>
      </c>
      <c r="D1166" s="13" t="s">
        <v>968</v>
      </c>
      <c r="F1166" s="15">
        <f>SUM(F1167:F1171)</f>
        <v>114.13043478260869</v>
      </c>
      <c r="G1166" s="14">
        <f>+G1169</f>
        <v>44622</v>
      </c>
    </row>
    <row r="1167" spans="2:7" x14ac:dyDescent="0.2">
      <c r="C1167" s="2" t="s">
        <v>18</v>
      </c>
      <c r="D1167" s="2" t="s">
        <v>798</v>
      </c>
      <c r="E1167" s="3">
        <v>50</v>
      </c>
      <c r="F1167" s="3">
        <v>8</v>
      </c>
      <c r="G1167" s="4">
        <v>44496</v>
      </c>
    </row>
    <row r="1168" spans="2:7" x14ac:dyDescent="0.2">
      <c r="C1168" s="2" t="s">
        <v>18</v>
      </c>
      <c r="D1168" s="2" t="s">
        <v>883</v>
      </c>
      <c r="E1168" s="3">
        <v>200</v>
      </c>
      <c r="F1168" s="3">
        <v>50</v>
      </c>
      <c r="G1168" s="4">
        <v>44377</v>
      </c>
    </row>
    <row r="1169" spans="2:18" x14ac:dyDescent="0.2">
      <c r="C1169" s="2" t="s">
        <v>8</v>
      </c>
      <c r="D1169" s="2" t="s">
        <v>258</v>
      </c>
      <c r="E1169" s="3">
        <v>111</v>
      </c>
      <c r="F1169" s="3">
        <v>7</v>
      </c>
      <c r="G1169" s="4">
        <v>44622</v>
      </c>
    </row>
    <row r="1170" spans="2:18" x14ac:dyDescent="0.2">
      <c r="C1170" s="2" t="s">
        <v>18</v>
      </c>
      <c r="D1170" s="2" t="s">
        <v>258</v>
      </c>
      <c r="E1170" s="3">
        <v>55</v>
      </c>
      <c r="F1170" s="3">
        <v>10</v>
      </c>
      <c r="G1170" s="4">
        <v>44314</v>
      </c>
    </row>
    <row r="1171" spans="2:18" x14ac:dyDescent="0.2">
      <c r="C1171" s="282" t="s">
        <v>504</v>
      </c>
      <c r="D1171" s="282" t="s">
        <v>1006</v>
      </c>
      <c r="E1171" s="3">
        <v>1000</v>
      </c>
      <c r="F1171" s="3">
        <f>900/23</f>
        <v>39.130434782608695</v>
      </c>
      <c r="G1171" s="4">
        <v>44228</v>
      </c>
    </row>
    <row r="1172" spans="2:18" x14ac:dyDescent="0.2">
      <c r="G1172" s="4"/>
    </row>
    <row r="1173" spans="2:18" s="12" customFormat="1" x14ac:dyDescent="0.2">
      <c r="B1173" s="12" t="s">
        <v>496</v>
      </c>
      <c r="C1173" s="13" t="s">
        <v>969</v>
      </c>
      <c r="D1173" s="13" t="s">
        <v>968</v>
      </c>
      <c r="E1173" s="15"/>
      <c r="F1173" s="15">
        <f>SUM(F1174:F1175)</f>
        <v>114</v>
      </c>
      <c r="G1173" s="14">
        <f>G1175</f>
        <v>44608</v>
      </c>
    </row>
    <row r="1174" spans="2:18" x14ac:dyDescent="0.2">
      <c r="C1174" s="2" t="s">
        <v>9</v>
      </c>
      <c r="D1174" s="2" t="s">
        <v>489</v>
      </c>
      <c r="E1174" s="3">
        <v>206</v>
      </c>
      <c r="F1174" s="3">
        <v>14</v>
      </c>
      <c r="G1174" s="4">
        <v>43725</v>
      </c>
      <c r="M1174" s="1"/>
      <c r="N1174" s="1"/>
      <c r="O1174" s="1"/>
      <c r="P1174" s="1"/>
      <c r="Q1174" s="1"/>
      <c r="R1174" s="1"/>
    </row>
    <row r="1175" spans="2:18" x14ac:dyDescent="0.2">
      <c r="C1175" s="2" t="s">
        <v>9</v>
      </c>
      <c r="D1175" s="2" t="s">
        <v>386</v>
      </c>
      <c r="E1175" s="3">
        <v>400</v>
      </c>
      <c r="F1175" s="3">
        <v>100</v>
      </c>
      <c r="G1175" s="4">
        <v>44608</v>
      </c>
      <c r="M1175" s="1"/>
      <c r="N1175" s="1"/>
      <c r="O1175" s="1"/>
      <c r="P1175" s="1"/>
      <c r="Q1175" s="1"/>
      <c r="R1175" s="1"/>
    </row>
    <row r="1176" spans="2:18" x14ac:dyDescent="0.2">
      <c r="G1176" s="4"/>
      <c r="M1176" s="1"/>
      <c r="N1176" s="1"/>
      <c r="O1176" s="1"/>
      <c r="P1176" s="1"/>
      <c r="Q1176" s="1"/>
      <c r="R1176" s="1"/>
    </row>
    <row r="1177" spans="2:18" s="12" customFormat="1" x14ac:dyDescent="0.2">
      <c r="B1177" s="12" t="s">
        <v>824</v>
      </c>
      <c r="C1177" s="13" t="s">
        <v>4238</v>
      </c>
      <c r="D1177" s="13" t="s">
        <v>968</v>
      </c>
      <c r="E1177" s="15"/>
      <c r="F1177" s="15">
        <f>SUM(F1178:F1180)</f>
        <v>110.5</v>
      </c>
      <c r="G1177" s="14">
        <f>G1178</f>
        <v>44578</v>
      </c>
      <c r="M1177" s="13"/>
      <c r="N1177" s="13"/>
      <c r="O1177" s="13"/>
      <c r="P1177" s="13"/>
      <c r="Q1177" s="13"/>
      <c r="R1177" s="13"/>
    </row>
    <row r="1178" spans="2:18" x14ac:dyDescent="0.2">
      <c r="C1178" s="2" t="s">
        <v>5</v>
      </c>
      <c r="D1178" s="2" t="s">
        <v>819</v>
      </c>
      <c r="E1178" s="3">
        <v>20</v>
      </c>
      <c r="F1178" s="3">
        <v>2</v>
      </c>
      <c r="G1178" s="4">
        <v>44578</v>
      </c>
    </row>
    <row r="1179" spans="2:18" x14ac:dyDescent="0.2">
      <c r="C1179" s="2" t="s">
        <v>8</v>
      </c>
      <c r="D1179" s="2" t="s">
        <v>253</v>
      </c>
      <c r="E1179" s="3">
        <v>600</v>
      </c>
      <c r="F1179" s="3">
        <f>500/8</f>
        <v>62.5</v>
      </c>
      <c r="G1179" s="4">
        <v>44502</v>
      </c>
    </row>
    <row r="1180" spans="2:18" x14ac:dyDescent="0.2">
      <c r="C1180" s="2" t="s">
        <v>5</v>
      </c>
      <c r="D1180" s="2" t="s">
        <v>253</v>
      </c>
      <c r="E1180" s="3">
        <v>92</v>
      </c>
      <c r="F1180" s="3">
        <f>E1180/2</f>
        <v>46</v>
      </c>
      <c r="G1180" s="4">
        <v>43130</v>
      </c>
    </row>
    <row r="1181" spans="2:18" x14ac:dyDescent="0.2">
      <c r="G1181" s="4"/>
    </row>
    <row r="1182" spans="2:18" s="12" customFormat="1" x14ac:dyDescent="0.2">
      <c r="B1182" s="12" t="s">
        <v>54</v>
      </c>
      <c r="C1182" s="13" t="s">
        <v>969</v>
      </c>
      <c r="D1182" s="13" t="s">
        <v>968</v>
      </c>
      <c r="E1182" s="15"/>
      <c r="F1182" s="15">
        <f>SUM(F1183:F1188)</f>
        <v>109.92142857142856</v>
      </c>
      <c r="G1182" s="14">
        <f>G1188</f>
        <v>45183</v>
      </c>
      <c r="M1182" s="13"/>
      <c r="N1182" s="13"/>
      <c r="O1182" s="13"/>
      <c r="P1182" s="13"/>
      <c r="Q1182" s="13"/>
      <c r="R1182" s="13"/>
    </row>
    <row r="1183" spans="2:18" x14ac:dyDescent="0.2">
      <c r="C1183" s="2" t="s">
        <v>53</v>
      </c>
      <c r="D1183" s="2" t="s">
        <v>47</v>
      </c>
      <c r="E1183" s="3">
        <v>100</v>
      </c>
      <c r="F1183" s="3">
        <v>11</v>
      </c>
      <c r="G1183" s="4">
        <v>44515</v>
      </c>
      <c r="I1183" s="1">
        <v>4100</v>
      </c>
      <c r="J1183" s="1">
        <v>4100</v>
      </c>
    </row>
    <row r="1184" spans="2:18" x14ac:dyDescent="0.2">
      <c r="C1184" s="2" t="s">
        <v>18</v>
      </c>
      <c r="D1184" s="2" t="s">
        <v>47</v>
      </c>
      <c r="E1184" s="3">
        <v>60</v>
      </c>
      <c r="F1184" s="3">
        <v>20</v>
      </c>
      <c r="G1184" s="4">
        <v>42964</v>
      </c>
      <c r="J1184" s="1">
        <v>4100</v>
      </c>
    </row>
    <row r="1185" spans="2:18" x14ac:dyDescent="0.2">
      <c r="C1185" s="2" t="s">
        <v>9</v>
      </c>
      <c r="D1185" s="2" t="s">
        <v>52</v>
      </c>
      <c r="E1185" s="3">
        <v>220</v>
      </c>
      <c r="F1185" s="3">
        <v>28</v>
      </c>
      <c r="G1185" s="4">
        <v>44357</v>
      </c>
      <c r="I1185" s="1">
        <v>1900</v>
      </c>
      <c r="J1185" s="1">
        <v>1900</v>
      </c>
    </row>
    <row r="1186" spans="2:18" x14ac:dyDescent="0.2">
      <c r="C1186" s="2" t="s">
        <v>8</v>
      </c>
      <c r="D1186" s="2" t="s">
        <v>52</v>
      </c>
      <c r="E1186" s="3">
        <v>125</v>
      </c>
      <c r="F1186" s="3">
        <v>18.75</v>
      </c>
      <c r="G1186" s="4">
        <v>44131</v>
      </c>
      <c r="I1186" s="1">
        <v>875</v>
      </c>
      <c r="J1186" s="1">
        <v>1900</v>
      </c>
    </row>
    <row r="1187" spans="2:18" x14ac:dyDescent="0.2">
      <c r="C1187" s="55" t="s">
        <v>7</v>
      </c>
      <c r="D1187" s="55" t="s">
        <v>2115</v>
      </c>
      <c r="E1187" s="3">
        <v>20</v>
      </c>
      <c r="F1187" s="3">
        <f>13/3</f>
        <v>4.333333333333333</v>
      </c>
      <c r="G1187" s="4">
        <v>42317</v>
      </c>
      <c r="J1187" s="1">
        <v>1600</v>
      </c>
    </row>
    <row r="1188" spans="2:18" x14ac:dyDescent="0.2">
      <c r="C1188" s="282" t="s">
        <v>7933</v>
      </c>
      <c r="D1188" s="282" t="s">
        <v>1006</v>
      </c>
      <c r="E1188" s="3">
        <v>684.6</v>
      </c>
      <c r="F1188" s="3">
        <f>584.6/21</f>
        <v>27.838095238095239</v>
      </c>
      <c r="G1188" s="4">
        <v>45183</v>
      </c>
    </row>
    <row r="1189" spans="2:18" x14ac:dyDescent="0.2">
      <c r="G1189" s="4"/>
    </row>
    <row r="1190" spans="2:18" s="12" customFormat="1" x14ac:dyDescent="0.2">
      <c r="B1190" s="12" t="s">
        <v>20</v>
      </c>
      <c r="C1190" s="13" t="s">
        <v>969</v>
      </c>
      <c r="D1190" s="13" t="s">
        <v>968</v>
      </c>
      <c r="E1190" s="15"/>
      <c r="F1190" s="15">
        <f>SUM(F1191:F1192)</f>
        <v>110</v>
      </c>
      <c r="G1190" s="14">
        <f>G1191</f>
        <v>44502</v>
      </c>
      <c r="M1190" s="13"/>
      <c r="N1190" s="13"/>
      <c r="O1190" s="13"/>
      <c r="P1190" s="13"/>
      <c r="Q1190" s="13"/>
      <c r="R1190" s="13"/>
    </row>
    <row r="1191" spans="2:18" x14ac:dyDescent="0.2">
      <c r="C1191" s="2" t="s">
        <v>8</v>
      </c>
      <c r="D1191" s="2" t="s">
        <v>15</v>
      </c>
      <c r="E1191" s="3">
        <v>220</v>
      </c>
      <c r="F1191" s="3">
        <v>50</v>
      </c>
      <c r="G1191" s="4">
        <v>44502</v>
      </c>
      <c r="I1191" s="1">
        <v>794</v>
      </c>
      <c r="J1191" s="1">
        <v>794</v>
      </c>
    </row>
    <row r="1192" spans="2:18" x14ac:dyDescent="0.2">
      <c r="C1192" s="2" t="s">
        <v>8</v>
      </c>
      <c r="D1192" s="2" t="s">
        <v>15</v>
      </c>
      <c r="E1192" s="3">
        <v>220</v>
      </c>
      <c r="F1192" s="3">
        <v>60</v>
      </c>
      <c r="G1192" s="4">
        <v>44322</v>
      </c>
      <c r="I1192" s="1">
        <v>780</v>
      </c>
      <c r="J1192" s="1">
        <v>780</v>
      </c>
    </row>
    <row r="1193" spans="2:18" x14ac:dyDescent="0.2">
      <c r="G1193" s="4"/>
    </row>
    <row r="1194" spans="2:18" s="12" customFormat="1" x14ac:dyDescent="0.2">
      <c r="B1194" s="12" t="s">
        <v>121</v>
      </c>
      <c r="C1194" s="13" t="s">
        <v>969</v>
      </c>
      <c r="D1194" s="13" t="s">
        <v>968</v>
      </c>
      <c r="E1194" s="15"/>
      <c r="F1194" s="15">
        <f>SUM(F1195:F1196)</f>
        <v>106.25</v>
      </c>
      <c r="G1194" s="14">
        <f>G1195</f>
        <v>44510</v>
      </c>
      <c r="M1194" s="13"/>
      <c r="N1194" s="13"/>
      <c r="O1194" s="13"/>
      <c r="P1194" s="13"/>
      <c r="Q1194" s="13"/>
      <c r="R1194" s="13"/>
    </row>
    <row r="1195" spans="2:18" x14ac:dyDescent="0.2">
      <c r="C1195" s="2" t="s">
        <v>5</v>
      </c>
      <c r="D1195" s="2" t="s">
        <v>110</v>
      </c>
      <c r="E1195" s="3">
        <v>25</v>
      </c>
      <c r="F1195" s="3">
        <v>8</v>
      </c>
      <c r="G1195" s="4">
        <v>44510</v>
      </c>
    </row>
    <row r="1196" spans="2:18" x14ac:dyDescent="0.2">
      <c r="C1196" s="2" t="s">
        <v>2489</v>
      </c>
      <c r="D1196" s="2" t="s">
        <v>3938</v>
      </c>
      <c r="E1196" s="3">
        <v>196.5</v>
      </c>
      <c r="F1196" s="3">
        <f>E1196/2</f>
        <v>98.25</v>
      </c>
      <c r="G1196" s="4">
        <v>41544</v>
      </c>
      <c r="I1196" s="1">
        <v>8000</v>
      </c>
      <c r="J1196" s="1">
        <v>32500</v>
      </c>
    </row>
    <row r="1197" spans="2:18" x14ac:dyDescent="0.2">
      <c r="G1197" s="4"/>
    </row>
    <row r="1198" spans="2:18" s="12" customFormat="1" x14ac:dyDescent="0.2">
      <c r="B1198" s="12" t="s">
        <v>1039</v>
      </c>
      <c r="C1198" s="13" t="s">
        <v>969</v>
      </c>
      <c r="D1198" s="13" t="s">
        <v>968</v>
      </c>
      <c r="E1198" s="15"/>
      <c r="F1198" s="15">
        <f>SUM(F1199:F1205)</f>
        <v>105.5199470899471</v>
      </c>
      <c r="G1198" s="14">
        <f>+G1204</f>
        <v>45183</v>
      </c>
      <c r="M1198" s="13"/>
      <c r="N1198" s="13"/>
      <c r="O1198" s="13"/>
      <c r="P1198" s="13"/>
      <c r="Q1198" s="13"/>
      <c r="R1198" s="13"/>
    </row>
    <row r="1199" spans="2:18" x14ac:dyDescent="0.2">
      <c r="C1199" s="2" t="s">
        <v>5</v>
      </c>
      <c r="D1199" s="2" t="s">
        <v>962</v>
      </c>
      <c r="E1199" s="3">
        <v>5</v>
      </c>
      <c r="F1199" s="3">
        <v>1</v>
      </c>
      <c r="G1199" s="4">
        <v>43251</v>
      </c>
    </row>
    <row r="1200" spans="2:18" x14ac:dyDescent="0.2">
      <c r="C1200" s="2" t="s">
        <v>8</v>
      </c>
      <c r="D1200" s="2" t="s">
        <v>520</v>
      </c>
      <c r="E1200" s="3">
        <v>100</v>
      </c>
      <c r="F1200" s="3">
        <f>50/4</f>
        <v>12.5</v>
      </c>
      <c r="G1200" s="4">
        <v>44419</v>
      </c>
    </row>
    <row r="1201" spans="2:18" x14ac:dyDescent="0.2">
      <c r="C1201" s="2" t="s">
        <v>7</v>
      </c>
      <c r="D1201" s="2" t="s">
        <v>475</v>
      </c>
      <c r="E1201" s="3">
        <v>90</v>
      </c>
      <c r="F1201" s="3">
        <v>6</v>
      </c>
      <c r="G1201" s="4">
        <v>44398</v>
      </c>
    </row>
    <row r="1202" spans="2:18" x14ac:dyDescent="0.2">
      <c r="C1202" s="2" t="s">
        <v>5</v>
      </c>
      <c r="D1202" s="2" t="s">
        <v>475</v>
      </c>
      <c r="E1202" s="3">
        <v>22.8</v>
      </c>
      <c r="F1202" s="3">
        <v>3.33</v>
      </c>
      <c r="G1202" s="4">
        <v>43160</v>
      </c>
    </row>
    <row r="1203" spans="2:18" x14ac:dyDescent="0.2">
      <c r="C1203" s="141" t="s">
        <v>5</v>
      </c>
      <c r="D1203" s="141" t="s">
        <v>6320</v>
      </c>
      <c r="E1203" s="3">
        <v>25</v>
      </c>
      <c r="F1203" s="3">
        <v>3</v>
      </c>
      <c r="G1203" s="4">
        <v>44594</v>
      </c>
    </row>
    <row r="1204" spans="2:18" x14ac:dyDescent="0.2">
      <c r="C1204" s="282" t="s">
        <v>7933</v>
      </c>
      <c r="D1204" s="282" t="s">
        <v>1006</v>
      </c>
      <c r="E1204" s="3">
        <v>684.6</v>
      </c>
      <c r="F1204" s="3">
        <f t="shared" ref="F1204" si="0">584.6/21</f>
        <v>27.838095238095239</v>
      </c>
      <c r="G1204" s="4">
        <v>45183</v>
      </c>
      <c r="I1204" s="1">
        <v>42500</v>
      </c>
      <c r="J1204" s="1">
        <v>42500</v>
      </c>
    </row>
    <row r="1205" spans="2:18" x14ac:dyDescent="0.2">
      <c r="C1205" s="282" t="s">
        <v>2489</v>
      </c>
      <c r="D1205" s="282" t="s">
        <v>1006</v>
      </c>
      <c r="E1205" s="3">
        <v>1600</v>
      </c>
      <c r="F1205" s="3">
        <f>1400/27</f>
        <v>51.851851851851855</v>
      </c>
      <c r="G1205" s="4">
        <v>44439</v>
      </c>
      <c r="I1205" s="1">
        <v>36400</v>
      </c>
      <c r="J1205" s="1">
        <v>42500</v>
      </c>
    </row>
    <row r="1206" spans="2:18" x14ac:dyDescent="0.2">
      <c r="G1206" s="4"/>
    </row>
    <row r="1207" spans="2:18" s="12" customFormat="1" x14ac:dyDescent="0.2">
      <c r="B1207" s="12" t="s">
        <v>1073</v>
      </c>
      <c r="C1207" s="13" t="s">
        <v>969</v>
      </c>
      <c r="D1207" s="13" t="s">
        <v>968</v>
      </c>
      <c r="E1207" s="15"/>
      <c r="F1207" s="15">
        <f>SUM(F1208:F1220)</f>
        <v>105.71666666666667</v>
      </c>
      <c r="G1207" s="14">
        <f>G1209</f>
        <v>44860</v>
      </c>
      <c r="M1207" s="13"/>
      <c r="N1207" s="13"/>
      <c r="O1207" s="13"/>
      <c r="P1207" s="13"/>
      <c r="Q1207" s="13"/>
      <c r="R1207" s="13"/>
    </row>
    <row r="1208" spans="2:18" x14ac:dyDescent="0.2">
      <c r="C1208" s="2" t="s">
        <v>7</v>
      </c>
      <c r="D1208" s="2" t="s">
        <v>891</v>
      </c>
      <c r="E1208" s="3">
        <v>40</v>
      </c>
      <c r="F1208" s="3">
        <v>10</v>
      </c>
      <c r="G1208" s="4">
        <v>44650</v>
      </c>
    </row>
    <row r="1209" spans="2:18" x14ac:dyDescent="0.2">
      <c r="C1209" s="2" t="s">
        <v>7</v>
      </c>
      <c r="D1209" s="2" t="s">
        <v>1072</v>
      </c>
      <c r="E1209" s="3">
        <v>37</v>
      </c>
      <c r="F1209" s="3">
        <v>4</v>
      </c>
      <c r="G1209" s="4">
        <v>44860</v>
      </c>
    </row>
    <row r="1210" spans="2:18" x14ac:dyDescent="0.2">
      <c r="C1210" s="2" t="s">
        <v>7</v>
      </c>
      <c r="D1210" s="2" t="s">
        <v>1072</v>
      </c>
      <c r="E1210" s="3">
        <v>80</v>
      </c>
      <c r="F1210" s="3">
        <v>10</v>
      </c>
      <c r="G1210" s="4">
        <v>44327</v>
      </c>
    </row>
    <row r="1211" spans="2:18" x14ac:dyDescent="0.2">
      <c r="C1211" s="2" t="s">
        <v>5</v>
      </c>
      <c r="D1211" s="2" t="s">
        <v>1072</v>
      </c>
      <c r="E1211" s="3">
        <v>30</v>
      </c>
      <c r="F1211" s="3">
        <v>10</v>
      </c>
      <c r="G1211" s="4">
        <v>43963</v>
      </c>
    </row>
    <row r="1212" spans="2:18" x14ac:dyDescent="0.2">
      <c r="C1212" s="2" t="s">
        <v>9</v>
      </c>
      <c r="D1212" s="2" t="s">
        <v>22</v>
      </c>
      <c r="E1212" s="3">
        <v>222</v>
      </c>
      <c r="F1212" s="3">
        <v>10</v>
      </c>
      <c r="G1212" s="4">
        <v>44194</v>
      </c>
      <c r="I1212" s="1">
        <v>2500</v>
      </c>
      <c r="J1212" s="1">
        <v>2500</v>
      </c>
    </row>
    <row r="1213" spans="2:18" x14ac:dyDescent="0.2">
      <c r="C1213" s="2" t="s">
        <v>8</v>
      </c>
      <c r="D1213" s="2" t="s">
        <v>22</v>
      </c>
      <c r="E1213" s="3">
        <v>200</v>
      </c>
      <c r="F1213" s="3">
        <v>13</v>
      </c>
      <c r="G1213" s="4">
        <v>43452</v>
      </c>
      <c r="I1213" s="1">
        <v>1500</v>
      </c>
      <c r="J1213" s="1">
        <v>2500</v>
      </c>
    </row>
    <row r="1214" spans="2:18" x14ac:dyDescent="0.2">
      <c r="C1214" s="2" t="s">
        <v>18</v>
      </c>
      <c r="D1214" s="2" t="s">
        <v>22</v>
      </c>
      <c r="E1214" s="3">
        <v>50</v>
      </c>
      <c r="F1214" s="3">
        <v>5</v>
      </c>
      <c r="G1214" s="4">
        <v>43051</v>
      </c>
      <c r="J1214" s="1">
        <v>2500</v>
      </c>
    </row>
    <row r="1215" spans="2:18" x14ac:dyDescent="0.2">
      <c r="C1215" s="2" t="s">
        <v>7</v>
      </c>
      <c r="D1215" s="2" t="s">
        <v>22</v>
      </c>
      <c r="E1215" s="3">
        <v>30</v>
      </c>
      <c r="F1215" s="3">
        <v>3</v>
      </c>
      <c r="G1215" s="4">
        <v>42936</v>
      </c>
      <c r="J1215" s="1">
        <v>2500</v>
      </c>
    </row>
    <row r="1216" spans="2:18" x14ac:dyDescent="0.2">
      <c r="C1216" s="52" t="s">
        <v>8</v>
      </c>
      <c r="D1216" s="52" t="s">
        <v>4897</v>
      </c>
      <c r="E1216" s="3">
        <v>83</v>
      </c>
      <c r="F1216" s="3">
        <v>6.8</v>
      </c>
      <c r="G1216" s="4">
        <v>44320</v>
      </c>
      <c r="I1216" s="1">
        <v>3600</v>
      </c>
      <c r="J1216" s="1">
        <v>3600</v>
      </c>
    </row>
    <row r="1217" spans="2:18" x14ac:dyDescent="0.2">
      <c r="C1217" s="52" t="s">
        <v>18</v>
      </c>
      <c r="D1217" s="52" t="s">
        <v>4897</v>
      </c>
      <c r="E1217" s="3">
        <v>100</v>
      </c>
      <c r="F1217" s="3">
        <v>10</v>
      </c>
      <c r="G1217" s="4">
        <v>43937</v>
      </c>
      <c r="I1217" s="1">
        <v>1100</v>
      </c>
      <c r="J1217" s="1">
        <v>3600</v>
      </c>
    </row>
    <row r="1218" spans="2:18" x14ac:dyDescent="0.2">
      <c r="C1218" s="52" t="s">
        <v>7</v>
      </c>
      <c r="D1218" s="52" t="s">
        <v>4897</v>
      </c>
      <c r="E1218" s="3">
        <v>40</v>
      </c>
      <c r="F1218" s="3">
        <v>10</v>
      </c>
      <c r="G1218" s="4">
        <v>43522</v>
      </c>
      <c r="J1218" s="1">
        <v>3600</v>
      </c>
    </row>
    <row r="1219" spans="2:18" x14ac:dyDescent="0.2">
      <c r="C1219" s="52" t="s">
        <v>5</v>
      </c>
      <c r="D1219" s="52" t="s">
        <v>4897</v>
      </c>
      <c r="E1219" s="3">
        <v>25</v>
      </c>
      <c r="F1219" s="3">
        <f>E1219/4</f>
        <v>6.25</v>
      </c>
      <c r="G1219" s="4">
        <v>43172</v>
      </c>
      <c r="J1219" s="1">
        <v>3600</v>
      </c>
    </row>
    <row r="1220" spans="2:18" x14ac:dyDescent="0.2">
      <c r="C1220" s="55" t="s">
        <v>9</v>
      </c>
      <c r="D1220" s="55" t="s">
        <v>5013</v>
      </c>
      <c r="E1220" s="3">
        <v>43</v>
      </c>
      <c r="F1220" s="3">
        <f>23/3</f>
        <v>7.666666666666667</v>
      </c>
      <c r="G1220" s="4">
        <v>43992</v>
      </c>
    </row>
    <row r="1221" spans="2:18" x14ac:dyDescent="0.2">
      <c r="G1221" s="4"/>
    </row>
    <row r="1222" spans="2:18" s="12" customFormat="1" x14ac:dyDescent="0.2">
      <c r="B1222" s="12" t="s">
        <v>248</v>
      </c>
      <c r="C1222" s="13" t="s">
        <v>969</v>
      </c>
      <c r="D1222" s="13" t="s">
        <v>968</v>
      </c>
      <c r="E1222" s="15"/>
      <c r="F1222" s="15">
        <f>SUM(F1223:F1224)</f>
        <v>105</v>
      </c>
      <c r="G1222" s="14">
        <f>G1223</f>
        <v>43223</v>
      </c>
      <c r="M1222" s="13"/>
      <c r="N1222" s="13"/>
      <c r="O1222" s="13"/>
      <c r="P1222" s="13"/>
      <c r="Q1222" s="13"/>
      <c r="R1222" s="13"/>
    </row>
    <row r="1223" spans="2:18" x14ac:dyDescent="0.2">
      <c r="C1223" s="2" t="s">
        <v>18</v>
      </c>
      <c r="D1223" s="2" t="s">
        <v>245</v>
      </c>
      <c r="E1223" s="3">
        <v>820</v>
      </c>
      <c r="F1223" s="3">
        <f>600/6</f>
        <v>100</v>
      </c>
      <c r="G1223" s="4">
        <v>43223</v>
      </c>
    </row>
    <row r="1224" spans="2:18" x14ac:dyDescent="0.2">
      <c r="C1224" s="55" t="s">
        <v>18</v>
      </c>
      <c r="D1224" s="55" t="s">
        <v>2115</v>
      </c>
      <c r="E1224" s="3">
        <v>40</v>
      </c>
      <c r="F1224" s="3">
        <v>5</v>
      </c>
      <c r="G1224" s="4">
        <v>43069</v>
      </c>
      <c r="J1224" s="1">
        <v>1600</v>
      </c>
    </row>
    <row r="1225" spans="2:18" x14ac:dyDescent="0.2">
      <c r="G1225" s="4"/>
    </row>
    <row r="1226" spans="2:18" s="12" customFormat="1" x14ac:dyDescent="0.2">
      <c r="B1226" s="12" t="s">
        <v>76</v>
      </c>
      <c r="C1226" s="13" t="s">
        <v>969</v>
      </c>
      <c r="D1226" s="13" t="s">
        <v>968</v>
      </c>
      <c r="E1226" s="15"/>
      <c r="F1226" s="15">
        <f>SUM(F1227:F1233)</f>
        <v>104.5</v>
      </c>
      <c r="G1226" s="14">
        <f>G1231</f>
        <v>44578</v>
      </c>
      <c r="K1226" s="46"/>
      <c r="M1226" s="13"/>
      <c r="N1226" s="13"/>
      <c r="O1226" s="13"/>
      <c r="P1226" s="13"/>
      <c r="Q1226" s="13"/>
      <c r="R1226" s="13"/>
    </row>
    <row r="1227" spans="2:18" x14ac:dyDescent="0.2">
      <c r="C1227" s="2" t="s">
        <v>8</v>
      </c>
      <c r="D1227" s="2" t="s">
        <v>74</v>
      </c>
      <c r="E1227" s="3">
        <v>81</v>
      </c>
      <c r="F1227" s="3">
        <f>+E1227/6</f>
        <v>13.5</v>
      </c>
      <c r="G1227" s="4">
        <v>43418</v>
      </c>
      <c r="I1227" s="1">
        <v>1700</v>
      </c>
      <c r="J1227" s="1">
        <v>3800</v>
      </c>
      <c r="K1227" s="5">
        <f>(E1227/(I1227+E1227))*J1227*(F1227/E1227)</f>
        <v>28.804042672655811</v>
      </c>
    </row>
    <row r="1228" spans="2:18" x14ac:dyDescent="0.2">
      <c r="C1228" s="2" t="s">
        <v>18</v>
      </c>
      <c r="D1228" s="2" t="s">
        <v>74</v>
      </c>
      <c r="E1228" s="3">
        <v>60</v>
      </c>
      <c r="F1228" s="3">
        <f>+E1228/5</f>
        <v>12</v>
      </c>
      <c r="G1228" s="4">
        <v>42736</v>
      </c>
      <c r="I1228" s="1">
        <v>800</v>
      </c>
      <c r="J1228" s="1">
        <v>3800</v>
      </c>
      <c r="K1228" s="5">
        <f>(E1228/(I1228+E1228))*J1228*(F1228/E1228)</f>
        <v>53.023255813953483</v>
      </c>
    </row>
    <row r="1229" spans="2:18" x14ac:dyDescent="0.2">
      <c r="C1229" s="2" t="s">
        <v>7</v>
      </c>
      <c r="D1229" s="2" t="s">
        <v>74</v>
      </c>
      <c r="E1229" s="3">
        <v>25</v>
      </c>
      <c r="F1229" s="3">
        <v>15</v>
      </c>
      <c r="G1229" s="4">
        <v>42723</v>
      </c>
      <c r="I1229" s="1">
        <v>245</v>
      </c>
      <c r="J1229" s="1">
        <v>3800</v>
      </c>
      <c r="K1229" s="5">
        <f>(E1229/(I1229+E1229))*J1229*(F1229/E1229)</f>
        <v>211.11111111111111</v>
      </c>
    </row>
    <row r="1230" spans="2:18" x14ac:dyDescent="0.2">
      <c r="C1230" s="2" t="s">
        <v>5</v>
      </c>
      <c r="D1230" s="2" t="s">
        <v>74</v>
      </c>
      <c r="E1230" s="3">
        <v>27</v>
      </c>
      <c r="F1230" s="3">
        <v>27</v>
      </c>
      <c r="G1230" s="4">
        <v>42495</v>
      </c>
      <c r="I1230" s="5">
        <v>62.5</v>
      </c>
      <c r="J1230" s="1">
        <v>3800</v>
      </c>
      <c r="K1230" s="5">
        <f>(E1230/(I1230+E1230))*J1230*(F1230/E1230)</f>
        <v>1146.3687150837989</v>
      </c>
    </row>
    <row r="1231" spans="2:18" x14ac:dyDescent="0.2">
      <c r="C1231" s="2" t="s">
        <v>7</v>
      </c>
      <c r="D1231" s="2" t="s">
        <v>2132</v>
      </c>
      <c r="E1231" s="3">
        <v>176</v>
      </c>
      <c r="F1231" s="3">
        <v>26</v>
      </c>
      <c r="G1231" s="4">
        <v>44578</v>
      </c>
      <c r="I1231" s="5"/>
      <c r="K1231" s="5"/>
    </row>
    <row r="1232" spans="2:18" x14ac:dyDescent="0.2">
      <c r="C1232" s="2" t="s">
        <v>5</v>
      </c>
      <c r="D1232" s="2" t="s">
        <v>2132</v>
      </c>
      <c r="E1232" s="3">
        <v>20</v>
      </c>
      <c r="F1232" s="3">
        <v>3</v>
      </c>
      <c r="G1232" s="4">
        <v>44044</v>
      </c>
      <c r="I1232" s="5"/>
      <c r="K1232" s="5"/>
    </row>
    <row r="1233" spans="2:18" x14ac:dyDescent="0.2">
      <c r="C1233" s="2" t="s">
        <v>5</v>
      </c>
      <c r="D1233" s="2" t="s">
        <v>2132</v>
      </c>
      <c r="E1233" s="3">
        <v>20</v>
      </c>
      <c r="F1233" s="3">
        <v>8</v>
      </c>
      <c r="G1233" s="4">
        <v>43647</v>
      </c>
      <c r="I1233" s="5"/>
      <c r="K1233" s="5"/>
    </row>
    <row r="1234" spans="2:18" x14ac:dyDescent="0.2">
      <c r="G1234" s="4"/>
      <c r="I1234" s="5"/>
      <c r="K1234" s="5"/>
    </row>
    <row r="1235" spans="2:18" s="12" customFormat="1" x14ac:dyDescent="0.2">
      <c r="B1235" s="12" t="s">
        <v>7954</v>
      </c>
      <c r="C1235" s="13" t="s">
        <v>969</v>
      </c>
      <c r="D1235" s="13" t="s">
        <v>968</v>
      </c>
      <c r="E1235" s="15"/>
      <c r="F1235" s="15">
        <f>SUM(F1236:F1244)</f>
        <v>104.22499999999999</v>
      </c>
      <c r="G1235" s="14">
        <f>G1237</f>
        <v>44880</v>
      </c>
    </row>
    <row r="1236" spans="2:18" x14ac:dyDescent="0.2">
      <c r="C1236" s="2" t="s">
        <v>5</v>
      </c>
      <c r="D1236" s="2" t="s">
        <v>465</v>
      </c>
      <c r="E1236" s="3">
        <v>15.5</v>
      </c>
      <c r="F1236" s="3">
        <v>3</v>
      </c>
      <c r="G1236" s="4">
        <v>44727</v>
      </c>
      <c r="M1236" s="1"/>
      <c r="N1236" s="1"/>
      <c r="O1236" s="1"/>
      <c r="P1236" s="1"/>
      <c r="Q1236" s="1"/>
      <c r="R1236" s="1"/>
    </row>
    <row r="1237" spans="2:18" x14ac:dyDescent="0.2">
      <c r="C1237" s="2" t="s">
        <v>8</v>
      </c>
      <c r="D1237" s="2" t="s">
        <v>131</v>
      </c>
      <c r="E1237" s="3">
        <v>135</v>
      </c>
      <c r="F1237" s="3">
        <v>8</v>
      </c>
      <c r="G1237" s="4">
        <v>44880</v>
      </c>
      <c r="M1237" s="1"/>
      <c r="N1237" s="1"/>
      <c r="O1237" s="1"/>
      <c r="P1237" s="1"/>
      <c r="Q1237" s="1"/>
      <c r="R1237" s="1"/>
    </row>
    <row r="1238" spans="2:18" x14ac:dyDescent="0.2">
      <c r="C1238" s="2" t="s">
        <v>18</v>
      </c>
      <c r="D1238" s="2" t="s">
        <v>131</v>
      </c>
      <c r="E1238" s="3">
        <v>31.7</v>
      </c>
      <c r="F1238" s="3">
        <v>7</v>
      </c>
      <c r="G1238" s="4">
        <v>43599</v>
      </c>
      <c r="M1238" s="1"/>
      <c r="N1238" s="1"/>
      <c r="O1238" s="1"/>
      <c r="P1238" s="1"/>
      <c r="Q1238" s="1"/>
      <c r="R1238" s="1"/>
    </row>
    <row r="1239" spans="2:18" x14ac:dyDescent="0.2">
      <c r="C1239" s="2" t="s">
        <v>7</v>
      </c>
      <c r="D1239" s="2" t="s">
        <v>131</v>
      </c>
      <c r="E1239" s="3">
        <v>32</v>
      </c>
      <c r="F1239" s="3">
        <f>20/4</f>
        <v>5</v>
      </c>
      <c r="G1239" s="4">
        <v>42528</v>
      </c>
      <c r="M1239" s="1"/>
      <c r="N1239" s="1"/>
      <c r="O1239" s="1"/>
      <c r="P1239" s="1"/>
      <c r="Q1239" s="1"/>
      <c r="R1239" s="1"/>
    </row>
    <row r="1240" spans="2:18" x14ac:dyDescent="0.2">
      <c r="C1240" s="2" t="s">
        <v>18</v>
      </c>
      <c r="D1240" s="2" t="s">
        <v>192</v>
      </c>
      <c r="E1240" s="3">
        <v>235</v>
      </c>
      <c r="F1240" s="3">
        <f>85/2</f>
        <v>42.5</v>
      </c>
      <c r="G1240" s="4">
        <v>44384</v>
      </c>
      <c r="M1240" s="1"/>
      <c r="N1240" s="1"/>
      <c r="O1240" s="1"/>
      <c r="P1240" s="1"/>
      <c r="Q1240" s="1"/>
      <c r="R1240" s="1"/>
    </row>
    <row r="1241" spans="2:18" x14ac:dyDescent="0.2">
      <c r="C1241" s="2" t="s">
        <v>7</v>
      </c>
      <c r="D1241" s="2" t="s">
        <v>192</v>
      </c>
      <c r="E1241" s="3">
        <f>43</f>
        <v>43</v>
      </c>
      <c r="F1241" s="3">
        <f>E1241/5</f>
        <v>8.6</v>
      </c>
      <c r="G1241" s="4">
        <v>44077</v>
      </c>
      <c r="M1241" s="1"/>
      <c r="N1241" s="1"/>
      <c r="O1241" s="1"/>
      <c r="P1241" s="1"/>
      <c r="Q1241" s="1"/>
      <c r="R1241" s="1"/>
    </row>
    <row r="1242" spans="2:18" x14ac:dyDescent="0.2">
      <c r="C1242" s="2" t="s">
        <v>5</v>
      </c>
      <c r="D1242" s="2" t="s">
        <v>192</v>
      </c>
      <c r="E1242" s="3">
        <v>15</v>
      </c>
      <c r="F1242" s="3">
        <v>5</v>
      </c>
      <c r="G1242" s="4">
        <v>43479</v>
      </c>
      <c r="M1242" s="1"/>
      <c r="N1242" s="1"/>
      <c r="O1242" s="1"/>
      <c r="P1242" s="1"/>
      <c r="Q1242" s="1"/>
      <c r="R1242" s="1"/>
    </row>
    <row r="1243" spans="2:18" x14ac:dyDescent="0.2">
      <c r="C1243" s="253" t="s">
        <v>5</v>
      </c>
      <c r="D1243" s="253" t="s">
        <v>7462</v>
      </c>
      <c r="E1243" s="3">
        <v>10</v>
      </c>
      <c r="F1243" s="3">
        <v>2</v>
      </c>
      <c r="G1243" s="4">
        <v>44384</v>
      </c>
      <c r="M1243" s="1"/>
      <c r="N1243" s="1"/>
      <c r="O1243" s="1"/>
      <c r="P1243" s="1"/>
      <c r="Q1243" s="1"/>
      <c r="R1243" s="1"/>
    </row>
    <row r="1244" spans="2:18" x14ac:dyDescent="0.2">
      <c r="C1244" s="282" t="s">
        <v>8</v>
      </c>
      <c r="D1244" s="282" t="s">
        <v>926</v>
      </c>
      <c r="E1244" s="3">
        <v>235</v>
      </c>
      <c r="F1244" s="3">
        <f>185/8</f>
        <v>23.125</v>
      </c>
      <c r="G1244" s="4">
        <v>45161</v>
      </c>
      <c r="J1244" s="1">
        <v>4300</v>
      </c>
      <c r="M1244" s="1"/>
      <c r="N1244" s="1"/>
      <c r="O1244" s="1"/>
      <c r="P1244" s="1"/>
      <c r="Q1244" s="1"/>
      <c r="R1244" s="1"/>
    </row>
    <row r="1245" spans="2:18" x14ac:dyDescent="0.2">
      <c r="G1245" s="4"/>
      <c r="M1245" s="1"/>
      <c r="N1245" s="1"/>
      <c r="O1245" s="1"/>
      <c r="P1245" s="1"/>
      <c r="Q1245" s="1"/>
      <c r="R1245" s="1"/>
    </row>
    <row r="1246" spans="2:18" s="12" customFormat="1" x14ac:dyDescent="0.2">
      <c r="B1246" s="12" t="s">
        <v>7955</v>
      </c>
      <c r="C1246" s="13" t="s">
        <v>969</v>
      </c>
      <c r="D1246" s="13" t="s">
        <v>968</v>
      </c>
      <c r="E1246" s="15"/>
      <c r="F1246" s="15">
        <f>SUM(F1247:F1252)</f>
        <v>104.26984126984127</v>
      </c>
      <c r="G1246" s="14">
        <f>G1248</f>
        <v>45104</v>
      </c>
      <c r="I1246" s="1" t="s">
        <v>1</v>
      </c>
      <c r="J1246" s="1" t="s">
        <v>1</v>
      </c>
      <c r="K1246" s="1" t="s">
        <v>1</v>
      </c>
      <c r="M1246" s="13"/>
      <c r="N1246" s="13"/>
      <c r="O1246" s="13"/>
      <c r="P1246" s="13"/>
      <c r="Q1246" s="13"/>
      <c r="R1246" s="13"/>
    </row>
    <row r="1247" spans="2:18" x14ac:dyDescent="0.2">
      <c r="C1247" s="2" t="s">
        <v>18</v>
      </c>
      <c r="D1247" s="2" t="s">
        <v>1005</v>
      </c>
      <c r="E1247" s="3">
        <v>100</v>
      </c>
      <c r="F1247" s="3">
        <v>10</v>
      </c>
      <c r="G1247" s="4">
        <v>44754</v>
      </c>
    </row>
    <row r="1248" spans="2:18" x14ac:dyDescent="0.2">
      <c r="C1248" s="2" t="s">
        <v>5</v>
      </c>
      <c r="D1248" s="2" t="s">
        <v>546</v>
      </c>
      <c r="E1248" s="3">
        <v>58</v>
      </c>
      <c r="F1248" s="3">
        <v>8</v>
      </c>
      <c r="G1248" s="4">
        <v>45104</v>
      </c>
    </row>
    <row r="1249" spans="2:18" x14ac:dyDescent="0.2">
      <c r="C1249" s="2" t="s">
        <v>53</v>
      </c>
      <c r="D1249" s="2" t="s">
        <v>489</v>
      </c>
      <c r="E1249" s="3">
        <v>50</v>
      </c>
      <c r="F1249" s="3">
        <v>20</v>
      </c>
      <c r="G1249" s="4">
        <v>44174</v>
      </c>
    </row>
    <row r="1250" spans="2:18" x14ac:dyDescent="0.2">
      <c r="C1250" s="2" t="s">
        <v>9</v>
      </c>
      <c r="D1250" s="2" t="s">
        <v>154</v>
      </c>
      <c r="E1250" s="3">
        <v>400</v>
      </c>
      <c r="F1250" s="3">
        <v>35.555555555555557</v>
      </c>
      <c r="G1250" s="4">
        <v>44413</v>
      </c>
    </row>
    <row r="1251" spans="2:18" x14ac:dyDescent="0.2">
      <c r="C1251" s="2" t="s">
        <v>53</v>
      </c>
      <c r="D1251" s="2" t="s">
        <v>47</v>
      </c>
      <c r="E1251" s="3">
        <v>100</v>
      </c>
      <c r="F1251" s="3">
        <f>75/7</f>
        <v>10.714285714285714</v>
      </c>
      <c r="G1251" s="4">
        <v>44515</v>
      </c>
      <c r="I1251" s="1">
        <v>4100</v>
      </c>
      <c r="J1251" s="1">
        <v>4100</v>
      </c>
    </row>
    <row r="1252" spans="2:18" x14ac:dyDescent="0.2">
      <c r="C1252" s="2" t="s">
        <v>1089</v>
      </c>
      <c r="D1252" s="2" t="s">
        <v>47</v>
      </c>
      <c r="E1252" s="3">
        <v>20</v>
      </c>
      <c r="F1252" s="3">
        <v>20</v>
      </c>
      <c r="G1252" s="4">
        <v>44265</v>
      </c>
    </row>
    <row r="1253" spans="2:18" x14ac:dyDescent="0.2">
      <c r="G1253" s="4"/>
    </row>
    <row r="1254" spans="2:18" s="12" customFormat="1" x14ac:dyDescent="0.2">
      <c r="B1254" s="12" t="s">
        <v>174</v>
      </c>
      <c r="C1254" s="13" t="s">
        <v>969</v>
      </c>
      <c r="D1254" s="13" t="s">
        <v>968</v>
      </c>
      <c r="E1254" s="15"/>
      <c r="F1254" s="15">
        <f>SUM(F1255:F1258)</f>
        <v>103.4</v>
      </c>
      <c r="G1254" s="14">
        <f>G1258</f>
        <v>44287</v>
      </c>
      <c r="M1254" s="13"/>
      <c r="N1254" s="13"/>
      <c r="O1254" s="13"/>
      <c r="P1254" s="13"/>
      <c r="Q1254" s="13"/>
      <c r="R1254" s="13"/>
    </row>
    <row r="1255" spans="2:18" x14ac:dyDescent="0.2">
      <c r="C1255" s="2" t="s">
        <v>18</v>
      </c>
      <c r="D1255" s="2" t="s">
        <v>161</v>
      </c>
      <c r="E1255" s="3">
        <v>100</v>
      </c>
      <c r="F1255" s="3">
        <v>14</v>
      </c>
      <c r="G1255" s="4">
        <v>44235</v>
      </c>
      <c r="I1255" s="1">
        <v>5200</v>
      </c>
      <c r="J1255" s="1">
        <v>8400</v>
      </c>
    </row>
    <row r="1256" spans="2:18" x14ac:dyDescent="0.2">
      <c r="C1256" s="2" t="s">
        <v>18</v>
      </c>
      <c r="D1256" s="2" t="s">
        <v>161</v>
      </c>
      <c r="E1256" s="3">
        <v>267</v>
      </c>
      <c r="F1256" s="3">
        <f>167/5</f>
        <v>33.4</v>
      </c>
      <c r="G1256" s="4">
        <v>44140</v>
      </c>
      <c r="I1256" s="1">
        <v>5000</v>
      </c>
      <c r="J1256" s="1">
        <v>8400</v>
      </c>
    </row>
    <row r="1257" spans="2:18" x14ac:dyDescent="0.2">
      <c r="C1257" s="2" t="s">
        <v>5</v>
      </c>
      <c r="D1257" s="2" t="s">
        <v>161</v>
      </c>
      <c r="E1257" s="3">
        <v>102</v>
      </c>
      <c r="F1257" s="3">
        <v>16</v>
      </c>
      <c r="G1257" s="4">
        <v>43292</v>
      </c>
      <c r="J1257" s="1">
        <v>8400</v>
      </c>
    </row>
    <row r="1258" spans="2:18" x14ac:dyDescent="0.2">
      <c r="C1258" s="2" t="s">
        <v>8</v>
      </c>
      <c r="D1258" s="2" t="s">
        <v>2137</v>
      </c>
      <c r="E1258" s="3">
        <v>220</v>
      </c>
      <c r="F1258" s="3">
        <v>40</v>
      </c>
      <c r="G1258" s="4">
        <v>44287</v>
      </c>
    </row>
    <row r="1259" spans="2:18" x14ac:dyDescent="0.2">
      <c r="G1259" s="4"/>
    </row>
    <row r="1260" spans="2:18" s="12" customFormat="1" x14ac:dyDescent="0.2">
      <c r="B1260" s="12" t="s">
        <v>78</v>
      </c>
      <c r="C1260" s="13" t="s">
        <v>969</v>
      </c>
      <c r="D1260" s="13" t="s">
        <v>968</v>
      </c>
      <c r="E1260" s="15"/>
      <c r="F1260" s="15">
        <f>SUM(F1261:F1263)</f>
        <v>101.5</v>
      </c>
      <c r="G1260" s="14">
        <f>G1261</f>
        <v>44510</v>
      </c>
      <c r="K1260" s="46"/>
      <c r="M1260" s="13"/>
      <c r="N1260" s="13"/>
      <c r="O1260" s="13"/>
      <c r="P1260" s="13"/>
      <c r="Q1260" s="13"/>
      <c r="R1260" s="13"/>
    </row>
    <row r="1261" spans="2:18" x14ac:dyDescent="0.2">
      <c r="C1261" s="2" t="s">
        <v>53</v>
      </c>
      <c r="D1261" s="2" t="s">
        <v>74</v>
      </c>
      <c r="E1261" s="3">
        <v>250</v>
      </c>
      <c r="F1261" s="3">
        <v>50</v>
      </c>
      <c r="G1261" s="4">
        <v>44510</v>
      </c>
      <c r="I1261" s="1">
        <v>3800</v>
      </c>
      <c r="J1261" s="1">
        <v>3800</v>
      </c>
      <c r="K1261" s="5">
        <f>(E1261/(I1261+E1261))*J1261*(F1261/E1261)</f>
        <v>46.913580246913583</v>
      </c>
    </row>
    <row r="1262" spans="2:18" x14ac:dyDescent="0.2">
      <c r="C1262" s="2" t="s">
        <v>9</v>
      </c>
      <c r="D1262" s="2" t="s">
        <v>47</v>
      </c>
      <c r="E1262" s="3">
        <v>248</v>
      </c>
      <c r="F1262" s="3">
        <f>150/4</f>
        <v>37.5</v>
      </c>
      <c r="G1262" s="4">
        <v>43678</v>
      </c>
      <c r="I1262" s="1">
        <v>1700</v>
      </c>
      <c r="J1262" s="1">
        <v>4100</v>
      </c>
      <c r="K1262" s="5">
        <f>(E1262/(I1262+E1262))*J1262*(F1262/E1262)</f>
        <v>78.927104722792606</v>
      </c>
    </row>
    <row r="1263" spans="2:18" x14ac:dyDescent="0.2">
      <c r="C1263" s="55" t="s">
        <v>53</v>
      </c>
      <c r="D1263" s="55" t="s">
        <v>5013</v>
      </c>
      <c r="E1263" s="3">
        <v>100</v>
      </c>
      <c r="F1263" s="3">
        <f>70/5</f>
        <v>14</v>
      </c>
      <c r="G1263" s="4">
        <v>44474</v>
      </c>
      <c r="K1263" s="5"/>
    </row>
    <row r="1264" spans="2:18" x14ac:dyDescent="0.2">
      <c r="G1264" s="4"/>
      <c r="K1264" s="5"/>
    </row>
    <row r="1265" spans="2:18" s="12" customFormat="1" x14ac:dyDescent="0.2">
      <c r="B1265" s="12" t="s">
        <v>6015</v>
      </c>
      <c r="C1265" s="13" t="s">
        <v>969</v>
      </c>
      <c r="D1265" s="13" t="s">
        <v>968</v>
      </c>
      <c r="E1265" s="15"/>
      <c r="F1265" s="15">
        <f>SUM(F1266:F1271)</f>
        <v>102.1857142857143</v>
      </c>
      <c r="G1265" s="14">
        <f>G1266</f>
        <v>45037</v>
      </c>
    </row>
    <row r="1266" spans="2:18" x14ac:dyDescent="0.2">
      <c r="C1266" s="2" t="s">
        <v>4</v>
      </c>
      <c r="D1266" s="2" t="s">
        <v>509</v>
      </c>
      <c r="E1266" s="3">
        <v>3</v>
      </c>
      <c r="F1266" s="3">
        <v>0.5</v>
      </c>
      <c r="G1266" s="4">
        <v>45037</v>
      </c>
      <c r="M1266" s="1"/>
      <c r="N1266" s="1"/>
      <c r="O1266" s="1"/>
      <c r="P1266" s="1"/>
      <c r="Q1266" s="1"/>
      <c r="R1266" s="1"/>
    </row>
    <row r="1267" spans="2:18" x14ac:dyDescent="0.2">
      <c r="C1267" s="2" t="s">
        <v>7</v>
      </c>
      <c r="D1267" s="2" t="s">
        <v>475</v>
      </c>
      <c r="E1267" s="3">
        <v>90</v>
      </c>
      <c r="F1267" s="3">
        <v>6</v>
      </c>
      <c r="G1267" s="4">
        <v>44398</v>
      </c>
      <c r="M1267" s="1"/>
      <c r="N1267" s="1"/>
      <c r="O1267" s="1"/>
      <c r="P1267" s="1"/>
      <c r="Q1267" s="1"/>
      <c r="R1267" s="1"/>
    </row>
    <row r="1268" spans="2:18" x14ac:dyDescent="0.2">
      <c r="C1268" s="2" t="s">
        <v>9</v>
      </c>
      <c r="D1268" s="2" t="s">
        <v>176</v>
      </c>
      <c r="E1268" s="3">
        <v>392</v>
      </c>
      <c r="F1268" s="3">
        <f>E1268/5</f>
        <v>78.400000000000006</v>
      </c>
      <c r="G1268" s="4">
        <v>43280</v>
      </c>
      <c r="M1268" s="1"/>
      <c r="N1268" s="1"/>
      <c r="O1268" s="1"/>
      <c r="P1268" s="1"/>
      <c r="Q1268" s="1"/>
      <c r="R1268" s="1"/>
    </row>
    <row r="1269" spans="2:18" x14ac:dyDescent="0.2">
      <c r="C1269" s="52" t="s">
        <v>18</v>
      </c>
      <c r="D1269" s="52" t="s">
        <v>2121</v>
      </c>
      <c r="E1269" s="3">
        <v>300</v>
      </c>
      <c r="F1269" s="3">
        <f>200/14</f>
        <v>14.285714285714286</v>
      </c>
      <c r="G1269" s="4">
        <v>44300</v>
      </c>
      <c r="M1269" s="1"/>
      <c r="N1269" s="1"/>
      <c r="O1269" s="1"/>
      <c r="P1269" s="1"/>
      <c r="Q1269" s="1"/>
      <c r="R1269" s="1"/>
    </row>
    <row r="1270" spans="2:18" x14ac:dyDescent="0.2">
      <c r="C1270" s="93" t="s">
        <v>5</v>
      </c>
      <c r="D1270" s="93" t="s">
        <v>6010</v>
      </c>
      <c r="E1270" s="3">
        <v>3</v>
      </c>
      <c r="F1270" s="3">
        <v>1</v>
      </c>
      <c r="G1270" s="4">
        <v>44140</v>
      </c>
      <c r="J1270" s="1">
        <v>250</v>
      </c>
      <c r="M1270" s="1"/>
      <c r="N1270" s="1"/>
      <c r="O1270" s="1"/>
      <c r="P1270" s="1"/>
      <c r="Q1270" s="1"/>
      <c r="R1270" s="1"/>
    </row>
    <row r="1271" spans="2:18" x14ac:dyDescent="0.2">
      <c r="C1271" s="93" t="s">
        <v>5</v>
      </c>
      <c r="D1271" s="93" t="s">
        <v>6010</v>
      </c>
      <c r="E1271" s="3">
        <v>12</v>
      </c>
      <c r="F1271" s="3">
        <v>2</v>
      </c>
      <c r="G1271" s="4">
        <v>43941</v>
      </c>
      <c r="J1271" s="1">
        <v>250</v>
      </c>
      <c r="M1271" s="1"/>
      <c r="N1271" s="1"/>
      <c r="O1271" s="1"/>
      <c r="P1271" s="1"/>
      <c r="Q1271" s="1"/>
      <c r="R1271" s="1"/>
    </row>
    <row r="1272" spans="2:18" x14ac:dyDescent="0.2">
      <c r="G1272" s="4"/>
      <c r="M1272" s="1"/>
      <c r="N1272" s="1"/>
      <c r="O1272" s="1"/>
      <c r="P1272" s="1"/>
      <c r="Q1272" s="1"/>
      <c r="R1272" s="1"/>
    </row>
    <row r="1273" spans="2:18" s="12" customFormat="1" x14ac:dyDescent="0.2">
      <c r="B1273" s="12" t="s">
        <v>46</v>
      </c>
      <c r="C1273" s="13" t="s">
        <v>969</v>
      </c>
      <c r="D1273" s="13" t="s">
        <v>968</v>
      </c>
      <c r="E1273" s="15"/>
      <c r="F1273" s="15">
        <f>SUM(F1274:F1276)</f>
        <v>95</v>
      </c>
      <c r="G1273" s="14">
        <f>G1274</f>
        <v>44984</v>
      </c>
      <c r="M1273" s="13"/>
      <c r="N1273" s="13"/>
      <c r="O1273" s="13"/>
      <c r="P1273" s="13"/>
      <c r="Q1273" s="13"/>
      <c r="R1273" s="13"/>
    </row>
    <row r="1274" spans="2:18" x14ac:dyDescent="0.2">
      <c r="C1274" s="2" t="s">
        <v>9</v>
      </c>
      <c r="D1274" s="2" t="s">
        <v>39</v>
      </c>
      <c r="E1274" s="3">
        <v>230</v>
      </c>
      <c r="F1274" s="3">
        <v>60</v>
      </c>
      <c r="G1274" s="4">
        <v>44984</v>
      </c>
      <c r="I1274" s="1">
        <v>2000</v>
      </c>
      <c r="J1274" s="1">
        <v>2000</v>
      </c>
    </row>
    <row r="1275" spans="2:18" x14ac:dyDescent="0.2">
      <c r="C1275" s="2" t="s">
        <v>8</v>
      </c>
      <c r="D1275" s="2" t="s">
        <v>39</v>
      </c>
      <c r="E1275" s="3">
        <v>170</v>
      </c>
      <c r="F1275" s="3">
        <v>22</v>
      </c>
      <c r="G1275" s="4">
        <v>44255</v>
      </c>
      <c r="I1275" s="1">
        <v>830</v>
      </c>
      <c r="J1275" s="1">
        <v>2000</v>
      </c>
    </row>
    <row r="1276" spans="2:18" x14ac:dyDescent="0.2">
      <c r="C1276" s="2" t="s">
        <v>7</v>
      </c>
      <c r="D1276" s="2" t="s">
        <v>2132</v>
      </c>
      <c r="E1276" s="3">
        <v>176</v>
      </c>
      <c r="F1276" s="3">
        <v>13</v>
      </c>
      <c r="G1276" s="4">
        <v>44578</v>
      </c>
    </row>
    <row r="1277" spans="2:18" x14ac:dyDescent="0.2">
      <c r="G1277" s="4"/>
    </row>
    <row r="1278" spans="2:18" s="12" customFormat="1" x14ac:dyDescent="0.2">
      <c r="B1278" s="12" t="s">
        <v>1087</v>
      </c>
      <c r="C1278" s="13" t="s">
        <v>969</v>
      </c>
      <c r="D1278" s="13" t="s">
        <v>968</v>
      </c>
      <c r="E1278" s="15"/>
      <c r="F1278" s="15">
        <f>SUM(F1279:F1294)</f>
        <v>92.738095238095241</v>
      </c>
      <c r="G1278" s="14">
        <f>G1279</f>
        <v>45042</v>
      </c>
      <c r="M1278" s="13"/>
      <c r="N1278" s="13"/>
      <c r="O1278" s="13"/>
      <c r="P1278" s="13"/>
      <c r="Q1278" s="13"/>
      <c r="R1278" s="13"/>
    </row>
    <row r="1279" spans="2:18" x14ac:dyDescent="0.2">
      <c r="B1279" s="265" t="s">
        <v>7664</v>
      </c>
      <c r="C1279" s="2" t="s">
        <v>7</v>
      </c>
      <c r="D1279" s="2" t="s">
        <v>1086</v>
      </c>
      <c r="E1279" s="3">
        <v>100</v>
      </c>
      <c r="F1279" s="3">
        <v>5</v>
      </c>
      <c r="G1279" s="4">
        <v>45042</v>
      </c>
    </row>
    <row r="1280" spans="2:18" x14ac:dyDescent="0.2">
      <c r="C1280" s="2" t="s">
        <v>5</v>
      </c>
      <c r="D1280" s="2" t="s">
        <v>1086</v>
      </c>
      <c r="E1280" s="3">
        <v>28</v>
      </c>
      <c r="F1280" s="3">
        <v>6</v>
      </c>
      <c r="G1280" s="4">
        <v>44649</v>
      </c>
    </row>
    <row r="1281" spans="2:18" x14ac:dyDescent="0.2">
      <c r="C1281" s="2" t="s">
        <v>4</v>
      </c>
      <c r="D1281" s="2" t="s">
        <v>1086</v>
      </c>
      <c r="E1281" s="3">
        <v>10</v>
      </c>
      <c r="F1281" s="3">
        <v>5</v>
      </c>
      <c r="G1281" s="4">
        <v>44223</v>
      </c>
    </row>
    <row r="1282" spans="2:18" x14ac:dyDescent="0.2">
      <c r="C1282" s="2" t="s">
        <v>7</v>
      </c>
      <c r="D1282" s="2" t="s">
        <v>1011</v>
      </c>
      <c r="E1282" s="3">
        <v>43</v>
      </c>
      <c r="F1282" s="3">
        <f>30/5</f>
        <v>6</v>
      </c>
      <c r="G1282" s="4">
        <v>44978</v>
      </c>
    </row>
    <row r="1283" spans="2:18" x14ac:dyDescent="0.2">
      <c r="C1283" s="2" t="s">
        <v>7</v>
      </c>
      <c r="D1283" s="2" t="s">
        <v>860</v>
      </c>
      <c r="E1283" s="3">
        <v>25</v>
      </c>
      <c r="F1283" s="3">
        <f>18/7</f>
        <v>2.5714285714285716</v>
      </c>
      <c r="G1283" s="4">
        <v>44636</v>
      </c>
    </row>
    <row r="1284" spans="2:18" x14ac:dyDescent="0.2">
      <c r="C1284" s="2" t="s">
        <v>5</v>
      </c>
      <c r="D1284" s="2" t="s">
        <v>860</v>
      </c>
      <c r="E1284" s="3">
        <v>12.2</v>
      </c>
      <c r="F1284" s="3">
        <v>4</v>
      </c>
      <c r="G1284" s="4">
        <v>44179</v>
      </c>
    </row>
    <row r="1285" spans="2:18" x14ac:dyDescent="0.2">
      <c r="C1285" s="2" t="s">
        <v>4</v>
      </c>
      <c r="D1285" s="2" t="s">
        <v>860</v>
      </c>
      <c r="E1285" s="3">
        <v>5.0999999999999996</v>
      </c>
      <c r="F1285" s="3">
        <v>1</v>
      </c>
      <c r="G1285" s="4">
        <v>44046</v>
      </c>
    </row>
    <row r="1286" spans="2:18" x14ac:dyDescent="0.2">
      <c r="C1286" s="2" t="s">
        <v>4</v>
      </c>
      <c r="D1286" s="2" t="s">
        <v>829</v>
      </c>
      <c r="E1286" s="3">
        <v>4.5</v>
      </c>
      <c r="F1286" s="3">
        <v>0.5</v>
      </c>
      <c r="G1286" s="4">
        <v>45056</v>
      </c>
    </row>
    <row r="1287" spans="2:18" x14ac:dyDescent="0.2">
      <c r="C1287" s="2" t="s">
        <v>5</v>
      </c>
      <c r="D1287" s="2" t="s">
        <v>719</v>
      </c>
      <c r="E1287" s="3">
        <v>11</v>
      </c>
      <c r="F1287" s="3">
        <v>4</v>
      </c>
      <c r="G1287" s="4">
        <v>44483</v>
      </c>
    </row>
    <row r="1288" spans="2:18" x14ac:dyDescent="0.2">
      <c r="C1288" s="2" t="s">
        <v>7</v>
      </c>
      <c r="D1288" s="2" t="s">
        <v>398</v>
      </c>
      <c r="E1288" s="3">
        <v>37</v>
      </c>
      <c r="F1288" s="3">
        <v>4</v>
      </c>
      <c r="G1288" s="4">
        <v>44860</v>
      </c>
    </row>
    <row r="1289" spans="2:18" x14ac:dyDescent="0.2">
      <c r="C1289" s="2" t="s">
        <v>7</v>
      </c>
      <c r="D1289" s="2" t="s">
        <v>398</v>
      </c>
      <c r="E1289" s="3">
        <v>80</v>
      </c>
      <c r="F1289" s="3">
        <v>10</v>
      </c>
      <c r="G1289" s="4">
        <v>44327</v>
      </c>
    </row>
    <row r="1290" spans="2:18" x14ac:dyDescent="0.2">
      <c r="C1290" s="2" t="s">
        <v>5</v>
      </c>
      <c r="D1290" s="2" t="s">
        <v>398</v>
      </c>
      <c r="E1290" s="3">
        <v>30</v>
      </c>
      <c r="F1290" s="3">
        <v>6.666666666666667</v>
      </c>
      <c r="G1290" s="4">
        <v>43963</v>
      </c>
    </row>
    <row r="1291" spans="2:18" x14ac:dyDescent="0.2">
      <c r="C1291" s="2" t="s">
        <v>8</v>
      </c>
      <c r="D1291" s="2" t="s">
        <v>55</v>
      </c>
      <c r="E1291" s="3">
        <v>200</v>
      </c>
      <c r="F1291" s="3">
        <f>150/8</f>
        <v>18.75</v>
      </c>
      <c r="G1291" s="4">
        <v>44055</v>
      </c>
      <c r="I1291" s="1">
        <v>2000</v>
      </c>
      <c r="J1291" s="1">
        <v>7000</v>
      </c>
    </row>
    <row r="1292" spans="2:18" x14ac:dyDescent="0.2">
      <c r="C1292" s="2" t="s">
        <v>18</v>
      </c>
      <c r="D1292" s="2" t="s">
        <v>55</v>
      </c>
      <c r="E1292" s="3">
        <v>65</v>
      </c>
      <c r="F1292" s="3">
        <v>8</v>
      </c>
      <c r="G1292" s="4">
        <v>43802</v>
      </c>
      <c r="I1292" s="1">
        <v>685</v>
      </c>
      <c r="J1292" s="1">
        <v>7000</v>
      </c>
    </row>
    <row r="1293" spans="2:18" x14ac:dyDescent="0.2">
      <c r="C1293" s="2" t="s">
        <v>7</v>
      </c>
      <c r="D1293" s="2" t="s">
        <v>55</v>
      </c>
      <c r="E1293" s="3">
        <v>40</v>
      </c>
      <c r="F1293" s="3">
        <v>6.25</v>
      </c>
      <c r="G1293" s="4">
        <v>43503</v>
      </c>
      <c r="J1293" s="1">
        <v>7000</v>
      </c>
    </row>
    <row r="1294" spans="2:18" x14ac:dyDescent="0.2">
      <c r="C1294" s="2" t="s">
        <v>5</v>
      </c>
      <c r="D1294" s="2" t="s">
        <v>55</v>
      </c>
      <c r="E1294" s="3">
        <v>20</v>
      </c>
      <c r="F1294" s="3">
        <v>5</v>
      </c>
      <c r="G1294" s="4">
        <v>42898</v>
      </c>
    </row>
    <row r="1295" spans="2:18" x14ac:dyDescent="0.2">
      <c r="G1295" s="4"/>
    </row>
    <row r="1296" spans="2:18" s="12" customFormat="1" x14ac:dyDescent="0.2">
      <c r="B1296" s="12" t="s">
        <v>72</v>
      </c>
      <c r="C1296" s="13" t="s">
        <v>969</v>
      </c>
      <c r="D1296" s="13" t="s">
        <v>968</v>
      </c>
      <c r="E1296" s="15"/>
      <c r="F1296" s="15" cm="1">
        <f t="array" ref="F1296">SUM(F1297+F1297:F1299)</f>
        <v>89.714285714285722</v>
      </c>
      <c r="G1296" s="14">
        <f>G1297</f>
        <v>44825</v>
      </c>
      <c r="M1296" s="13"/>
      <c r="N1296" s="13"/>
      <c r="O1296" s="13"/>
      <c r="P1296" s="13"/>
      <c r="Q1296" s="13"/>
      <c r="R1296" s="13"/>
    </row>
    <row r="1297" spans="2:18" x14ac:dyDescent="0.2">
      <c r="C1297" s="2" t="s">
        <v>5</v>
      </c>
      <c r="D1297" s="2" t="s">
        <v>71</v>
      </c>
      <c r="E1297" s="3">
        <v>10</v>
      </c>
      <c r="F1297" s="3">
        <v>6</v>
      </c>
      <c r="G1297" s="4">
        <v>44825</v>
      </c>
    </row>
    <row r="1298" spans="2:18" x14ac:dyDescent="0.2">
      <c r="C1298" s="2" t="s">
        <v>7</v>
      </c>
      <c r="D1298" s="2" t="s">
        <v>64</v>
      </c>
      <c r="E1298" s="3">
        <f>1600/7</f>
        <v>228.57142857142858</v>
      </c>
      <c r="F1298" s="3">
        <v>30</v>
      </c>
      <c r="G1298" s="4">
        <v>44550</v>
      </c>
    </row>
    <row r="1299" spans="2:18" x14ac:dyDescent="0.2">
      <c r="C1299" s="2" t="s">
        <v>5</v>
      </c>
      <c r="D1299" s="2" t="s">
        <v>64</v>
      </c>
      <c r="E1299" s="3">
        <f>500/7</f>
        <v>71.428571428571431</v>
      </c>
      <c r="F1299" s="3">
        <f>E1299/2</f>
        <v>35.714285714285715</v>
      </c>
      <c r="G1299" s="4">
        <v>44315</v>
      </c>
    </row>
    <row r="1301" spans="2:18" s="12" customFormat="1" x14ac:dyDescent="0.2">
      <c r="B1301" s="12" t="s">
        <v>236</v>
      </c>
      <c r="C1301" s="13" t="s">
        <v>969</v>
      </c>
      <c r="D1301" s="13" t="s">
        <v>968</v>
      </c>
      <c r="E1301" s="15"/>
      <c r="F1301" s="15">
        <f>SUM(F1302:F1304)</f>
        <v>88.8888888888889</v>
      </c>
      <c r="G1301" s="14">
        <f>G1303</f>
        <v>44218</v>
      </c>
      <c r="M1301" s="13"/>
      <c r="N1301" s="13"/>
      <c r="O1301" s="13"/>
      <c r="P1301" s="13"/>
      <c r="Q1301" s="13"/>
      <c r="R1301" s="13"/>
    </row>
    <row r="1302" spans="2:18" x14ac:dyDescent="0.2">
      <c r="C1302" s="2" t="s">
        <v>18</v>
      </c>
      <c r="D1302" s="2" t="s">
        <v>232</v>
      </c>
      <c r="E1302" s="3">
        <v>460</v>
      </c>
      <c r="F1302" s="3">
        <f>160/4</f>
        <v>40</v>
      </c>
      <c r="G1302" s="4">
        <v>43040</v>
      </c>
    </row>
    <row r="1303" spans="2:18" x14ac:dyDescent="0.2">
      <c r="C1303" s="2" t="s">
        <v>8</v>
      </c>
      <c r="D1303" s="2" t="s">
        <v>211</v>
      </c>
      <c r="E1303" s="3">
        <v>700</v>
      </c>
      <c r="F1303" s="3">
        <f>400/12</f>
        <v>33.333333333333336</v>
      </c>
      <c r="G1303" s="4">
        <v>44218</v>
      </c>
    </row>
    <row r="1304" spans="2:18" x14ac:dyDescent="0.2">
      <c r="C1304" s="2" t="s">
        <v>18</v>
      </c>
      <c r="D1304" s="2" t="s">
        <v>211</v>
      </c>
      <c r="E1304" s="3">
        <v>140</v>
      </c>
      <c r="F1304" s="3">
        <f>E1304/9</f>
        <v>15.555555555555555</v>
      </c>
      <c r="G1304" s="4">
        <v>43453</v>
      </c>
    </row>
    <row r="1305" spans="2:18" x14ac:dyDescent="0.2">
      <c r="G1305" s="4"/>
    </row>
    <row r="1306" spans="2:18" s="12" customFormat="1" x14ac:dyDescent="0.2">
      <c r="B1306" s="12" t="s">
        <v>603</v>
      </c>
      <c r="C1306" s="13" t="s">
        <v>969</v>
      </c>
      <c r="D1306" s="13" t="s">
        <v>968</v>
      </c>
      <c r="E1306" s="15"/>
      <c r="F1306" s="15">
        <f>SUM(F1307:F1311)</f>
        <v>86.174999999999997</v>
      </c>
      <c r="G1306" s="14">
        <f>G1307</f>
        <v>44663</v>
      </c>
    </row>
    <row r="1307" spans="2:18" x14ac:dyDescent="0.2">
      <c r="C1307" s="2" t="s">
        <v>18</v>
      </c>
      <c r="D1307" s="2" t="s">
        <v>599</v>
      </c>
      <c r="E1307" s="3">
        <v>125</v>
      </c>
      <c r="F1307" s="3">
        <f>75/8</f>
        <v>9.375</v>
      </c>
      <c r="G1307" s="4">
        <v>44663</v>
      </c>
      <c r="M1307" s="1"/>
      <c r="N1307" s="1"/>
      <c r="O1307" s="1"/>
      <c r="P1307" s="1"/>
      <c r="Q1307" s="1"/>
      <c r="R1307" s="1"/>
    </row>
    <row r="1308" spans="2:18" x14ac:dyDescent="0.2">
      <c r="C1308" s="2" t="s">
        <v>7</v>
      </c>
      <c r="D1308" s="2" t="s">
        <v>599</v>
      </c>
      <c r="E1308" s="3">
        <v>54</v>
      </c>
      <c r="F1308" s="3">
        <f>40/5</f>
        <v>8</v>
      </c>
      <c r="G1308" s="4">
        <v>44089</v>
      </c>
      <c r="M1308" s="1"/>
      <c r="N1308" s="1"/>
      <c r="O1308" s="1"/>
      <c r="P1308" s="1"/>
      <c r="Q1308" s="1"/>
      <c r="R1308" s="1"/>
    </row>
    <row r="1309" spans="2:18" x14ac:dyDescent="0.2">
      <c r="C1309" s="2" t="s">
        <v>8</v>
      </c>
      <c r="D1309" s="2" t="s">
        <v>39</v>
      </c>
      <c r="E1309" s="3">
        <v>170</v>
      </c>
      <c r="F1309" s="3">
        <v>22</v>
      </c>
      <c r="G1309" s="4">
        <v>44255</v>
      </c>
      <c r="I1309" s="1">
        <v>830</v>
      </c>
      <c r="J1309" s="1">
        <v>2000</v>
      </c>
      <c r="M1309" s="1"/>
      <c r="N1309" s="1"/>
      <c r="O1309" s="1"/>
      <c r="P1309" s="1"/>
      <c r="Q1309" s="1"/>
      <c r="R1309" s="1"/>
    </row>
    <row r="1310" spans="2:18" x14ac:dyDescent="0.2">
      <c r="C1310" s="2" t="s">
        <v>18</v>
      </c>
      <c r="D1310" s="2" t="s">
        <v>39</v>
      </c>
      <c r="E1310" s="3">
        <v>100</v>
      </c>
      <c r="F1310" s="3">
        <v>40</v>
      </c>
      <c r="G1310" s="4">
        <v>44025</v>
      </c>
      <c r="J1310" s="1">
        <v>2000</v>
      </c>
      <c r="M1310" s="1"/>
      <c r="N1310" s="1"/>
      <c r="O1310" s="1"/>
      <c r="P1310" s="1"/>
      <c r="Q1310" s="1"/>
      <c r="R1310" s="1"/>
    </row>
    <row r="1311" spans="2:18" x14ac:dyDescent="0.2">
      <c r="C1311" s="52" t="s">
        <v>8</v>
      </c>
      <c r="D1311" s="52" t="s">
        <v>4897</v>
      </c>
      <c r="E1311" s="3">
        <v>83</v>
      </c>
      <c r="F1311" s="3">
        <v>6.8</v>
      </c>
      <c r="G1311" s="4">
        <v>44320</v>
      </c>
      <c r="I1311" s="1">
        <v>3600</v>
      </c>
      <c r="J1311" s="1">
        <v>3600</v>
      </c>
      <c r="M1311" s="1"/>
      <c r="N1311" s="1"/>
      <c r="O1311" s="1"/>
      <c r="P1311" s="1"/>
      <c r="Q1311" s="1"/>
      <c r="R1311" s="1"/>
    </row>
    <row r="1312" spans="2:18" x14ac:dyDescent="0.2">
      <c r="C1312" s="52" t="s">
        <v>18</v>
      </c>
      <c r="D1312" s="52" t="s">
        <v>4897</v>
      </c>
      <c r="E1312" s="3">
        <v>100</v>
      </c>
      <c r="F1312" s="3">
        <v>20</v>
      </c>
      <c r="G1312" s="4">
        <v>43937</v>
      </c>
      <c r="I1312" s="1">
        <v>1100</v>
      </c>
      <c r="J1312" s="1">
        <v>3600</v>
      </c>
      <c r="M1312" s="1"/>
      <c r="N1312" s="1"/>
      <c r="O1312" s="1"/>
      <c r="P1312" s="1"/>
      <c r="Q1312" s="1"/>
      <c r="R1312" s="1"/>
    </row>
    <row r="1313" spans="2:18" x14ac:dyDescent="0.2">
      <c r="G1313" s="4"/>
      <c r="M1313" s="1"/>
      <c r="N1313" s="1"/>
      <c r="O1313" s="1"/>
      <c r="P1313" s="1"/>
      <c r="Q1313" s="1"/>
      <c r="R1313" s="1"/>
    </row>
    <row r="1314" spans="2:18" s="12" customFormat="1" x14ac:dyDescent="0.2">
      <c r="B1314" s="12" t="s">
        <v>619</v>
      </c>
      <c r="C1314" s="13" t="s">
        <v>969</v>
      </c>
      <c r="D1314" s="13" t="s">
        <v>968</v>
      </c>
      <c r="E1314" s="15"/>
      <c r="F1314" s="15">
        <f>SUM(F1315:F1320)</f>
        <v>91.888888888888886</v>
      </c>
      <c r="G1314" s="14">
        <f>G1317</f>
        <v>45124</v>
      </c>
    </row>
    <row r="1315" spans="2:18" x14ac:dyDescent="0.2">
      <c r="C1315" s="2" t="s">
        <v>9</v>
      </c>
      <c r="D1315" s="2" t="s">
        <v>606</v>
      </c>
      <c r="E1315" s="3">
        <v>132</v>
      </c>
      <c r="F1315" s="3">
        <v>20</v>
      </c>
      <c r="G1315" s="4">
        <v>44215</v>
      </c>
      <c r="I1315" s="1">
        <v>1400</v>
      </c>
      <c r="J1315" s="1">
        <v>1200</v>
      </c>
      <c r="M1315" s="1"/>
      <c r="N1315" s="1"/>
      <c r="O1315" s="1"/>
      <c r="P1315" s="1"/>
      <c r="Q1315" s="1"/>
      <c r="R1315" s="1"/>
    </row>
    <row r="1316" spans="2:18" x14ac:dyDescent="0.2">
      <c r="C1316" s="2" t="s">
        <v>8</v>
      </c>
      <c r="D1316" s="2" t="s">
        <v>606</v>
      </c>
      <c r="E1316" s="3">
        <v>42</v>
      </c>
      <c r="F1316" s="3">
        <v>12</v>
      </c>
      <c r="G1316" s="4">
        <v>44153</v>
      </c>
      <c r="J1316" s="1">
        <v>1200</v>
      </c>
      <c r="M1316" s="1"/>
      <c r="N1316" s="1"/>
      <c r="O1316" s="1"/>
      <c r="P1316" s="1"/>
      <c r="Q1316" s="1"/>
      <c r="R1316" s="1"/>
    </row>
    <row r="1317" spans="2:18" x14ac:dyDescent="0.2">
      <c r="C1317" s="282" t="s">
        <v>7978</v>
      </c>
      <c r="D1317" s="2" t="s">
        <v>606</v>
      </c>
      <c r="E1317" s="3">
        <v>59</v>
      </c>
      <c r="F1317" s="3">
        <f>E1317/9</f>
        <v>6.5555555555555554</v>
      </c>
      <c r="G1317" s="4">
        <v>45124</v>
      </c>
      <c r="I1317" s="1">
        <v>1200</v>
      </c>
      <c r="J1317" s="1">
        <v>1200</v>
      </c>
      <c r="M1317" s="1"/>
      <c r="N1317" s="1"/>
      <c r="O1317" s="1"/>
      <c r="P1317" s="1"/>
      <c r="Q1317" s="1"/>
      <c r="R1317" s="1"/>
    </row>
    <row r="1318" spans="2:18" x14ac:dyDescent="0.2">
      <c r="C1318" s="2" t="s">
        <v>7</v>
      </c>
      <c r="D1318" s="2" t="s">
        <v>318</v>
      </c>
      <c r="E1318" s="3">
        <v>55</v>
      </c>
      <c r="F1318" s="3">
        <f>30/6</f>
        <v>5</v>
      </c>
      <c r="G1318" s="4">
        <v>44200</v>
      </c>
      <c r="M1318" s="1"/>
      <c r="N1318" s="1"/>
      <c r="O1318" s="1"/>
      <c r="P1318" s="1"/>
      <c r="Q1318" s="1"/>
      <c r="R1318" s="1"/>
    </row>
    <row r="1319" spans="2:18" x14ac:dyDescent="0.2">
      <c r="C1319" s="2" t="s">
        <v>18</v>
      </c>
      <c r="D1319" s="2" t="s">
        <v>318</v>
      </c>
      <c r="E1319" s="3">
        <v>91</v>
      </c>
      <c r="F1319" s="3">
        <v>8.75</v>
      </c>
      <c r="G1319" s="4">
        <v>44867</v>
      </c>
      <c r="M1319" s="1"/>
      <c r="N1319" s="1"/>
      <c r="O1319" s="1"/>
      <c r="P1319" s="1"/>
      <c r="Q1319" s="1"/>
      <c r="R1319" s="1"/>
    </row>
    <row r="1320" spans="2:18" x14ac:dyDescent="0.2">
      <c r="C1320" s="2" t="s">
        <v>53</v>
      </c>
      <c r="D1320" s="2" t="s">
        <v>176</v>
      </c>
      <c r="E1320" s="3">
        <v>475</v>
      </c>
      <c r="F1320" s="3">
        <f>E1320/12</f>
        <v>39.583333333333336</v>
      </c>
      <c r="G1320" s="4">
        <v>44278</v>
      </c>
      <c r="M1320" s="1"/>
      <c r="N1320" s="1"/>
      <c r="O1320" s="1"/>
      <c r="P1320" s="1"/>
      <c r="Q1320" s="1"/>
      <c r="R1320" s="1"/>
    </row>
    <row r="1321" spans="2:18" x14ac:dyDescent="0.2">
      <c r="G1321" s="4"/>
      <c r="M1321" s="1"/>
      <c r="N1321" s="1"/>
      <c r="O1321" s="1"/>
      <c r="P1321" s="1"/>
      <c r="Q1321" s="1"/>
      <c r="R1321" s="1"/>
    </row>
    <row r="1322" spans="2:18" s="12" customFormat="1" x14ac:dyDescent="0.2">
      <c r="B1322" s="12" t="s">
        <v>75</v>
      </c>
      <c r="C1322" s="13" t="s">
        <v>969</v>
      </c>
      <c r="D1322" s="13" t="s">
        <v>968</v>
      </c>
      <c r="E1322" s="15"/>
      <c r="F1322" s="15">
        <f>SUM(F1323:F1329)</f>
        <v>84</v>
      </c>
      <c r="G1322" s="14">
        <f>G1326</f>
        <v>44937</v>
      </c>
      <c r="K1322" s="46"/>
      <c r="M1322" s="13"/>
      <c r="N1322" s="13"/>
      <c r="O1322" s="13"/>
      <c r="P1322" s="13"/>
      <c r="Q1322" s="13"/>
      <c r="R1322" s="13"/>
    </row>
    <row r="1323" spans="2:18" x14ac:dyDescent="0.2">
      <c r="B1323" s="265" t="s">
        <v>7664</v>
      </c>
      <c r="C1323" s="2" t="s">
        <v>8</v>
      </c>
      <c r="D1323" s="2" t="s">
        <v>74</v>
      </c>
      <c r="E1323" s="3">
        <v>81</v>
      </c>
      <c r="F1323" s="3">
        <f>+E1323/6</f>
        <v>13.5</v>
      </c>
      <c r="G1323" s="4">
        <v>43418</v>
      </c>
      <c r="I1323" s="1">
        <v>1700</v>
      </c>
      <c r="J1323" s="1">
        <v>3800</v>
      </c>
      <c r="K1323" s="5">
        <f>(E1323/(I1323+E1323))*J1323*(F1323/E1323)</f>
        <v>28.804042672655811</v>
      </c>
      <c r="M1323" s="93" t="s">
        <v>5923</v>
      </c>
    </row>
    <row r="1324" spans="2:18" x14ac:dyDescent="0.2">
      <c r="C1324" s="2" t="s">
        <v>18</v>
      </c>
      <c r="D1324" s="2" t="s">
        <v>74</v>
      </c>
      <c r="E1324" s="3">
        <v>60</v>
      </c>
      <c r="F1324" s="3">
        <f>+E1324/5</f>
        <v>12</v>
      </c>
      <c r="G1324" s="4">
        <v>42736</v>
      </c>
      <c r="I1324" s="1">
        <v>800</v>
      </c>
      <c r="J1324" s="1">
        <v>3800</v>
      </c>
      <c r="K1324" s="5">
        <f>(E1324/(I1324+E1324))*J1324*(F1324/E1324)</f>
        <v>53.023255813953483</v>
      </c>
    </row>
    <row r="1325" spans="2:18" x14ac:dyDescent="0.2">
      <c r="C1325" s="2" t="s">
        <v>7</v>
      </c>
      <c r="D1325" s="2" t="s">
        <v>74</v>
      </c>
      <c r="E1325" s="3">
        <v>25</v>
      </c>
      <c r="F1325" s="3">
        <v>15</v>
      </c>
      <c r="G1325" s="4">
        <v>42723</v>
      </c>
      <c r="I1325" s="1">
        <v>245</v>
      </c>
      <c r="J1325" s="1">
        <v>3800</v>
      </c>
      <c r="K1325" s="5">
        <f>(E1325/(I1325+E1325))*J1325*(F1325/E1325)</f>
        <v>211.11111111111111</v>
      </c>
    </row>
    <row r="1326" spans="2:18" x14ac:dyDescent="0.2">
      <c r="C1326" s="93" t="s">
        <v>7</v>
      </c>
      <c r="D1326" s="93" t="s">
        <v>2079</v>
      </c>
      <c r="E1326" s="3">
        <v>100</v>
      </c>
      <c r="F1326" s="3">
        <f>70/5</f>
        <v>14</v>
      </c>
      <c r="G1326" s="4">
        <v>44937</v>
      </c>
      <c r="I1326" s="1">
        <v>900</v>
      </c>
      <c r="J1326" s="1">
        <v>900</v>
      </c>
      <c r="K1326" s="5"/>
    </row>
    <row r="1327" spans="2:18" x14ac:dyDescent="0.2">
      <c r="C1327" s="93" t="s">
        <v>18</v>
      </c>
      <c r="D1327" s="93" t="s">
        <v>2075</v>
      </c>
      <c r="E1327" s="3">
        <v>65</v>
      </c>
      <c r="F1327" s="3">
        <v>10</v>
      </c>
      <c r="G1327" s="4">
        <v>44644</v>
      </c>
      <c r="I1327" s="1">
        <v>500</v>
      </c>
      <c r="J1327" s="1">
        <v>500</v>
      </c>
      <c r="K1327" s="5"/>
    </row>
    <row r="1328" spans="2:18" x14ac:dyDescent="0.2">
      <c r="C1328" s="93" t="s">
        <v>7</v>
      </c>
      <c r="D1328" s="93" t="s">
        <v>2075</v>
      </c>
      <c r="E1328" s="3">
        <v>22</v>
      </c>
      <c r="F1328" s="3">
        <v>10</v>
      </c>
      <c r="G1328" s="4">
        <v>43944</v>
      </c>
      <c r="J1328" s="1">
        <v>500</v>
      </c>
      <c r="K1328" s="5"/>
    </row>
    <row r="1329" spans="2:18" x14ac:dyDescent="0.2">
      <c r="C1329" s="93" t="s">
        <v>5</v>
      </c>
      <c r="D1329" s="93" t="s">
        <v>2075</v>
      </c>
      <c r="E1329" s="3">
        <v>10.5</v>
      </c>
      <c r="F1329" s="3">
        <v>9.5</v>
      </c>
      <c r="G1329" s="4"/>
      <c r="J1329" s="1">
        <v>500</v>
      </c>
      <c r="K1329" s="5"/>
    </row>
    <row r="1330" spans="2:18" x14ac:dyDescent="0.2">
      <c r="G1330" s="4"/>
      <c r="K1330" s="5"/>
    </row>
    <row r="1331" spans="2:18" s="12" customFormat="1" x14ac:dyDescent="0.2">
      <c r="B1331" s="12" t="s">
        <v>85</v>
      </c>
      <c r="C1331" s="13" t="s">
        <v>969</v>
      </c>
      <c r="D1331" s="13" t="s">
        <v>968</v>
      </c>
      <c r="E1331" s="15"/>
      <c r="F1331" s="15">
        <f>SUM(F1332:F1334)</f>
        <v>83.166666666666657</v>
      </c>
      <c r="G1331" s="14">
        <f>G1332</f>
        <v>44201</v>
      </c>
      <c r="M1331" s="13"/>
      <c r="N1331" s="13"/>
      <c r="O1331" s="13"/>
      <c r="P1331" s="13"/>
      <c r="Q1331" s="13"/>
      <c r="R1331" s="13"/>
    </row>
    <row r="1332" spans="2:18" x14ac:dyDescent="0.2">
      <c r="C1332" s="2" t="s">
        <v>18</v>
      </c>
      <c r="D1332" s="2" t="s">
        <v>80</v>
      </c>
      <c r="E1332" s="3">
        <v>257</v>
      </c>
      <c r="F1332" s="3">
        <f>107/3</f>
        <v>35.666666666666664</v>
      </c>
      <c r="G1332" s="4">
        <v>44201</v>
      </c>
      <c r="I1332" s="5">
        <v>1286</v>
      </c>
    </row>
    <row r="1333" spans="2:18" x14ac:dyDescent="0.2">
      <c r="C1333" s="2" t="s">
        <v>7</v>
      </c>
      <c r="D1333" s="2" t="s">
        <v>80</v>
      </c>
      <c r="E1333" s="3">
        <v>100</v>
      </c>
      <c r="F1333" s="3">
        <v>40</v>
      </c>
      <c r="G1333" s="4">
        <v>43958</v>
      </c>
      <c r="I1333" s="5">
        <f>4500/7</f>
        <v>642.85714285714289</v>
      </c>
    </row>
    <row r="1334" spans="2:18" x14ac:dyDescent="0.2">
      <c r="C1334" s="2" t="s">
        <v>4</v>
      </c>
      <c r="D1334" s="2" t="s">
        <v>80</v>
      </c>
      <c r="E1334" s="3">
        <v>49</v>
      </c>
      <c r="F1334" s="3">
        <v>7.5</v>
      </c>
      <c r="G1334" s="4">
        <v>43319</v>
      </c>
      <c r="I1334" s="5"/>
    </row>
    <row r="1335" spans="2:18" x14ac:dyDescent="0.2">
      <c r="G1335" s="4"/>
      <c r="I1335" s="5"/>
    </row>
    <row r="1336" spans="2:18" s="12" customFormat="1" x14ac:dyDescent="0.2">
      <c r="B1336" s="12" t="s">
        <v>844</v>
      </c>
      <c r="C1336" s="13" t="s">
        <v>969</v>
      </c>
      <c r="D1336" s="13" t="s">
        <v>968</v>
      </c>
      <c r="E1336" s="15"/>
      <c r="F1336" s="15">
        <f>SUM(F1337:F1340)</f>
        <v>82.5</v>
      </c>
      <c r="G1336" s="14">
        <f>G1337</f>
        <v>44796</v>
      </c>
      <c r="M1336" s="13"/>
      <c r="N1336" s="13"/>
      <c r="O1336" s="13"/>
      <c r="P1336" s="13"/>
      <c r="Q1336" s="13"/>
      <c r="R1336" s="13"/>
    </row>
    <row r="1337" spans="2:18" x14ac:dyDescent="0.2">
      <c r="C1337" s="2" t="s">
        <v>5</v>
      </c>
      <c r="D1337" s="2" t="s">
        <v>701</v>
      </c>
      <c r="E1337" s="3">
        <v>50</v>
      </c>
      <c r="F1337" s="3">
        <f>30/12</f>
        <v>2.5</v>
      </c>
      <c r="G1337" s="4">
        <v>44796</v>
      </c>
    </row>
    <row r="1338" spans="2:18" x14ac:dyDescent="0.2">
      <c r="C1338" s="2" t="s">
        <v>5</v>
      </c>
      <c r="D1338" s="2" t="s">
        <v>843</v>
      </c>
      <c r="E1338" s="3">
        <v>44</v>
      </c>
      <c r="F1338" s="3">
        <v>10</v>
      </c>
      <c r="G1338" s="4">
        <v>44671</v>
      </c>
    </row>
    <row r="1339" spans="2:18" x14ac:dyDescent="0.2">
      <c r="C1339" s="2" t="s">
        <v>18</v>
      </c>
      <c r="D1339" s="2" t="s">
        <v>232</v>
      </c>
      <c r="E1339" s="3">
        <v>460</v>
      </c>
      <c r="F1339" s="3">
        <v>40</v>
      </c>
      <c r="G1339" s="4">
        <v>43040</v>
      </c>
    </row>
    <row r="1340" spans="2:18" x14ac:dyDescent="0.2">
      <c r="C1340" s="2" t="s">
        <v>7</v>
      </c>
      <c r="D1340" s="2" t="s">
        <v>2133</v>
      </c>
      <c r="E1340" s="3">
        <v>186</v>
      </c>
      <c r="F1340" s="3">
        <v>30</v>
      </c>
      <c r="G1340" s="4">
        <v>44648</v>
      </c>
    </row>
    <row r="1341" spans="2:18" x14ac:dyDescent="0.2">
      <c r="G1341" s="4"/>
    </row>
    <row r="1342" spans="2:18" x14ac:dyDescent="0.2">
      <c r="B1342" s="12" t="s">
        <v>1079</v>
      </c>
      <c r="C1342" s="13" t="s">
        <v>969</v>
      </c>
      <c r="D1342" s="13" t="s">
        <v>968</v>
      </c>
      <c r="E1342" s="15"/>
      <c r="F1342" s="15">
        <f>SUM(F1343:F1346)</f>
        <v>80.920454545454547</v>
      </c>
      <c r="G1342" s="14">
        <f>G1343</f>
        <v>45069</v>
      </c>
    </row>
    <row r="1343" spans="2:18" x14ac:dyDescent="0.2">
      <c r="C1343" s="2" t="s">
        <v>18</v>
      </c>
      <c r="D1343" s="2" t="s">
        <v>964</v>
      </c>
      <c r="E1343" s="3">
        <v>450</v>
      </c>
      <c r="F1343" s="3">
        <f>300/5</f>
        <v>60</v>
      </c>
      <c r="G1343" s="4">
        <v>45069</v>
      </c>
    </row>
    <row r="1344" spans="2:18" x14ac:dyDescent="0.2">
      <c r="C1344" s="2" t="s">
        <v>18</v>
      </c>
      <c r="D1344" s="2" t="s">
        <v>692</v>
      </c>
      <c r="E1344" s="3">
        <v>125</v>
      </c>
      <c r="F1344" s="3">
        <f>75/8</f>
        <v>9.375</v>
      </c>
      <c r="G1344" s="4">
        <v>44663</v>
      </c>
    </row>
    <row r="1345" spans="2:18" x14ac:dyDescent="0.2">
      <c r="C1345" s="2" t="s">
        <v>8</v>
      </c>
      <c r="D1345" s="2" t="s">
        <v>448</v>
      </c>
      <c r="E1345" s="3">
        <v>90</v>
      </c>
      <c r="F1345" s="3">
        <f>50/11</f>
        <v>4.5454545454545459</v>
      </c>
      <c r="G1345" s="4">
        <v>44776</v>
      </c>
    </row>
    <row r="1346" spans="2:18" x14ac:dyDescent="0.2">
      <c r="C1346" s="93" t="s">
        <v>18</v>
      </c>
      <c r="D1346" s="93" t="s">
        <v>2093</v>
      </c>
      <c r="E1346" s="3">
        <v>80</v>
      </c>
      <c r="F1346" s="3">
        <f>70/10</f>
        <v>7</v>
      </c>
      <c r="G1346" s="4">
        <v>44637</v>
      </c>
    </row>
    <row r="1347" spans="2:18" x14ac:dyDescent="0.2">
      <c r="G1347" s="4"/>
    </row>
    <row r="1348" spans="2:18" s="12" customFormat="1" x14ac:dyDescent="0.2">
      <c r="B1348" s="12" t="s">
        <v>246</v>
      </c>
      <c r="C1348" s="13" t="s">
        <v>969</v>
      </c>
      <c r="D1348" s="13" t="s">
        <v>968</v>
      </c>
      <c r="E1348" s="15"/>
      <c r="F1348" s="15">
        <f>SUM(F1349:F1352)</f>
        <v>79</v>
      </c>
      <c r="G1348" s="14">
        <f>G1351</f>
        <v>42735</v>
      </c>
      <c r="M1348" s="13"/>
      <c r="N1348" s="13"/>
      <c r="O1348" s="13"/>
      <c r="P1348" s="13"/>
      <c r="Q1348" s="13"/>
      <c r="R1348" s="13"/>
    </row>
    <row r="1349" spans="2:18" x14ac:dyDescent="0.2">
      <c r="C1349" s="2" t="s">
        <v>7</v>
      </c>
      <c r="D1349" s="2" t="s">
        <v>245</v>
      </c>
      <c r="E1349" s="3">
        <v>100</v>
      </c>
      <c r="F1349" s="3">
        <v>25</v>
      </c>
      <c r="G1349" s="4">
        <v>42576</v>
      </c>
    </row>
    <row r="1350" spans="2:18" x14ac:dyDescent="0.2">
      <c r="C1350" s="2" t="s">
        <v>5</v>
      </c>
      <c r="D1350" s="2" t="s">
        <v>245</v>
      </c>
      <c r="E1350" s="3">
        <v>20</v>
      </c>
      <c r="F1350" s="3">
        <v>20</v>
      </c>
      <c r="G1350" s="4">
        <v>42339</v>
      </c>
    </row>
    <row r="1351" spans="2:18" x14ac:dyDescent="0.2">
      <c r="C1351" s="2" t="s">
        <v>18</v>
      </c>
      <c r="D1351" s="2" t="s">
        <v>232</v>
      </c>
      <c r="E1351" s="3">
        <v>100</v>
      </c>
      <c r="F1351" s="3">
        <v>20</v>
      </c>
      <c r="G1351" s="4">
        <v>42735</v>
      </c>
    </row>
    <row r="1352" spans="2:18" x14ac:dyDescent="0.2">
      <c r="C1352" s="2" t="s">
        <v>7</v>
      </c>
      <c r="D1352" s="2" t="s">
        <v>232</v>
      </c>
      <c r="E1352" s="3">
        <v>22</v>
      </c>
      <c r="F1352" s="3">
        <v>14</v>
      </c>
      <c r="G1352" s="4">
        <v>41821</v>
      </c>
    </row>
    <row r="1353" spans="2:18" x14ac:dyDescent="0.2">
      <c r="G1353" s="4"/>
    </row>
    <row r="1354" spans="2:18" s="12" customFormat="1" x14ac:dyDescent="0.2">
      <c r="B1354" s="12" t="s">
        <v>312</v>
      </c>
      <c r="C1354" s="13" t="s">
        <v>969</v>
      </c>
      <c r="D1354" s="13" t="s">
        <v>968</v>
      </c>
      <c r="E1354" s="15"/>
      <c r="F1354" s="15">
        <f>SUM(F1355:F1357)</f>
        <v>129</v>
      </c>
      <c r="G1354" s="14">
        <f>+G1357</f>
        <v>45230</v>
      </c>
    </row>
    <row r="1355" spans="2:18" x14ac:dyDescent="0.2">
      <c r="C1355" s="2" t="s">
        <v>8</v>
      </c>
      <c r="D1355" s="2" t="s">
        <v>310</v>
      </c>
      <c r="E1355" s="3">
        <v>69</v>
      </c>
      <c r="F1355" s="3">
        <v>19</v>
      </c>
      <c r="G1355" s="4">
        <v>45091</v>
      </c>
      <c r="M1355" s="1"/>
      <c r="N1355" s="1"/>
      <c r="O1355" s="1"/>
      <c r="P1355" s="1"/>
      <c r="Q1355" s="1"/>
      <c r="R1355" s="1"/>
    </row>
    <row r="1356" spans="2:18" x14ac:dyDescent="0.2">
      <c r="C1356" s="2" t="s">
        <v>9</v>
      </c>
      <c r="D1356" s="2" t="s">
        <v>3</v>
      </c>
      <c r="E1356" s="3">
        <v>60</v>
      </c>
      <c r="F1356" s="3">
        <v>60</v>
      </c>
      <c r="G1356" s="4">
        <v>44908</v>
      </c>
      <c r="I1356" s="1">
        <v>2200</v>
      </c>
      <c r="J1356" s="1">
        <v>2500</v>
      </c>
      <c r="M1356" s="1"/>
      <c r="N1356" s="1"/>
      <c r="O1356" s="1"/>
      <c r="P1356" s="1"/>
      <c r="Q1356" s="1"/>
      <c r="R1356" s="1"/>
    </row>
    <row r="1357" spans="2:18" x14ac:dyDescent="0.2">
      <c r="C1357" s="282" t="s">
        <v>53</v>
      </c>
      <c r="D1357" s="2" t="s">
        <v>3</v>
      </c>
      <c r="E1357" s="3">
        <v>200</v>
      </c>
      <c r="F1357" s="3">
        <v>50</v>
      </c>
      <c r="G1357" s="4">
        <v>45230</v>
      </c>
      <c r="I1357" s="1">
        <v>2500</v>
      </c>
      <c r="J1357" s="1">
        <v>2500</v>
      </c>
      <c r="M1357" s="1"/>
      <c r="N1357" s="1"/>
      <c r="O1357" s="1"/>
      <c r="P1357" s="1"/>
      <c r="Q1357" s="1"/>
      <c r="R1357" s="1"/>
    </row>
    <row r="1358" spans="2:18" x14ac:dyDescent="0.2">
      <c r="G1358" s="4"/>
      <c r="M1358" s="1"/>
      <c r="N1358" s="1"/>
      <c r="O1358" s="1"/>
      <c r="P1358" s="1"/>
      <c r="Q1358" s="1"/>
      <c r="R1358" s="1"/>
    </row>
    <row r="1359" spans="2:18" x14ac:dyDescent="0.2">
      <c r="B1359" s="12" t="s">
        <v>1075</v>
      </c>
      <c r="C1359" s="13" t="s">
        <v>969</v>
      </c>
      <c r="D1359" s="13" t="s">
        <v>968</v>
      </c>
      <c r="E1359" s="15"/>
      <c r="F1359" s="15">
        <f>SUM(F1360:F1369)</f>
        <v>78.304761904761889</v>
      </c>
      <c r="G1359" s="14">
        <f>G1362</f>
        <v>44796</v>
      </c>
    </row>
    <row r="1360" spans="2:18" x14ac:dyDescent="0.2">
      <c r="C1360" s="2" t="s">
        <v>7</v>
      </c>
      <c r="D1360" s="2" t="s">
        <v>952</v>
      </c>
      <c r="E1360" s="3">
        <v>130</v>
      </c>
      <c r="F1360" s="3">
        <f>70/3</f>
        <v>23.333333333333332</v>
      </c>
      <c r="G1360" s="4">
        <v>44607</v>
      </c>
    </row>
    <row r="1361" spans="2:18" x14ac:dyDescent="0.2">
      <c r="C1361" s="2" t="s">
        <v>5</v>
      </c>
      <c r="D1361" s="2" t="s">
        <v>952</v>
      </c>
      <c r="E1361" s="3">
        <v>40</v>
      </c>
      <c r="F1361" s="3">
        <v>10</v>
      </c>
      <c r="G1361" s="4">
        <v>44446</v>
      </c>
    </row>
    <row r="1362" spans="2:18" x14ac:dyDescent="0.2">
      <c r="C1362" s="2" t="s">
        <v>5</v>
      </c>
      <c r="D1362" s="2" t="s">
        <v>701</v>
      </c>
      <c r="E1362" s="3">
        <v>50</v>
      </c>
      <c r="F1362" s="3">
        <v>10</v>
      </c>
      <c r="G1362" s="4">
        <v>44796</v>
      </c>
    </row>
    <row r="1363" spans="2:18" x14ac:dyDescent="0.2">
      <c r="C1363" s="2" t="s">
        <v>5</v>
      </c>
      <c r="D1363" s="2" t="s">
        <v>730</v>
      </c>
      <c r="E1363" s="3">
        <v>25</v>
      </c>
      <c r="F1363" s="3">
        <f>18/7</f>
        <v>2.5714285714285716</v>
      </c>
      <c r="G1363" s="4">
        <v>44757</v>
      </c>
    </row>
    <row r="1364" spans="2:18" x14ac:dyDescent="0.2">
      <c r="C1364" s="2" t="s">
        <v>4</v>
      </c>
      <c r="D1364" s="2" t="s">
        <v>730</v>
      </c>
      <c r="E1364" s="3">
        <v>4</v>
      </c>
      <c r="F1364" s="3">
        <v>0.5</v>
      </c>
      <c r="G1364" s="4">
        <v>44340</v>
      </c>
    </row>
    <row r="1365" spans="2:18" x14ac:dyDescent="0.2">
      <c r="C1365" s="2" t="s">
        <v>4</v>
      </c>
      <c r="D1365" s="2" t="s">
        <v>730</v>
      </c>
      <c r="E1365" s="3">
        <v>1.5</v>
      </c>
      <c r="F1365" s="3">
        <v>0.5</v>
      </c>
      <c r="G1365" s="4">
        <v>43979</v>
      </c>
    </row>
    <row r="1366" spans="2:18" x14ac:dyDescent="0.2">
      <c r="C1366" s="2" t="s">
        <v>7</v>
      </c>
      <c r="D1366" s="2" t="s">
        <v>310</v>
      </c>
      <c r="E1366" s="3">
        <v>40</v>
      </c>
      <c r="F1366" s="3">
        <f>32/8</f>
        <v>4</v>
      </c>
      <c r="G1366" s="4">
        <v>43419</v>
      </c>
    </row>
    <row r="1367" spans="2:18" x14ac:dyDescent="0.2">
      <c r="C1367" s="2" t="s">
        <v>18</v>
      </c>
      <c r="D1367" s="2" t="s">
        <v>1056</v>
      </c>
      <c r="E1367" s="3">
        <v>40</v>
      </c>
      <c r="F1367" s="3">
        <f>20/3</f>
        <v>6.666666666666667</v>
      </c>
      <c r="G1367" s="4">
        <v>44599</v>
      </c>
    </row>
    <row r="1368" spans="2:18" x14ac:dyDescent="0.2">
      <c r="C1368" s="2" t="s">
        <v>7</v>
      </c>
      <c r="D1368" s="2" t="s">
        <v>1056</v>
      </c>
      <c r="E1368" s="3">
        <v>28</v>
      </c>
      <c r="F1368" s="3">
        <v>10</v>
      </c>
      <c r="G1368" s="4">
        <v>44377</v>
      </c>
    </row>
    <row r="1369" spans="2:18" x14ac:dyDescent="0.2">
      <c r="C1369" s="141" t="s">
        <v>7</v>
      </c>
      <c r="D1369" s="141" t="s">
        <v>6298</v>
      </c>
      <c r="E1369" s="3">
        <v>52.2</v>
      </c>
      <c r="F1369" s="3">
        <f>32.2/3</f>
        <v>10.733333333333334</v>
      </c>
      <c r="G1369" s="4">
        <v>44476</v>
      </c>
    </row>
    <row r="1370" spans="2:18" x14ac:dyDescent="0.2">
      <c r="G1370" s="4"/>
    </row>
    <row r="1371" spans="2:18" s="12" customFormat="1" x14ac:dyDescent="0.2">
      <c r="B1371" s="12" t="s">
        <v>1078</v>
      </c>
      <c r="C1371" s="13" t="s">
        <v>969</v>
      </c>
      <c r="D1371" s="13" t="s">
        <v>968</v>
      </c>
      <c r="E1371" s="15"/>
      <c r="F1371" s="15">
        <f>SUM(F1372:F1381)</f>
        <v>77.5</v>
      </c>
      <c r="G1371" s="14">
        <f>G1374</f>
        <v>44578</v>
      </c>
      <c r="M1371" s="13"/>
      <c r="N1371" s="13"/>
      <c r="O1371" s="13"/>
      <c r="P1371" s="13"/>
      <c r="Q1371" s="13"/>
      <c r="R1371" s="13"/>
    </row>
    <row r="1372" spans="2:18" x14ac:dyDescent="0.2">
      <c r="B1372" s="265" t="s">
        <v>7664</v>
      </c>
      <c r="C1372" s="2" t="s">
        <v>5</v>
      </c>
      <c r="D1372" s="2" t="s">
        <v>873</v>
      </c>
      <c r="E1372" s="3">
        <v>30</v>
      </c>
      <c r="F1372" s="3">
        <v>4</v>
      </c>
      <c r="G1372" s="4">
        <v>44522</v>
      </c>
    </row>
    <row r="1373" spans="2:18" x14ac:dyDescent="0.2">
      <c r="C1373" s="2" t="s">
        <v>4</v>
      </c>
      <c r="D1373" s="2" t="s">
        <v>873</v>
      </c>
      <c r="E1373" s="3">
        <v>5.5</v>
      </c>
      <c r="F1373" s="3">
        <v>3.5</v>
      </c>
      <c r="G1373" s="4">
        <v>44096</v>
      </c>
    </row>
    <row r="1374" spans="2:18" x14ac:dyDescent="0.2">
      <c r="C1374" s="2" t="s">
        <v>5</v>
      </c>
      <c r="D1374" s="2" t="s">
        <v>819</v>
      </c>
      <c r="E1374" s="3">
        <v>20</v>
      </c>
      <c r="F1374" s="3">
        <v>2</v>
      </c>
      <c r="G1374" s="4">
        <v>44578</v>
      </c>
    </row>
    <row r="1375" spans="2:18" x14ac:dyDescent="0.2">
      <c r="C1375" s="2" t="s">
        <v>9</v>
      </c>
      <c r="D1375" s="2" t="s">
        <v>606</v>
      </c>
      <c r="E1375" s="3">
        <v>132</v>
      </c>
      <c r="F1375" s="3">
        <v>20</v>
      </c>
      <c r="G1375" s="4">
        <v>44215</v>
      </c>
    </row>
    <row r="1376" spans="2:18" x14ac:dyDescent="0.2">
      <c r="C1376" s="2" t="s">
        <v>18</v>
      </c>
      <c r="D1376" s="2" t="s">
        <v>520</v>
      </c>
      <c r="E1376" s="3">
        <v>60</v>
      </c>
      <c r="F1376" s="3">
        <v>5</v>
      </c>
      <c r="G1376" s="4">
        <v>43606</v>
      </c>
    </row>
    <row r="1377" spans="2:18" x14ac:dyDescent="0.2">
      <c r="C1377" s="2" t="s">
        <v>7</v>
      </c>
      <c r="D1377" s="2" t="s">
        <v>520</v>
      </c>
      <c r="E1377" s="3">
        <v>30</v>
      </c>
      <c r="F1377" s="3">
        <v>5</v>
      </c>
      <c r="G1377" s="4">
        <v>43396</v>
      </c>
    </row>
    <row r="1378" spans="2:18" x14ac:dyDescent="0.2">
      <c r="C1378" s="2" t="s">
        <v>7</v>
      </c>
      <c r="D1378" s="2" t="s">
        <v>197</v>
      </c>
      <c r="E1378" s="3">
        <v>21</v>
      </c>
      <c r="F1378" s="3">
        <v>21</v>
      </c>
      <c r="G1378" s="4">
        <v>43140</v>
      </c>
    </row>
    <row r="1379" spans="2:18" x14ac:dyDescent="0.2">
      <c r="C1379" s="2" t="s">
        <v>7</v>
      </c>
      <c r="D1379" s="2" t="s">
        <v>197</v>
      </c>
      <c r="E1379" s="3">
        <v>11</v>
      </c>
      <c r="F1379" s="3">
        <v>11</v>
      </c>
      <c r="G1379" s="4">
        <v>43025</v>
      </c>
    </row>
    <row r="1380" spans="2:18" x14ac:dyDescent="0.2">
      <c r="C1380" s="161" t="s">
        <v>7</v>
      </c>
      <c r="D1380" s="161" t="s">
        <v>2049</v>
      </c>
      <c r="E1380" s="3">
        <v>50</v>
      </c>
      <c r="F1380" s="3">
        <v>4</v>
      </c>
      <c r="G1380" s="4">
        <v>44252</v>
      </c>
    </row>
    <row r="1381" spans="2:18" x14ac:dyDescent="0.2">
      <c r="C1381" s="161" t="s">
        <v>5</v>
      </c>
      <c r="D1381" s="161" t="s">
        <v>6424</v>
      </c>
      <c r="E1381" s="3">
        <v>8</v>
      </c>
      <c r="F1381" s="3">
        <v>2</v>
      </c>
      <c r="G1381" s="4">
        <v>44179</v>
      </c>
    </row>
    <row r="1382" spans="2:18" x14ac:dyDescent="0.2">
      <c r="G1382" s="4"/>
    </row>
    <row r="1383" spans="2:18" s="12" customFormat="1" x14ac:dyDescent="0.2">
      <c r="B1383" s="12" t="s">
        <v>6719</v>
      </c>
      <c r="C1383" s="13" t="s">
        <v>969</v>
      </c>
      <c r="D1383" s="13" t="s">
        <v>968</v>
      </c>
      <c r="E1383" s="15"/>
      <c r="F1383" s="15">
        <f>SUM(F1384:F1385)</f>
        <v>76.666666666666671</v>
      </c>
      <c r="G1383" s="14">
        <f>G1384</f>
        <v>44502</v>
      </c>
      <c r="M1383" s="13"/>
      <c r="N1383" s="13"/>
      <c r="O1383" s="13"/>
      <c r="P1383" s="13"/>
      <c r="Q1383" s="13"/>
      <c r="R1383" s="13"/>
    </row>
    <row r="1384" spans="2:18" x14ac:dyDescent="0.2">
      <c r="B1384" s="184"/>
      <c r="C1384" s="2" t="s">
        <v>8</v>
      </c>
      <c r="D1384" s="2" t="s">
        <v>15</v>
      </c>
      <c r="E1384" s="3">
        <v>220</v>
      </c>
      <c r="F1384" s="3">
        <v>50</v>
      </c>
      <c r="G1384" s="4">
        <v>44502</v>
      </c>
      <c r="I1384" s="1">
        <v>794</v>
      </c>
      <c r="J1384" s="1">
        <v>794</v>
      </c>
    </row>
    <row r="1385" spans="2:18" x14ac:dyDescent="0.2">
      <c r="C1385" s="2" t="s">
        <v>8</v>
      </c>
      <c r="D1385" s="2" t="s">
        <v>15</v>
      </c>
      <c r="E1385" s="3">
        <v>220</v>
      </c>
      <c r="F1385" s="3">
        <v>26.666666666666668</v>
      </c>
      <c r="G1385" s="4">
        <v>44322</v>
      </c>
      <c r="I1385" s="1">
        <v>780</v>
      </c>
      <c r="J1385" s="1">
        <v>780</v>
      </c>
    </row>
    <row r="1386" spans="2:18" x14ac:dyDescent="0.2">
      <c r="G1386" s="4"/>
    </row>
    <row r="1387" spans="2:18" s="12" customFormat="1" x14ac:dyDescent="0.2">
      <c r="B1387" s="12" t="s">
        <v>1081</v>
      </c>
      <c r="C1387" s="13" t="s">
        <v>969</v>
      </c>
      <c r="D1387" s="13" t="s">
        <v>968</v>
      </c>
      <c r="E1387" s="15"/>
      <c r="F1387" s="15">
        <f>SUM(F1388:F1395)</f>
        <v>81.36</v>
      </c>
      <c r="G1387" s="14">
        <f>G1390</f>
        <v>45077</v>
      </c>
      <c r="M1387" s="13"/>
      <c r="N1387" s="13"/>
      <c r="O1387" s="13"/>
      <c r="P1387" s="13"/>
      <c r="Q1387" s="13"/>
      <c r="R1387" s="13"/>
    </row>
    <row r="1388" spans="2:18" x14ac:dyDescent="0.2">
      <c r="B1388" s="265" t="s">
        <v>7664</v>
      </c>
      <c r="C1388" s="2" t="s">
        <v>18</v>
      </c>
      <c r="D1388" s="2" t="s">
        <v>962</v>
      </c>
      <c r="E1388" s="3">
        <v>135</v>
      </c>
      <c r="F1388" s="3">
        <v>42.5</v>
      </c>
      <c r="G1388" s="4">
        <v>44482</v>
      </c>
      <c r="J1388" s="1">
        <v>1200</v>
      </c>
    </row>
    <row r="1389" spans="2:18" x14ac:dyDescent="0.2">
      <c r="C1389" s="2" t="s">
        <v>18</v>
      </c>
      <c r="D1389" s="2" t="s">
        <v>957</v>
      </c>
      <c r="E1389" s="3">
        <v>50</v>
      </c>
      <c r="F1389" s="3">
        <v>20</v>
      </c>
      <c r="G1389" s="4">
        <v>44900</v>
      </c>
      <c r="I1389" s="1">
        <v>450</v>
      </c>
      <c r="J1389" s="1">
        <v>1400</v>
      </c>
    </row>
    <row r="1390" spans="2:18" x14ac:dyDescent="0.2">
      <c r="C1390" s="2" t="s">
        <v>5</v>
      </c>
      <c r="D1390" s="2" t="s">
        <v>689</v>
      </c>
      <c r="E1390" s="3">
        <v>28.5</v>
      </c>
      <c r="F1390" s="3">
        <v>6</v>
      </c>
      <c r="G1390" s="4">
        <v>45077</v>
      </c>
    </row>
    <row r="1391" spans="2:18" x14ac:dyDescent="0.2">
      <c r="C1391" s="2" t="s">
        <v>7</v>
      </c>
      <c r="D1391" s="2" t="s">
        <v>416</v>
      </c>
      <c r="E1391" s="3">
        <v>16</v>
      </c>
      <c r="F1391" s="3">
        <v>4</v>
      </c>
      <c r="G1391" s="4">
        <v>42995</v>
      </c>
    </row>
    <row r="1392" spans="2:18" x14ac:dyDescent="0.2">
      <c r="C1392" s="2" t="s">
        <v>5</v>
      </c>
      <c r="D1392" s="2" t="s">
        <v>416</v>
      </c>
      <c r="E1392" s="3">
        <v>8</v>
      </c>
      <c r="F1392" s="3">
        <v>2</v>
      </c>
      <c r="G1392" s="4">
        <v>42416</v>
      </c>
    </row>
    <row r="1393" spans="2:18" x14ac:dyDescent="0.2">
      <c r="C1393" s="161" t="s">
        <v>5</v>
      </c>
      <c r="D1393" s="161" t="s">
        <v>2042</v>
      </c>
      <c r="E1393" s="3">
        <v>18</v>
      </c>
      <c r="F1393" s="3">
        <v>1</v>
      </c>
      <c r="G1393" s="4">
        <v>43445</v>
      </c>
    </row>
    <row r="1394" spans="2:18" x14ac:dyDescent="0.2">
      <c r="C1394" s="161" t="s">
        <v>4</v>
      </c>
      <c r="D1394" s="161" t="s">
        <v>2042</v>
      </c>
      <c r="E1394" s="3">
        <v>4.3</v>
      </c>
      <c r="F1394" s="3">
        <f>E1394/5</f>
        <v>0.86</v>
      </c>
      <c r="G1394" s="4">
        <v>43157</v>
      </c>
    </row>
    <row r="1395" spans="2:18" x14ac:dyDescent="0.2">
      <c r="C1395" s="282" t="s">
        <v>1040</v>
      </c>
      <c r="D1395" s="282" t="s">
        <v>962</v>
      </c>
      <c r="E1395" s="3">
        <v>50</v>
      </c>
      <c r="F1395" s="3">
        <v>5</v>
      </c>
      <c r="G1395" s="4">
        <v>45147</v>
      </c>
      <c r="I1395" s="1">
        <v>1200</v>
      </c>
      <c r="J1395" s="1">
        <v>1200</v>
      </c>
    </row>
    <row r="1396" spans="2:18" x14ac:dyDescent="0.2">
      <c r="G1396" s="4"/>
    </row>
    <row r="1397" spans="2:18" s="12" customFormat="1" x14ac:dyDescent="0.2">
      <c r="B1397" s="12" t="s">
        <v>6831</v>
      </c>
      <c r="C1397" s="13" t="s">
        <v>969</v>
      </c>
      <c r="D1397" s="13" t="s">
        <v>968</v>
      </c>
      <c r="E1397" s="15"/>
      <c r="F1397" s="15">
        <f>SUM(F1398:F1404)</f>
        <v>74.904761904761898</v>
      </c>
      <c r="G1397" s="14">
        <f>G1401</f>
        <v>44565</v>
      </c>
    </row>
    <row r="1398" spans="2:18" x14ac:dyDescent="0.2">
      <c r="C1398" s="2" t="s">
        <v>8</v>
      </c>
      <c r="D1398" s="2" t="s">
        <v>386</v>
      </c>
      <c r="E1398" s="3">
        <v>140</v>
      </c>
      <c r="F1398" s="3">
        <v>10</v>
      </c>
      <c r="G1398" s="4">
        <v>44286</v>
      </c>
      <c r="M1398" s="1"/>
      <c r="N1398" s="1"/>
      <c r="O1398" s="1"/>
      <c r="P1398" s="1"/>
      <c r="Q1398" s="1"/>
      <c r="R1398" s="1"/>
    </row>
    <row r="1399" spans="2:18" x14ac:dyDescent="0.2">
      <c r="C1399" s="2" t="s">
        <v>18</v>
      </c>
      <c r="D1399" s="2" t="s">
        <v>292</v>
      </c>
      <c r="E1399" s="3">
        <v>38</v>
      </c>
      <c r="F1399" s="3">
        <v>3</v>
      </c>
      <c r="G1399" s="4">
        <v>43104</v>
      </c>
      <c r="M1399" s="1"/>
      <c r="N1399" s="1"/>
      <c r="O1399" s="1"/>
      <c r="P1399" s="1"/>
      <c r="Q1399" s="1"/>
      <c r="R1399" s="1"/>
    </row>
    <row r="1400" spans="2:18" x14ac:dyDescent="0.2">
      <c r="C1400" s="2" t="s">
        <v>18</v>
      </c>
      <c r="D1400" s="2" t="s">
        <v>211</v>
      </c>
      <c r="E1400" s="3">
        <v>230</v>
      </c>
      <c r="F1400" s="3">
        <f>E1400/6</f>
        <v>38.333333333333336</v>
      </c>
      <c r="G1400" s="4">
        <v>43923</v>
      </c>
      <c r="M1400" s="1"/>
      <c r="N1400" s="1"/>
      <c r="O1400" s="1"/>
      <c r="P1400" s="1"/>
      <c r="Q1400" s="1"/>
      <c r="R1400" s="1"/>
    </row>
    <row r="1401" spans="2:18" x14ac:dyDescent="0.2">
      <c r="C1401" s="2" t="s">
        <v>18</v>
      </c>
      <c r="D1401" s="2" t="s">
        <v>131</v>
      </c>
      <c r="E1401" s="3">
        <v>73</v>
      </c>
      <c r="F1401" s="3">
        <f>53/7</f>
        <v>7.5714285714285712</v>
      </c>
      <c r="G1401" s="4">
        <v>44565</v>
      </c>
      <c r="J1401" s="1">
        <v>615</v>
      </c>
      <c r="M1401" s="1"/>
      <c r="N1401" s="1"/>
      <c r="O1401" s="1"/>
      <c r="P1401" s="1"/>
      <c r="Q1401" s="1"/>
      <c r="R1401" s="1"/>
    </row>
    <row r="1402" spans="2:18" x14ac:dyDescent="0.2">
      <c r="C1402" s="2" t="s">
        <v>18</v>
      </c>
      <c r="D1402" s="2" t="s">
        <v>55</v>
      </c>
      <c r="E1402" s="3">
        <v>65</v>
      </c>
      <c r="F1402" s="3">
        <v>8</v>
      </c>
      <c r="G1402" s="4">
        <v>43802</v>
      </c>
      <c r="I1402" s="1">
        <v>685</v>
      </c>
      <c r="J1402" s="1">
        <v>7000</v>
      </c>
      <c r="M1402" s="1"/>
      <c r="N1402" s="1"/>
      <c r="O1402" s="1"/>
      <c r="P1402" s="1"/>
      <c r="Q1402" s="1"/>
      <c r="R1402" s="1"/>
    </row>
    <row r="1403" spans="2:18" x14ac:dyDescent="0.2">
      <c r="C1403" s="2" t="s">
        <v>7</v>
      </c>
      <c r="D1403" s="2" t="s">
        <v>55</v>
      </c>
      <c r="E1403" s="3">
        <v>40</v>
      </c>
      <c r="F1403" s="3">
        <v>6</v>
      </c>
      <c r="G1403" s="4">
        <v>43503</v>
      </c>
      <c r="J1403" s="1">
        <v>7000</v>
      </c>
      <c r="M1403" s="1"/>
      <c r="N1403" s="1"/>
      <c r="O1403" s="1"/>
      <c r="P1403" s="1"/>
      <c r="Q1403" s="1"/>
      <c r="R1403" s="1"/>
    </row>
    <row r="1404" spans="2:18" x14ac:dyDescent="0.2">
      <c r="C1404" s="2" t="s">
        <v>5</v>
      </c>
      <c r="D1404" s="2" t="s">
        <v>55</v>
      </c>
      <c r="E1404" s="3">
        <v>2</v>
      </c>
      <c r="F1404" s="3">
        <v>2</v>
      </c>
      <c r="G1404" s="4">
        <v>42928</v>
      </c>
      <c r="J1404" s="1">
        <v>7000</v>
      </c>
      <c r="M1404" s="1"/>
      <c r="N1404" s="1"/>
      <c r="O1404" s="1"/>
      <c r="P1404" s="1"/>
      <c r="Q1404" s="1"/>
      <c r="R1404" s="1"/>
    </row>
    <row r="1405" spans="2:18" x14ac:dyDescent="0.2">
      <c r="G1405" s="4"/>
    </row>
    <row r="1406" spans="2:18" s="12" customFormat="1" x14ac:dyDescent="0.2">
      <c r="B1406" s="12" t="s">
        <v>158</v>
      </c>
      <c r="C1406" s="13" t="s">
        <v>969</v>
      </c>
      <c r="D1406" s="13" t="s">
        <v>968</v>
      </c>
      <c r="E1406" s="15"/>
      <c r="F1406" s="15">
        <f>SUM(F1407:F1410)</f>
        <v>75.055555555555557</v>
      </c>
      <c r="G1406" s="14">
        <f>G1407</f>
        <v>44413</v>
      </c>
      <c r="M1406" s="13"/>
      <c r="N1406" s="13"/>
      <c r="O1406" s="13"/>
      <c r="P1406" s="13"/>
      <c r="Q1406" s="13"/>
      <c r="R1406" s="13"/>
    </row>
    <row r="1407" spans="2:18" x14ac:dyDescent="0.2">
      <c r="C1407" s="2" t="s">
        <v>9</v>
      </c>
      <c r="D1407" s="2" t="s">
        <v>154</v>
      </c>
      <c r="E1407" s="3">
        <v>400</v>
      </c>
      <c r="F1407" s="3">
        <f>320/9</f>
        <v>35.555555555555557</v>
      </c>
      <c r="G1407" s="4">
        <v>44413</v>
      </c>
      <c r="I1407" s="1">
        <v>4200</v>
      </c>
    </row>
    <row r="1408" spans="2:18" x14ac:dyDescent="0.2">
      <c r="C1408" s="2" t="s">
        <v>8</v>
      </c>
      <c r="D1408" s="2" t="s">
        <v>154</v>
      </c>
      <c r="E1408" s="3">
        <v>100</v>
      </c>
      <c r="F1408" s="3">
        <f>75/6</f>
        <v>12.5</v>
      </c>
      <c r="G1408" s="4">
        <v>44067</v>
      </c>
    </row>
    <row r="1409" spans="2:18" x14ac:dyDescent="0.2">
      <c r="C1409" s="2" t="s">
        <v>18</v>
      </c>
      <c r="D1409" s="2" t="s">
        <v>154</v>
      </c>
      <c r="E1409" s="3">
        <v>101</v>
      </c>
      <c r="F1409" s="3">
        <f>60/4</f>
        <v>15</v>
      </c>
      <c r="G1409" s="4">
        <v>43453</v>
      </c>
    </row>
    <row r="1410" spans="2:18" x14ac:dyDescent="0.2">
      <c r="C1410" s="2" t="s">
        <v>7</v>
      </c>
      <c r="D1410" s="2" t="s">
        <v>108</v>
      </c>
      <c r="E1410" s="3">
        <v>37</v>
      </c>
      <c r="F1410" s="3">
        <v>12</v>
      </c>
      <c r="G1410" s="4">
        <v>43783</v>
      </c>
    </row>
    <row r="1411" spans="2:18" x14ac:dyDescent="0.2">
      <c r="G1411" s="4"/>
    </row>
    <row r="1412" spans="2:18" s="12" customFormat="1" x14ac:dyDescent="0.2">
      <c r="B1412" s="12" t="s">
        <v>963</v>
      </c>
      <c r="C1412" s="13" t="s">
        <v>969</v>
      </c>
      <c r="D1412" s="13" t="s">
        <v>968</v>
      </c>
      <c r="E1412" s="15"/>
      <c r="F1412" s="15">
        <f>SUM(F1413:F1416)</f>
        <v>100.16666666666667</v>
      </c>
      <c r="G1412" s="14">
        <f>G1415</f>
        <v>45265</v>
      </c>
      <c r="M1412" s="13"/>
      <c r="N1412" s="13"/>
      <c r="O1412" s="13"/>
      <c r="P1412" s="13"/>
      <c r="Q1412" s="13"/>
      <c r="R1412" s="13"/>
    </row>
    <row r="1413" spans="2:18" x14ac:dyDescent="0.2">
      <c r="C1413" s="2" t="s">
        <v>18</v>
      </c>
      <c r="D1413" s="2" t="s">
        <v>962</v>
      </c>
      <c r="E1413" s="3">
        <v>135</v>
      </c>
      <c r="F1413" s="3">
        <v>42.5</v>
      </c>
      <c r="G1413" s="4">
        <v>44482</v>
      </c>
    </row>
    <row r="1414" spans="2:18" x14ac:dyDescent="0.2">
      <c r="C1414" s="93" t="s">
        <v>7</v>
      </c>
      <c r="D1414" s="93" t="s">
        <v>2072</v>
      </c>
      <c r="E1414" s="3">
        <v>60</v>
      </c>
      <c r="F1414" s="3">
        <v>30</v>
      </c>
      <c r="G1414" s="4">
        <v>44278</v>
      </c>
    </row>
    <row r="1415" spans="2:18" x14ac:dyDescent="0.2">
      <c r="C1415" s="282" t="s">
        <v>9</v>
      </c>
      <c r="D1415" s="282" t="s">
        <v>4897</v>
      </c>
      <c r="E1415" s="3">
        <v>118</v>
      </c>
      <c r="F1415" s="3">
        <f>68/3</f>
        <v>22.666666666666668</v>
      </c>
      <c r="G1415" s="4">
        <v>45265</v>
      </c>
      <c r="I1415" s="1">
        <v>9000</v>
      </c>
      <c r="J1415" s="1">
        <v>9000</v>
      </c>
    </row>
    <row r="1416" spans="2:18" x14ac:dyDescent="0.2">
      <c r="C1416" s="282" t="s">
        <v>1040</v>
      </c>
      <c r="D1416" s="282" t="s">
        <v>962</v>
      </c>
      <c r="E1416" s="3">
        <v>50</v>
      </c>
      <c r="F1416" s="3">
        <v>5</v>
      </c>
      <c r="G1416" s="4">
        <v>45147</v>
      </c>
      <c r="I1416" s="1">
        <v>1200</v>
      </c>
      <c r="J1416" s="1">
        <v>1200</v>
      </c>
    </row>
    <row r="1417" spans="2:18" x14ac:dyDescent="0.2">
      <c r="G1417" s="4"/>
    </row>
    <row r="1418" spans="2:18" s="12" customFormat="1" x14ac:dyDescent="0.2">
      <c r="B1418" s="12" t="s">
        <v>225</v>
      </c>
      <c r="C1418" s="13" t="s">
        <v>969</v>
      </c>
      <c r="D1418" s="13" t="s">
        <v>968</v>
      </c>
      <c r="E1418" s="15"/>
      <c r="F1418" s="15">
        <f>SUM(F1419:F1420)</f>
        <v>73.333333333333343</v>
      </c>
      <c r="G1418" s="14">
        <f>G1420</f>
        <v>44287</v>
      </c>
      <c r="M1418" s="13"/>
      <c r="N1418" s="13"/>
      <c r="O1418" s="13"/>
      <c r="P1418" s="13"/>
      <c r="Q1418" s="13"/>
      <c r="R1418" s="13"/>
    </row>
    <row r="1419" spans="2:18" x14ac:dyDescent="0.2">
      <c r="C1419" s="2" t="s">
        <v>8</v>
      </c>
      <c r="D1419" s="2" t="s">
        <v>211</v>
      </c>
      <c r="E1419" s="3">
        <v>700</v>
      </c>
      <c r="F1419" s="3">
        <f t="shared" ref="F1419" si="1">400/12</f>
        <v>33.333333333333336</v>
      </c>
      <c r="G1419" s="4">
        <v>44218</v>
      </c>
    </row>
    <row r="1420" spans="2:18" x14ac:dyDescent="0.2">
      <c r="C1420" s="2" t="s">
        <v>8</v>
      </c>
      <c r="D1420" s="2" t="s">
        <v>2137</v>
      </c>
      <c r="E1420" s="3">
        <v>220</v>
      </c>
      <c r="F1420" s="3">
        <v>40</v>
      </c>
      <c r="G1420" s="4">
        <v>44287</v>
      </c>
    </row>
    <row r="1421" spans="2:18" x14ac:dyDescent="0.2">
      <c r="G1421" s="4"/>
    </row>
    <row r="1422" spans="2:18" s="12" customFormat="1" x14ac:dyDescent="0.2">
      <c r="B1422" s="12" t="s">
        <v>694</v>
      </c>
      <c r="C1422" s="13" t="s">
        <v>969</v>
      </c>
      <c r="D1422" s="13" t="s">
        <v>968</v>
      </c>
      <c r="E1422" s="15"/>
      <c r="F1422" s="15">
        <f>SUM(F1423:F1429)</f>
        <v>73.375</v>
      </c>
      <c r="G1422" s="14">
        <f>G1429</f>
        <v>44833</v>
      </c>
      <c r="M1422" s="13"/>
      <c r="N1422" s="13"/>
      <c r="O1422" s="13"/>
      <c r="P1422" s="13"/>
      <c r="Q1422" s="13"/>
      <c r="R1422" s="13"/>
    </row>
    <row r="1423" spans="2:18" x14ac:dyDescent="0.2">
      <c r="B1423" s="265" t="s">
        <v>7664</v>
      </c>
      <c r="C1423" s="2" t="s">
        <v>7</v>
      </c>
      <c r="D1423" s="2" t="s">
        <v>693</v>
      </c>
      <c r="E1423" s="3">
        <v>50</v>
      </c>
      <c r="F1423" s="3">
        <v>25</v>
      </c>
      <c r="G1423" s="4">
        <v>44643</v>
      </c>
    </row>
    <row r="1424" spans="2:18" x14ac:dyDescent="0.2">
      <c r="C1424" s="2" t="s">
        <v>18</v>
      </c>
      <c r="D1424" s="2" t="s">
        <v>692</v>
      </c>
      <c r="E1424" s="3">
        <v>125</v>
      </c>
      <c r="F1424" s="3">
        <f>75/8</f>
        <v>9.375</v>
      </c>
      <c r="G1424" s="4">
        <v>44663</v>
      </c>
    </row>
    <row r="1425" spans="2:18" x14ac:dyDescent="0.2">
      <c r="C1425" s="2" t="s">
        <v>7</v>
      </c>
      <c r="D1425" s="2" t="s">
        <v>692</v>
      </c>
      <c r="E1425" s="3">
        <v>54</v>
      </c>
      <c r="F1425" s="3">
        <f>40/5</f>
        <v>8</v>
      </c>
      <c r="G1425" s="4">
        <v>44089</v>
      </c>
    </row>
    <row r="1426" spans="2:18" x14ac:dyDescent="0.2">
      <c r="C1426" s="2" t="s">
        <v>5</v>
      </c>
      <c r="D1426" s="2" t="s">
        <v>692</v>
      </c>
      <c r="E1426" s="3">
        <v>26</v>
      </c>
      <c r="F1426" s="3">
        <v>10</v>
      </c>
      <c r="G1426" s="4">
        <v>43809</v>
      </c>
    </row>
    <row r="1427" spans="2:18" x14ac:dyDescent="0.2">
      <c r="C1427" s="141" t="s">
        <v>7</v>
      </c>
      <c r="D1427" s="141" t="s">
        <v>2060</v>
      </c>
      <c r="E1427" s="3">
        <v>50</v>
      </c>
      <c r="F1427" s="3">
        <v>10</v>
      </c>
      <c r="G1427" s="4">
        <v>44518</v>
      </c>
    </row>
    <row r="1428" spans="2:18" x14ac:dyDescent="0.2">
      <c r="C1428" s="141" t="s">
        <v>5</v>
      </c>
      <c r="D1428" s="141" t="s">
        <v>2060</v>
      </c>
      <c r="E1428" s="3">
        <v>13</v>
      </c>
      <c r="F1428" s="3">
        <v>7</v>
      </c>
      <c r="G1428" s="4">
        <v>44294</v>
      </c>
    </row>
    <row r="1429" spans="2:18" x14ac:dyDescent="0.2">
      <c r="C1429" s="185" t="s">
        <v>5</v>
      </c>
      <c r="D1429" s="185" t="s">
        <v>2021</v>
      </c>
      <c r="E1429" s="3">
        <v>16</v>
      </c>
      <c r="F1429" s="3">
        <v>4</v>
      </c>
      <c r="G1429" s="4">
        <v>44833</v>
      </c>
    </row>
    <row r="1430" spans="2:18" x14ac:dyDescent="0.2">
      <c r="G1430" s="4"/>
    </row>
    <row r="1431" spans="2:18" s="12" customFormat="1" x14ac:dyDescent="0.2">
      <c r="B1431" s="12" t="s">
        <v>1074</v>
      </c>
      <c r="C1431" s="13" t="s">
        <v>969</v>
      </c>
      <c r="D1431" s="13" t="s">
        <v>968</v>
      </c>
      <c r="E1431" s="15"/>
      <c r="F1431" s="15">
        <f>SUM(F1432:F1445)</f>
        <v>73.469047619047615</v>
      </c>
      <c r="G1431" s="14">
        <f>G1443</f>
        <v>45001</v>
      </c>
      <c r="M1431" s="13"/>
      <c r="N1431" s="13"/>
      <c r="O1431" s="13"/>
      <c r="P1431" s="13"/>
      <c r="Q1431" s="13"/>
      <c r="R1431" s="13"/>
    </row>
    <row r="1432" spans="2:18" x14ac:dyDescent="0.2">
      <c r="B1432" s="265" t="s">
        <v>7664</v>
      </c>
      <c r="C1432" s="2" t="s">
        <v>5</v>
      </c>
      <c r="D1432" s="2" t="s">
        <v>779</v>
      </c>
      <c r="E1432" s="3">
        <v>33</v>
      </c>
      <c r="F1432" s="3">
        <f>13/3</f>
        <v>4.333333333333333</v>
      </c>
      <c r="G1432" s="4">
        <v>44893</v>
      </c>
    </row>
    <row r="1433" spans="2:18" x14ac:dyDescent="0.2">
      <c r="C1433" s="2" t="s">
        <v>670</v>
      </c>
      <c r="D1433" s="2" t="s">
        <v>779</v>
      </c>
      <c r="E1433" s="3">
        <v>3</v>
      </c>
      <c r="F1433" s="3">
        <v>2</v>
      </c>
      <c r="G1433" s="4">
        <v>44183</v>
      </c>
    </row>
    <row r="1434" spans="2:18" x14ac:dyDescent="0.2">
      <c r="C1434" s="2" t="s">
        <v>7</v>
      </c>
      <c r="D1434" s="2" t="s">
        <v>542</v>
      </c>
      <c r="E1434" s="3">
        <v>40</v>
      </c>
      <c r="F1434" s="3">
        <f>25/4</f>
        <v>6.25</v>
      </c>
      <c r="G1434" s="4">
        <v>44811</v>
      </c>
    </row>
    <row r="1435" spans="2:18" x14ac:dyDescent="0.2">
      <c r="C1435" s="2" t="s">
        <v>5</v>
      </c>
      <c r="D1435" s="2" t="s">
        <v>542</v>
      </c>
      <c r="E1435" s="3">
        <v>14</v>
      </c>
      <c r="F1435" s="3">
        <f>8/5</f>
        <v>1.6</v>
      </c>
      <c r="G1435" s="4">
        <v>44447</v>
      </c>
    </row>
    <row r="1436" spans="2:18" x14ac:dyDescent="0.2">
      <c r="C1436" s="2" t="s">
        <v>5</v>
      </c>
      <c r="D1436" s="2" t="s">
        <v>542</v>
      </c>
      <c r="E1436" s="3">
        <v>12</v>
      </c>
      <c r="F1436" s="3">
        <v>2</v>
      </c>
      <c r="G1436" s="4">
        <v>43532</v>
      </c>
    </row>
    <row r="1437" spans="2:18" x14ac:dyDescent="0.2">
      <c r="C1437" s="2" t="s">
        <v>9</v>
      </c>
      <c r="D1437" s="2" t="s">
        <v>22</v>
      </c>
      <c r="E1437" s="3">
        <v>222</v>
      </c>
      <c r="F1437" s="3">
        <v>10</v>
      </c>
      <c r="G1437" s="4">
        <v>44194</v>
      </c>
      <c r="I1437" s="1">
        <v>2500</v>
      </c>
      <c r="J1437" s="1">
        <v>2500</v>
      </c>
    </row>
    <row r="1438" spans="2:18" x14ac:dyDescent="0.2">
      <c r="C1438" s="2" t="s">
        <v>8</v>
      </c>
      <c r="D1438" s="2" t="s">
        <v>22</v>
      </c>
      <c r="E1438" s="3">
        <v>150</v>
      </c>
      <c r="F1438" s="3">
        <v>14.285714285714286</v>
      </c>
      <c r="G1438" s="4">
        <v>43885</v>
      </c>
      <c r="I1438" s="1">
        <v>1800</v>
      </c>
      <c r="J1438" s="1">
        <v>2500</v>
      </c>
    </row>
    <row r="1439" spans="2:18" x14ac:dyDescent="0.2">
      <c r="C1439" s="2" t="s">
        <v>8</v>
      </c>
      <c r="D1439" s="2" t="s">
        <v>22</v>
      </c>
      <c r="E1439" s="3">
        <v>200</v>
      </c>
      <c r="F1439" s="3">
        <v>13</v>
      </c>
      <c r="G1439" s="4">
        <v>43452</v>
      </c>
      <c r="I1439" s="1">
        <v>1500</v>
      </c>
      <c r="J1439" s="1">
        <v>2500</v>
      </c>
    </row>
    <row r="1440" spans="2:18" x14ac:dyDescent="0.2">
      <c r="C1440" s="2" t="s">
        <v>18</v>
      </c>
      <c r="D1440" s="2" t="s">
        <v>22</v>
      </c>
      <c r="E1440" s="3">
        <v>50</v>
      </c>
      <c r="F1440" s="3">
        <v>5</v>
      </c>
      <c r="G1440" s="4">
        <v>43051</v>
      </c>
      <c r="J1440" s="1">
        <v>2500</v>
      </c>
    </row>
    <row r="1441" spans="2:18" x14ac:dyDescent="0.2">
      <c r="C1441" s="2" t="s">
        <v>7</v>
      </c>
      <c r="D1441" s="2" t="s">
        <v>22</v>
      </c>
      <c r="E1441" s="3">
        <v>30</v>
      </c>
      <c r="F1441" s="3">
        <v>3</v>
      </c>
      <c r="G1441" s="4">
        <v>42936</v>
      </c>
      <c r="J1441" s="1">
        <v>2500</v>
      </c>
    </row>
    <row r="1442" spans="2:18" x14ac:dyDescent="0.2">
      <c r="C1442" s="2" t="s">
        <v>5</v>
      </c>
      <c r="D1442" s="2" t="s">
        <v>22</v>
      </c>
      <c r="E1442" s="3">
        <v>30</v>
      </c>
      <c r="F1442" s="3">
        <v>5</v>
      </c>
      <c r="G1442" s="4">
        <v>42674</v>
      </c>
      <c r="J1442" s="1">
        <v>2500</v>
      </c>
    </row>
    <row r="1443" spans="2:18" x14ac:dyDescent="0.2">
      <c r="C1443" s="253" t="s">
        <v>7</v>
      </c>
      <c r="D1443" s="253" t="s">
        <v>2015</v>
      </c>
      <c r="E1443" s="3">
        <v>20</v>
      </c>
      <c r="F1443" s="3">
        <v>4</v>
      </c>
      <c r="G1443" s="4">
        <v>45001</v>
      </c>
    </row>
    <row r="1444" spans="2:18" x14ac:dyDescent="0.2">
      <c r="C1444" s="253" t="s">
        <v>5</v>
      </c>
      <c r="D1444" s="253" t="s">
        <v>2015</v>
      </c>
      <c r="E1444" s="3">
        <v>9</v>
      </c>
      <c r="F1444" s="3">
        <v>1</v>
      </c>
      <c r="G1444" s="4">
        <v>44152</v>
      </c>
    </row>
    <row r="1445" spans="2:18" x14ac:dyDescent="0.2">
      <c r="C1445" s="253" t="s">
        <v>4</v>
      </c>
      <c r="D1445" s="253" t="s">
        <v>2015</v>
      </c>
      <c r="E1445" s="3">
        <v>4</v>
      </c>
      <c r="F1445" s="3">
        <v>2</v>
      </c>
      <c r="G1445" s="4">
        <v>43481</v>
      </c>
    </row>
    <row r="1446" spans="2:18" x14ac:dyDescent="0.2">
      <c r="G1446" s="4"/>
    </row>
    <row r="1447" spans="2:18" s="12" customFormat="1" x14ac:dyDescent="0.2">
      <c r="B1447" s="12" t="s">
        <v>359</v>
      </c>
      <c r="C1447" s="13" t="s">
        <v>969</v>
      </c>
      <c r="D1447" s="13" t="s">
        <v>968</v>
      </c>
      <c r="E1447" s="15"/>
      <c r="F1447" s="15">
        <f>SUM(F1448:F1451)</f>
        <v>73</v>
      </c>
      <c r="G1447" s="14">
        <f>G1448</f>
        <v>44663</v>
      </c>
    </row>
    <row r="1448" spans="2:18" x14ac:dyDescent="0.2">
      <c r="C1448" s="2" t="s">
        <v>5</v>
      </c>
      <c r="D1448" s="2" t="s">
        <v>355</v>
      </c>
      <c r="E1448" s="3">
        <v>16</v>
      </c>
      <c r="F1448" s="3">
        <v>10</v>
      </c>
      <c r="G1448" s="4">
        <v>44663</v>
      </c>
      <c r="M1448" s="1"/>
      <c r="N1448" s="1"/>
      <c r="O1448" s="1"/>
      <c r="P1448" s="1"/>
      <c r="Q1448" s="1"/>
      <c r="R1448" s="1"/>
    </row>
    <row r="1449" spans="2:18" x14ac:dyDescent="0.2">
      <c r="C1449" s="2" t="s">
        <v>18</v>
      </c>
      <c r="D1449" s="2" t="s">
        <v>161</v>
      </c>
      <c r="E1449" s="3">
        <v>100</v>
      </c>
      <c r="F1449" s="3">
        <f>70/5</f>
        <v>14</v>
      </c>
      <c r="G1449" s="4">
        <v>44235</v>
      </c>
      <c r="I1449" s="1">
        <v>5200</v>
      </c>
      <c r="J1449" s="1">
        <v>8400</v>
      </c>
      <c r="M1449" s="1"/>
      <c r="N1449" s="1"/>
      <c r="O1449" s="1"/>
      <c r="P1449" s="1"/>
      <c r="Q1449" s="1"/>
      <c r="R1449" s="1"/>
    </row>
    <row r="1450" spans="2:18" x14ac:dyDescent="0.2">
      <c r="C1450" s="2" t="s">
        <v>18</v>
      </c>
      <c r="D1450" s="2" t="s">
        <v>161</v>
      </c>
      <c r="E1450" s="3">
        <v>267</v>
      </c>
      <c r="F1450" s="3">
        <v>33</v>
      </c>
      <c r="G1450" s="4">
        <v>44235</v>
      </c>
      <c r="I1450" s="1">
        <v>5000</v>
      </c>
      <c r="J1450" s="1">
        <v>8400</v>
      </c>
      <c r="M1450" s="1"/>
      <c r="N1450" s="1"/>
      <c r="O1450" s="1"/>
      <c r="P1450" s="1"/>
      <c r="Q1450" s="1"/>
      <c r="R1450" s="1"/>
    </row>
    <row r="1451" spans="2:18" x14ac:dyDescent="0.2">
      <c r="C1451" s="2" t="s">
        <v>5</v>
      </c>
      <c r="D1451" s="2" t="s">
        <v>161</v>
      </c>
      <c r="E1451" s="3">
        <v>102</v>
      </c>
      <c r="F1451" s="3">
        <v>16</v>
      </c>
      <c r="G1451" s="4">
        <v>43292</v>
      </c>
      <c r="J1451" s="1">
        <v>8400</v>
      </c>
      <c r="M1451" s="1"/>
      <c r="N1451" s="1"/>
      <c r="O1451" s="1"/>
      <c r="P1451" s="1"/>
      <c r="Q1451" s="1"/>
      <c r="R1451" s="1"/>
    </row>
    <row r="1452" spans="2:18" x14ac:dyDescent="0.2">
      <c r="G1452" s="4"/>
      <c r="M1452" s="1"/>
      <c r="N1452" s="1"/>
      <c r="O1452" s="1"/>
      <c r="P1452" s="1"/>
      <c r="Q1452" s="1"/>
      <c r="R1452" s="1"/>
    </row>
    <row r="1453" spans="2:18" s="12" customFormat="1" x14ac:dyDescent="0.2">
      <c r="B1453" s="12" t="s">
        <v>708</v>
      </c>
      <c r="C1453" s="13" t="s">
        <v>969</v>
      </c>
      <c r="D1453" s="13" t="s">
        <v>968</v>
      </c>
      <c r="E1453" s="15"/>
      <c r="F1453" s="15" cm="1">
        <f t="array" ref="F1453">SUM(F1454+F1454:F1457)</f>
        <v>72.166666666666671</v>
      </c>
      <c r="G1453" s="14">
        <f>G1454</f>
        <v>45090</v>
      </c>
      <c r="M1453" s="13"/>
      <c r="N1453" s="13"/>
      <c r="O1453" s="13"/>
      <c r="P1453" s="13"/>
      <c r="Q1453" s="13"/>
      <c r="R1453" s="13"/>
    </row>
    <row r="1454" spans="2:18" x14ac:dyDescent="0.2">
      <c r="C1454" s="2" t="s">
        <v>4</v>
      </c>
      <c r="D1454" s="2" t="s">
        <v>705</v>
      </c>
      <c r="E1454" s="3">
        <v>113</v>
      </c>
      <c r="F1454" s="3">
        <v>8</v>
      </c>
      <c r="G1454" s="4">
        <v>45090</v>
      </c>
    </row>
    <row r="1455" spans="2:18" x14ac:dyDescent="0.2">
      <c r="C1455" s="2" t="s">
        <v>5</v>
      </c>
      <c r="D1455" s="2" t="s">
        <v>381</v>
      </c>
      <c r="E1455" s="3">
        <v>86</v>
      </c>
      <c r="F1455" s="3">
        <v>10</v>
      </c>
      <c r="G1455" s="4">
        <v>44488</v>
      </c>
    </row>
    <row r="1456" spans="2:18" x14ac:dyDescent="0.2">
      <c r="C1456" s="2" t="s">
        <v>4</v>
      </c>
      <c r="D1456" s="2" t="s">
        <v>381</v>
      </c>
      <c r="E1456" s="3">
        <v>8.5</v>
      </c>
      <c r="F1456" s="3">
        <v>5.5</v>
      </c>
      <c r="G1456" s="4">
        <v>43796</v>
      </c>
    </row>
    <row r="1457" spans="2:18" x14ac:dyDescent="0.2">
      <c r="C1457" s="2" t="s">
        <v>8</v>
      </c>
      <c r="D1457" s="2" t="s">
        <v>707</v>
      </c>
      <c r="E1457" s="3">
        <v>150</v>
      </c>
      <c r="F1457" s="3">
        <f>100/6</f>
        <v>16.666666666666668</v>
      </c>
      <c r="G1457" s="4">
        <v>43885</v>
      </c>
      <c r="I1457" s="1">
        <v>1800</v>
      </c>
      <c r="J1457" s="1">
        <v>2500</v>
      </c>
    </row>
    <row r="1458" spans="2:18" x14ac:dyDescent="0.2">
      <c r="G1458" s="4"/>
    </row>
    <row r="1459" spans="2:18" s="12" customFormat="1" x14ac:dyDescent="0.2">
      <c r="B1459" s="12" t="s">
        <v>1077</v>
      </c>
      <c r="C1459" s="13" t="s">
        <v>969</v>
      </c>
      <c r="D1459" s="13" t="s">
        <v>968</v>
      </c>
      <c r="E1459" s="15"/>
      <c r="F1459" s="15">
        <f>SUM(F1460:F1464)</f>
        <v>69.833333333333329</v>
      </c>
      <c r="G1459" s="14">
        <f>G1460</f>
        <v>45048</v>
      </c>
      <c r="M1459" s="13"/>
      <c r="N1459" s="13"/>
      <c r="O1459" s="13"/>
      <c r="P1459" s="13"/>
      <c r="Q1459" s="13"/>
      <c r="R1459" s="13"/>
    </row>
    <row r="1460" spans="2:18" x14ac:dyDescent="0.2">
      <c r="C1460" s="2" t="s">
        <v>18</v>
      </c>
      <c r="D1460" s="2" t="s">
        <v>952</v>
      </c>
      <c r="E1460" s="3">
        <v>270</v>
      </c>
      <c r="F1460" s="3">
        <v>24</v>
      </c>
      <c r="G1460" s="4">
        <v>45048</v>
      </c>
    </row>
    <row r="1461" spans="2:18" x14ac:dyDescent="0.2">
      <c r="C1461" s="2" t="s">
        <v>7</v>
      </c>
      <c r="D1461" s="2" t="s">
        <v>475</v>
      </c>
      <c r="E1461" s="3">
        <v>90</v>
      </c>
      <c r="F1461" s="3">
        <v>6</v>
      </c>
      <c r="G1461" s="4">
        <v>44398</v>
      </c>
    </row>
    <row r="1462" spans="2:18" x14ac:dyDescent="0.2">
      <c r="C1462" s="2" t="s">
        <v>8</v>
      </c>
      <c r="D1462" s="2" t="s">
        <v>258</v>
      </c>
      <c r="E1462" s="3">
        <v>111</v>
      </c>
      <c r="F1462" s="3">
        <v>7</v>
      </c>
      <c r="G1462" s="4">
        <v>44622</v>
      </c>
    </row>
    <row r="1463" spans="2:18" x14ac:dyDescent="0.2">
      <c r="C1463" s="2" t="s">
        <v>8</v>
      </c>
      <c r="D1463" s="2" t="s">
        <v>131</v>
      </c>
      <c r="E1463" s="3">
        <v>135</v>
      </c>
      <c r="F1463" s="3">
        <v>8</v>
      </c>
      <c r="G1463" s="4">
        <v>44880</v>
      </c>
    </row>
    <row r="1464" spans="2:18" x14ac:dyDescent="0.2">
      <c r="C1464" s="2" t="s">
        <v>7</v>
      </c>
      <c r="D1464" s="2" t="s">
        <v>64</v>
      </c>
      <c r="E1464" s="3">
        <f>1600/7</f>
        <v>228.57142857142858</v>
      </c>
      <c r="F1464" s="3">
        <f>149/6</f>
        <v>24.833333333333332</v>
      </c>
      <c r="G1464" s="4">
        <v>44550</v>
      </c>
    </row>
    <row r="1465" spans="2:18" x14ac:dyDescent="0.2">
      <c r="G1465" s="4"/>
    </row>
    <row r="1466" spans="2:18" s="12" customFormat="1" x14ac:dyDescent="0.2">
      <c r="B1466" s="12" t="s">
        <v>502</v>
      </c>
      <c r="C1466" s="13" t="s">
        <v>969</v>
      </c>
      <c r="D1466" s="13" t="s">
        <v>968</v>
      </c>
      <c r="E1466" s="15"/>
      <c r="F1466" s="15">
        <f>SUM(F1467:F1470)</f>
        <v>69</v>
      </c>
      <c r="G1466" s="14">
        <f>G1467</f>
        <v>44152</v>
      </c>
    </row>
    <row r="1467" spans="2:18" x14ac:dyDescent="0.2">
      <c r="C1467" s="2" t="s">
        <v>53</v>
      </c>
      <c r="D1467" s="2" t="s">
        <v>489</v>
      </c>
      <c r="E1467" s="3">
        <v>270</v>
      </c>
      <c r="F1467" s="3">
        <v>22</v>
      </c>
      <c r="G1467" s="4">
        <v>44152</v>
      </c>
      <c r="M1467" s="1"/>
      <c r="N1467" s="1"/>
      <c r="O1467" s="1"/>
      <c r="P1467" s="1"/>
      <c r="Q1467" s="1"/>
      <c r="R1467" s="1"/>
    </row>
    <row r="1468" spans="2:18" x14ac:dyDescent="0.2">
      <c r="C1468" s="2" t="s">
        <v>8</v>
      </c>
      <c r="D1468" s="2" t="s">
        <v>176</v>
      </c>
      <c r="E1468" s="3">
        <v>130</v>
      </c>
      <c r="F1468" s="3">
        <v>12</v>
      </c>
      <c r="G1468" s="4">
        <v>42080</v>
      </c>
      <c r="M1468" s="1"/>
      <c r="N1468" s="1"/>
      <c r="O1468" s="1"/>
      <c r="P1468" s="1"/>
      <c r="Q1468" s="1"/>
      <c r="R1468" s="1"/>
    </row>
    <row r="1469" spans="2:18" x14ac:dyDescent="0.2">
      <c r="C1469" s="2" t="s">
        <v>8</v>
      </c>
      <c r="D1469" s="2" t="s">
        <v>3938</v>
      </c>
      <c r="E1469" s="3">
        <v>90</v>
      </c>
      <c r="F1469" s="3">
        <v>15</v>
      </c>
      <c r="G1469" s="4">
        <v>40354</v>
      </c>
      <c r="M1469" s="1"/>
      <c r="N1469" s="1"/>
      <c r="O1469" s="1"/>
      <c r="P1469" s="1"/>
      <c r="Q1469" s="1"/>
      <c r="R1469" s="1"/>
    </row>
    <row r="1470" spans="2:18" x14ac:dyDescent="0.2">
      <c r="C1470" s="93" t="s">
        <v>8</v>
      </c>
      <c r="D1470" s="93" t="s">
        <v>5426</v>
      </c>
      <c r="E1470" s="3">
        <v>50</v>
      </c>
      <c r="F1470" s="3">
        <v>20</v>
      </c>
      <c r="G1470" s="4">
        <v>44307</v>
      </c>
      <c r="I1470" s="1">
        <v>2000</v>
      </c>
      <c r="J1470" s="1">
        <v>2000</v>
      </c>
      <c r="M1470" s="1"/>
      <c r="N1470" s="1"/>
      <c r="O1470" s="1"/>
      <c r="P1470" s="1"/>
      <c r="Q1470" s="1"/>
      <c r="R1470" s="1"/>
    </row>
    <row r="1471" spans="2:18" x14ac:dyDescent="0.2">
      <c r="G1471" s="4"/>
      <c r="M1471" s="1"/>
      <c r="N1471" s="1"/>
      <c r="O1471" s="1"/>
      <c r="P1471" s="1"/>
      <c r="Q1471" s="1"/>
      <c r="R1471" s="1"/>
    </row>
    <row r="1472" spans="2:18" s="12" customFormat="1" x14ac:dyDescent="0.2">
      <c r="B1472" s="12" t="s">
        <v>493</v>
      </c>
      <c r="C1472" s="13" t="s">
        <v>969</v>
      </c>
      <c r="D1472" s="13" t="s">
        <v>968</v>
      </c>
      <c r="E1472" s="15"/>
      <c r="F1472" s="15">
        <f>SUM(F1473:F1476)</f>
        <v>68.599999999999994</v>
      </c>
      <c r="G1472" s="14">
        <f>G1475</f>
        <v>44077</v>
      </c>
    </row>
    <row r="1473" spans="2:18" x14ac:dyDescent="0.2">
      <c r="C1473" s="2" t="s">
        <v>9</v>
      </c>
      <c r="D1473" s="2" t="s">
        <v>489</v>
      </c>
      <c r="E1473" s="3">
        <v>206</v>
      </c>
      <c r="F1473" s="3">
        <v>14</v>
      </c>
      <c r="G1473" s="4">
        <v>43725</v>
      </c>
      <c r="M1473" s="1"/>
      <c r="N1473" s="1"/>
      <c r="O1473" s="1"/>
      <c r="P1473" s="1"/>
      <c r="Q1473" s="1"/>
      <c r="R1473" s="1"/>
    </row>
    <row r="1474" spans="2:18" x14ac:dyDescent="0.2">
      <c r="C1474" s="2" t="s">
        <v>8</v>
      </c>
      <c r="D1474" s="2" t="s">
        <v>489</v>
      </c>
      <c r="E1474" s="3">
        <v>100</v>
      </c>
      <c r="F1474" s="3">
        <v>15</v>
      </c>
      <c r="G1474" s="4">
        <v>43397</v>
      </c>
      <c r="M1474" s="1"/>
      <c r="N1474" s="1"/>
      <c r="O1474" s="1"/>
      <c r="P1474" s="1"/>
      <c r="Q1474" s="1"/>
      <c r="R1474" s="1"/>
    </row>
    <row r="1475" spans="2:18" x14ac:dyDescent="0.2">
      <c r="C1475" s="2" t="s">
        <v>7</v>
      </c>
      <c r="D1475" s="2" t="s">
        <v>192</v>
      </c>
      <c r="E1475" s="3">
        <v>43</v>
      </c>
      <c r="F1475" s="3">
        <f>E1475/5</f>
        <v>8.6</v>
      </c>
      <c r="G1475" s="4">
        <v>44077</v>
      </c>
      <c r="M1475" s="1"/>
      <c r="N1475" s="1"/>
      <c r="O1475" s="1"/>
      <c r="P1475" s="1"/>
      <c r="Q1475" s="1"/>
      <c r="R1475" s="1"/>
    </row>
    <row r="1476" spans="2:18" x14ac:dyDescent="0.2">
      <c r="C1476" s="2" t="s">
        <v>5</v>
      </c>
      <c r="D1476" s="2" t="s">
        <v>493</v>
      </c>
      <c r="E1476" s="3">
        <v>31</v>
      </c>
      <c r="F1476" s="3">
        <v>31</v>
      </c>
      <c r="G1476" s="4">
        <v>43634</v>
      </c>
      <c r="M1476" s="1"/>
      <c r="N1476" s="1"/>
      <c r="O1476" s="1"/>
      <c r="P1476" s="1"/>
      <c r="Q1476" s="1"/>
      <c r="R1476" s="1"/>
    </row>
    <row r="1477" spans="2:18" x14ac:dyDescent="0.2">
      <c r="G1477" s="4"/>
      <c r="M1477" s="1"/>
      <c r="N1477" s="1"/>
      <c r="O1477" s="1"/>
      <c r="P1477" s="1"/>
      <c r="Q1477" s="1"/>
      <c r="R1477" s="1"/>
    </row>
    <row r="1478" spans="2:18" s="12" customFormat="1" x14ac:dyDescent="0.2">
      <c r="B1478" s="12" t="s">
        <v>1076</v>
      </c>
      <c r="C1478" s="13" t="s">
        <v>969</v>
      </c>
      <c r="D1478" s="13" t="s">
        <v>968</v>
      </c>
      <c r="E1478" s="15"/>
      <c r="F1478" s="15">
        <f>SUM(F1479:F1483)</f>
        <v>68.900000000000006</v>
      </c>
      <c r="G1478" s="14">
        <f>G1479</f>
        <v>44679</v>
      </c>
    </row>
    <row r="1479" spans="2:18" x14ac:dyDescent="0.2">
      <c r="C1479" s="2" t="s">
        <v>5</v>
      </c>
      <c r="D1479" s="2" t="s">
        <v>663</v>
      </c>
      <c r="E1479" s="3">
        <v>17</v>
      </c>
      <c r="F1479" s="3">
        <v>1.5</v>
      </c>
      <c r="G1479" s="4">
        <v>44679</v>
      </c>
      <c r="M1479" s="1"/>
      <c r="N1479" s="1"/>
      <c r="O1479" s="1"/>
      <c r="P1479" s="1"/>
      <c r="Q1479" s="1"/>
      <c r="R1479" s="1"/>
    </row>
    <row r="1480" spans="2:18" x14ac:dyDescent="0.2">
      <c r="C1480" s="2" t="s">
        <v>5</v>
      </c>
      <c r="D1480" s="2" t="s">
        <v>656</v>
      </c>
      <c r="E1480" s="3">
        <v>12.6</v>
      </c>
      <c r="F1480" s="3">
        <v>3</v>
      </c>
      <c r="G1480" s="4">
        <v>44579</v>
      </c>
      <c r="M1480" s="1"/>
      <c r="N1480" s="1"/>
      <c r="O1480" s="1"/>
      <c r="P1480" s="1"/>
      <c r="Q1480" s="1"/>
      <c r="R1480" s="1"/>
    </row>
    <row r="1481" spans="2:18" x14ac:dyDescent="0.2">
      <c r="C1481" s="2" t="s">
        <v>5</v>
      </c>
      <c r="D1481" s="2" t="s">
        <v>516</v>
      </c>
      <c r="E1481" s="3">
        <v>14.5</v>
      </c>
      <c r="F1481" s="3">
        <v>3</v>
      </c>
      <c r="G1481" s="4">
        <v>43389</v>
      </c>
      <c r="M1481" s="1"/>
      <c r="N1481" s="1"/>
      <c r="O1481" s="1"/>
      <c r="P1481" s="1"/>
      <c r="Q1481" s="1"/>
      <c r="R1481" s="1"/>
    </row>
    <row r="1482" spans="2:18" x14ac:dyDescent="0.2">
      <c r="C1482" s="2" t="s">
        <v>8</v>
      </c>
      <c r="D1482" s="2" t="s">
        <v>386</v>
      </c>
      <c r="E1482" s="3">
        <v>140</v>
      </c>
      <c r="F1482" s="3">
        <v>60</v>
      </c>
      <c r="G1482" s="4">
        <v>44286</v>
      </c>
      <c r="M1482" s="1"/>
      <c r="N1482" s="1"/>
      <c r="O1482" s="1"/>
      <c r="P1482" s="1"/>
      <c r="Q1482" s="1"/>
      <c r="R1482" s="1"/>
    </row>
    <row r="1483" spans="2:18" x14ac:dyDescent="0.2">
      <c r="C1483" s="2" t="s">
        <v>5</v>
      </c>
      <c r="D1483" s="2" t="s">
        <v>302</v>
      </c>
      <c r="E1483" s="3">
        <v>10</v>
      </c>
      <c r="F1483" s="3">
        <v>1.4</v>
      </c>
      <c r="G1483" s="4">
        <v>44637</v>
      </c>
      <c r="M1483" s="1"/>
      <c r="N1483" s="1"/>
      <c r="O1483" s="1"/>
      <c r="P1483" s="1"/>
      <c r="Q1483" s="1"/>
      <c r="R1483" s="1"/>
    </row>
    <row r="1484" spans="2:18" x14ac:dyDescent="0.2">
      <c r="G1484" s="4"/>
      <c r="M1484" s="1"/>
      <c r="N1484" s="1"/>
      <c r="O1484" s="1"/>
      <c r="P1484" s="1"/>
      <c r="Q1484" s="1"/>
      <c r="R1484" s="1"/>
    </row>
    <row r="1485" spans="2:18" s="12" customFormat="1" x14ac:dyDescent="0.2">
      <c r="B1485" s="12" t="s">
        <v>1062</v>
      </c>
      <c r="C1485" s="13" t="s">
        <v>969</v>
      </c>
      <c r="D1485" s="13" t="s">
        <v>968</v>
      </c>
      <c r="E1485" s="15"/>
      <c r="F1485" s="15">
        <f>SUM(F1486:F1493)</f>
        <v>67.8</v>
      </c>
      <c r="G1485" s="14">
        <f>+G1486</f>
        <v>44754</v>
      </c>
      <c r="M1485" s="13"/>
      <c r="N1485" s="13"/>
      <c r="O1485" s="13"/>
      <c r="P1485" s="13"/>
      <c r="Q1485" s="13"/>
      <c r="R1485" s="13"/>
    </row>
    <row r="1486" spans="2:18" x14ac:dyDescent="0.2">
      <c r="C1486" s="2" t="s">
        <v>18</v>
      </c>
      <c r="D1486" s="2" t="s">
        <v>1005</v>
      </c>
      <c r="E1486" s="3">
        <v>100</v>
      </c>
      <c r="F1486" s="3">
        <v>10</v>
      </c>
      <c r="G1486" s="4">
        <v>44754</v>
      </c>
    </row>
    <row r="1487" spans="2:18" x14ac:dyDescent="0.2">
      <c r="C1487" s="2" t="s">
        <v>7</v>
      </c>
      <c r="D1487" s="2" t="s">
        <v>894</v>
      </c>
      <c r="E1487" s="3">
        <v>40</v>
      </c>
      <c r="F1487" s="3">
        <v>5</v>
      </c>
      <c r="G1487" s="4">
        <v>44728</v>
      </c>
    </row>
    <row r="1488" spans="2:18" x14ac:dyDescent="0.2">
      <c r="C1488" s="2" t="s">
        <v>7</v>
      </c>
      <c r="D1488" s="2" t="s">
        <v>894</v>
      </c>
      <c r="E1488" s="3">
        <v>18.600000000000001</v>
      </c>
      <c r="F1488" s="3">
        <f>8.6/2</f>
        <v>4.3</v>
      </c>
      <c r="G1488" s="4">
        <v>44112</v>
      </c>
    </row>
    <row r="1489" spans="2:18" x14ac:dyDescent="0.2">
      <c r="C1489" s="2" t="s">
        <v>18</v>
      </c>
      <c r="D1489" s="2" t="s">
        <v>883</v>
      </c>
      <c r="E1489" s="3">
        <v>200</v>
      </c>
      <c r="F1489" s="3">
        <v>20</v>
      </c>
      <c r="G1489" s="4">
        <v>44377</v>
      </c>
    </row>
    <row r="1490" spans="2:18" x14ac:dyDescent="0.2">
      <c r="C1490" s="2" t="s">
        <v>7</v>
      </c>
      <c r="D1490" s="2" t="s">
        <v>883</v>
      </c>
      <c r="E1490" s="3">
        <v>75</v>
      </c>
      <c r="F1490" s="3">
        <v>5</v>
      </c>
      <c r="G1490" s="4">
        <v>43783</v>
      </c>
    </row>
    <row r="1491" spans="2:18" x14ac:dyDescent="0.2">
      <c r="C1491" s="2" t="s">
        <v>5</v>
      </c>
      <c r="D1491" s="2" t="s">
        <v>883</v>
      </c>
      <c r="E1491" s="3">
        <v>30</v>
      </c>
      <c r="F1491" s="3">
        <v>10</v>
      </c>
      <c r="G1491" s="4">
        <v>43573</v>
      </c>
    </row>
    <row r="1492" spans="2:18" x14ac:dyDescent="0.2">
      <c r="C1492" s="93" t="s">
        <v>8</v>
      </c>
      <c r="D1492" s="93" t="s">
        <v>5426</v>
      </c>
      <c r="E1492" s="3">
        <v>50</v>
      </c>
      <c r="F1492" s="3">
        <f>30/4</f>
        <v>7.5</v>
      </c>
      <c r="G1492" s="4">
        <v>44307</v>
      </c>
    </row>
    <row r="1493" spans="2:18" x14ac:dyDescent="0.2">
      <c r="C1493" s="93" t="s">
        <v>18</v>
      </c>
      <c r="D1493" s="93" t="s">
        <v>5426</v>
      </c>
      <c r="E1493" s="3">
        <v>37</v>
      </c>
      <c r="F1493" s="3">
        <v>6</v>
      </c>
      <c r="G1493" s="4">
        <v>43831</v>
      </c>
    </row>
    <row r="1494" spans="2:18" x14ac:dyDescent="0.2">
      <c r="G1494" s="4"/>
    </row>
    <row r="1495" spans="2:18" s="12" customFormat="1" x14ac:dyDescent="0.2">
      <c r="B1495" s="12" t="s">
        <v>38</v>
      </c>
      <c r="C1495" s="13" t="s">
        <v>969</v>
      </c>
      <c r="D1495" s="13" t="s">
        <v>968</v>
      </c>
      <c r="E1495" s="15"/>
      <c r="F1495" s="15">
        <f>SUM(F1496:F1497)</f>
        <v>67</v>
      </c>
      <c r="G1495" s="14">
        <f>G1497</f>
        <v>44322</v>
      </c>
      <c r="M1495" s="13"/>
      <c r="N1495" s="13"/>
      <c r="O1495" s="13"/>
      <c r="P1495" s="13"/>
      <c r="Q1495" s="13"/>
      <c r="R1495" s="13"/>
    </row>
    <row r="1496" spans="2:18" x14ac:dyDescent="0.2">
      <c r="C1496" s="2" t="s">
        <v>18</v>
      </c>
      <c r="D1496" s="2" t="s">
        <v>32</v>
      </c>
      <c r="E1496" s="3">
        <v>230</v>
      </c>
      <c r="F1496" s="3">
        <v>40</v>
      </c>
      <c r="G1496" s="4">
        <v>43634</v>
      </c>
      <c r="I1496" s="1">
        <v>770</v>
      </c>
      <c r="J1496" s="1">
        <v>770</v>
      </c>
    </row>
    <row r="1497" spans="2:18" x14ac:dyDescent="0.2">
      <c r="C1497" s="2" t="s">
        <v>8</v>
      </c>
      <c r="D1497" s="2" t="s">
        <v>15</v>
      </c>
      <c r="E1497" s="3">
        <v>220</v>
      </c>
      <c r="F1497" s="3">
        <v>27</v>
      </c>
      <c r="G1497" s="4">
        <v>44322</v>
      </c>
      <c r="I1497" s="1">
        <v>780</v>
      </c>
      <c r="J1497" s="1">
        <v>780</v>
      </c>
    </row>
    <row r="1498" spans="2:18" x14ac:dyDescent="0.2">
      <c r="G1498" s="4"/>
    </row>
    <row r="1499" spans="2:18" s="12" customFormat="1" x14ac:dyDescent="0.2">
      <c r="B1499" s="12" t="s">
        <v>209</v>
      </c>
      <c r="C1499" s="13" t="s">
        <v>969</v>
      </c>
      <c r="D1499" s="13" t="s">
        <v>968</v>
      </c>
      <c r="E1499" s="15"/>
      <c r="F1499" s="15">
        <f>SUM(F1500:F1502)</f>
        <v>67</v>
      </c>
      <c r="G1499" s="14">
        <f>G1500</f>
        <v>43886</v>
      </c>
      <c r="M1499" s="13"/>
      <c r="N1499" s="13"/>
      <c r="O1499" s="13"/>
      <c r="P1499" s="13"/>
      <c r="Q1499" s="13"/>
      <c r="R1499" s="13"/>
    </row>
    <row r="1500" spans="2:18" x14ac:dyDescent="0.2">
      <c r="C1500" s="2" t="s">
        <v>18</v>
      </c>
      <c r="D1500" s="2" t="s">
        <v>208</v>
      </c>
      <c r="E1500" s="3">
        <v>250</v>
      </c>
      <c r="F1500" s="3">
        <f>170/5</f>
        <v>34</v>
      </c>
      <c r="G1500" s="4">
        <v>43886</v>
      </c>
      <c r="I1500" s="1">
        <v>2300</v>
      </c>
      <c r="J1500" s="1">
        <v>2300</v>
      </c>
    </row>
    <row r="1501" spans="2:18" x14ac:dyDescent="0.2">
      <c r="C1501" s="2" t="s">
        <v>7</v>
      </c>
      <c r="D1501" s="2" t="s">
        <v>208</v>
      </c>
      <c r="E1501" s="3">
        <v>150</v>
      </c>
      <c r="F1501" s="3">
        <v>20</v>
      </c>
      <c r="G1501" s="4">
        <v>43556</v>
      </c>
    </row>
    <row r="1502" spans="2:18" x14ac:dyDescent="0.2">
      <c r="C1502" s="2" t="s">
        <v>5</v>
      </c>
      <c r="D1502" s="2" t="s">
        <v>208</v>
      </c>
      <c r="E1502" s="3">
        <v>56</v>
      </c>
      <c r="F1502" s="3">
        <f>26/2</f>
        <v>13</v>
      </c>
      <c r="G1502" s="4">
        <v>43174</v>
      </c>
    </row>
    <row r="1503" spans="2:18" x14ac:dyDescent="0.2">
      <c r="G1503" s="4"/>
    </row>
    <row r="1504" spans="2:18" s="12" customFormat="1" x14ac:dyDescent="0.2">
      <c r="B1504" s="12" t="s">
        <v>1054</v>
      </c>
      <c r="C1504" s="13" t="s">
        <v>969</v>
      </c>
      <c r="D1504" s="13" t="s">
        <v>968</v>
      </c>
      <c r="E1504" s="15"/>
      <c r="F1504" s="15">
        <f>SUM(F1505:F1510)</f>
        <v>65.5</v>
      </c>
      <c r="G1504" s="14">
        <f>G1505</f>
        <v>44636</v>
      </c>
      <c r="M1504" s="13"/>
      <c r="N1504" s="13"/>
      <c r="O1504" s="13"/>
      <c r="P1504" s="13"/>
      <c r="Q1504" s="13"/>
      <c r="R1504" s="13"/>
    </row>
    <row r="1505" spans="2:18" x14ac:dyDescent="0.2">
      <c r="C1505" s="2" t="s">
        <v>7</v>
      </c>
      <c r="D1505" s="2" t="s">
        <v>860</v>
      </c>
      <c r="E1505" s="3">
        <v>25</v>
      </c>
      <c r="F1505" s="3">
        <v>3</v>
      </c>
      <c r="G1505" s="4">
        <v>44636</v>
      </c>
    </row>
    <row r="1506" spans="2:18" x14ac:dyDescent="0.2">
      <c r="C1506" s="2" t="s">
        <v>5</v>
      </c>
      <c r="D1506" s="2" t="s">
        <v>860</v>
      </c>
      <c r="E1506" s="3">
        <v>12</v>
      </c>
      <c r="F1506" s="3">
        <v>2</v>
      </c>
      <c r="G1506" s="4">
        <v>44179</v>
      </c>
    </row>
    <row r="1507" spans="2:18" x14ac:dyDescent="0.2">
      <c r="C1507" s="2" t="s">
        <v>53</v>
      </c>
      <c r="D1507" s="2" t="s">
        <v>489</v>
      </c>
      <c r="E1507" s="3">
        <v>270</v>
      </c>
      <c r="F1507" s="3">
        <v>22</v>
      </c>
      <c r="G1507" s="4">
        <v>44152</v>
      </c>
    </row>
    <row r="1508" spans="2:18" x14ac:dyDescent="0.2">
      <c r="C1508" s="2" t="s">
        <v>18</v>
      </c>
      <c r="D1508" s="2" t="s">
        <v>292</v>
      </c>
      <c r="E1508" s="3">
        <v>38</v>
      </c>
      <c r="F1508" s="3">
        <v>6</v>
      </c>
      <c r="G1508" s="4">
        <v>43104</v>
      </c>
    </row>
    <row r="1509" spans="2:18" x14ac:dyDescent="0.2">
      <c r="C1509" s="55" t="s">
        <v>8</v>
      </c>
      <c r="D1509" s="55" t="s">
        <v>2112</v>
      </c>
      <c r="E1509" s="3">
        <v>110</v>
      </c>
      <c r="F1509" s="3">
        <f>70/4</f>
        <v>17.5</v>
      </c>
      <c r="G1509" s="4">
        <v>44567</v>
      </c>
      <c r="I1509" s="1">
        <v>790</v>
      </c>
      <c r="J1509" s="1">
        <v>790</v>
      </c>
    </row>
    <row r="1510" spans="2:18" x14ac:dyDescent="0.2">
      <c r="C1510" s="55" t="s">
        <v>18</v>
      </c>
      <c r="D1510" s="55" t="s">
        <v>2112</v>
      </c>
      <c r="E1510" s="3">
        <v>40</v>
      </c>
      <c r="F1510" s="3">
        <v>15</v>
      </c>
      <c r="G1510" s="4">
        <v>44238</v>
      </c>
      <c r="J1510" s="1">
        <v>790</v>
      </c>
    </row>
    <row r="1511" spans="2:18" x14ac:dyDescent="0.2">
      <c r="G1511" s="4"/>
    </row>
    <row r="1512" spans="2:18" s="12" customFormat="1" x14ac:dyDescent="0.2">
      <c r="B1512" s="12" t="s">
        <v>62</v>
      </c>
      <c r="C1512" s="13" t="s">
        <v>969</v>
      </c>
      <c r="D1512" s="13" t="s">
        <v>968</v>
      </c>
      <c r="E1512" s="15"/>
      <c r="F1512" s="15">
        <f>SUM(F1513:F1515)</f>
        <v>64.5</v>
      </c>
      <c r="G1512" s="14">
        <f>G1513</f>
        <v>45069</v>
      </c>
      <c r="M1512" s="13"/>
      <c r="N1512" s="13"/>
      <c r="O1512" s="13"/>
      <c r="P1512" s="13"/>
      <c r="Q1512" s="13"/>
      <c r="R1512" s="13"/>
    </row>
    <row r="1513" spans="2:18" x14ac:dyDescent="0.2">
      <c r="C1513" s="2" t="s">
        <v>8</v>
      </c>
      <c r="D1513" s="2" t="s">
        <v>57</v>
      </c>
      <c r="E1513" s="3">
        <v>250</v>
      </c>
      <c r="F1513" s="3">
        <f>150/4</f>
        <v>37.5</v>
      </c>
      <c r="G1513" s="4">
        <v>45069</v>
      </c>
    </row>
    <row r="1514" spans="2:18" x14ac:dyDescent="0.2">
      <c r="C1514" s="2" t="s">
        <v>18</v>
      </c>
      <c r="D1514" s="2" t="s">
        <v>57</v>
      </c>
      <c r="E1514" s="3">
        <v>100</v>
      </c>
      <c r="F1514" s="3">
        <f>75/5</f>
        <v>15</v>
      </c>
      <c r="G1514" s="4">
        <v>44650</v>
      </c>
    </row>
    <row r="1515" spans="2:18" x14ac:dyDescent="0.2">
      <c r="C1515" s="2" t="s">
        <v>5</v>
      </c>
      <c r="D1515" s="2" t="s">
        <v>57</v>
      </c>
      <c r="E1515" s="3">
        <v>29.5</v>
      </c>
      <c r="F1515" s="3">
        <v>12</v>
      </c>
      <c r="G1515" s="4">
        <v>43410</v>
      </c>
    </row>
    <row r="1516" spans="2:18" x14ac:dyDescent="0.2">
      <c r="G1516" s="4"/>
    </row>
    <row r="1517" spans="2:18" x14ac:dyDescent="0.2">
      <c r="B1517" s="12" t="s">
        <v>1071</v>
      </c>
      <c r="C1517" s="13" t="s">
        <v>969</v>
      </c>
      <c r="D1517" s="13" t="s">
        <v>968</v>
      </c>
      <c r="F1517" s="15">
        <f>SUM(F1518:F1527)</f>
        <v>65.214285714285708</v>
      </c>
      <c r="G1517" s="14">
        <f>G1520</f>
        <v>44690</v>
      </c>
      <c r="I1517" s="1">
        <f>140+191</f>
        <v>331</v>
      </c>
      <c r="J1517" s="19">
        <f>+F1517/I1517</f>
        <v>0.19702201122140697</v>
      </c>
      <c r="K1517" s="1">
        <v>2014</v>
      </c>
    </row>
    <row r="1518" spans="2:18" x14ac:dyDescent="0.2">
      <c r="B1518" s="12"/>
      <c r="C1518" s="2" t="s">
        <v>5</v>
      </c>
      <c r="D1518" s="2" t="s">
        <v>935</v>
      </c>
      <c r="E1518" s="3">
        <v>150</v>
      </c>
      <c r="F1518" s="3">
        <v>15</v>
      </c>
      <c r="G1518" s="4">
        <v>45008</v>
      </c>
    </row>
    <row r="1519" spans="2:18" x14ac:dyDescent="0.2">
      <c r="B1519" s="12"/>
      <c r="C1519" s="2" t="s">
        <v>7</v>
      </c>
      <c r="D1519" s="2" t="s">
        <v>949</v>
      </c>
      <c r="E1519" s="3">
        <v>350</v>
      </c>
      <c r="F1519" s="3">
        <v>10</v>
      </c>
      <c r="G1519" s="4">
        <v>44999</v>
      </c>
    </row>
    <row r="1520" spans="2:18" x14ac:dyDescent="0.2">
      <c r="C1520" s="2" t="s">
        <v>18</v>
      </c>
      <c r="D1520" s="2" t="s">
        <v>926</v>
      </c>
      <c r="E1520" s="3">
        <v>100</v>
      </c>
      <c r="F1520" s="3">
        <v>9</v>
      </c>
      <c r="G1520" s="4">
        <v>44690</v>
      </c>
      <c r="J1520" s="1">
        <v>4300</v>
      </c>
    </row>
    <row r="1521" spans="2:18" x14ac:dyDescent="0.2">
      <c r="C1521" s="2" t="s">
        <v>7</v>
      </c>
      <c r="D1521" s="2" t="s">
        <v>926</v>
      </c>
      <c r="E1521" s="3">
        <v>40</v>
      </c>
      <c r="F1521" s="3">
        <v>7</v>
      </c>
      <c r="G1521" s="4">
        <v>44327</v>
      </c>
      <c r="J1521" s="1">
        <v>4300</v>
      </c>
    </row>
    <row r="1522" spans="2:18" x14ac:dyDescent="0.2">
      <c r="C1522" s="2" t="s">
        <v>5</v>
      </c>
      <c r="D1522" s="2" t="s">
        <v>926</v>
      </c>
      <c r="E1522" s="3">
        <v>15</v>
      </c>
      <c r="F1522" s="3">
        <v>3</v>
      </c>
      <c r="G1522" s="4">
        <v>43816</v>
      </c>
      <c r="J1522" s="1">
        <v>4300</v>
      </c>
    </row>
    <row r="1523" spans="2:18" x14ac:dyDescent="0.2">
      <c r="C1523" s="2" t="s">
        <v>4</v>
      </c>
      <c r="D1523" s="2" t="s">
        <v>926</v>
      </c>
      <c r="E1523" s="3">
        <v>4</v>
      </c>
      <c r="F1523" s="3">
        <v>1</v>
      </c>
      <c r="G1523" s="4">
        <v>43243</v>
      </c>
      <c r="J1523" s="1">
        <v>4300</v>
      </c>
    </row>
    <row r="1524" spans="2:18" x14ac:dyDescent="0.2">
      <c r="C1524" s="2" t="s">
        <v>5</v>
      </c>
      <c r="D1524" s="2" t="s">
        <v>907</v>
      </c>
      <c r="E1524" s="3">
        <v>20</v>
      </c>
      <c r="F1524" s="3">
        <v>10</v>
      </c>
      <c r="G1524" s="4">
        <v>44245</v>
      </c>
    </row>
    <row r="1525" spans="2:18" x14ac:dyDescent="0.2">
      <c r="C1525" s="2" t="s">
        <v>7</v>
      </c>
      <c r="D1525" s="2" t="s">
        <v>1070</v>
      </c>
      <c r="E1525" s="3">
        <v>18</v>
      </c>
      <c r="F1525" s="3">
        <v>4.5</v>
      </c>
      <c r="G1525" s="4">
        <v>44831</v>
      </c>
    </row>
    <row r="1526" spans="2:18" x14ac:dyDescent="0.2">
      <c r="C1526" s="2" t="s">
        <v>5</v>
      </c>
      <c r="D1526" s="2" t="s">
        <v>1070</v>
      </c>
      <c r="E1526" s="3">
        <v>18.5</v>
      </c>
      <c r="F1526" s="3">
        <v>5</v>
      </c>
      <c r="G1526" s="4">
        <v>44658</v>
      </c>
    </row>
    <row r="1527" spans="2:18" x14ac:dyDescent="0.2">
      <c r="C1527" s="2" t="s">
        <v>4</v>
      </c>
      <c r="D1527" s="2" t="s">
        <v>424</v>
      </c>
      <c r="E1527" s="3">
        <v>7</v>
      </c>
      <c r="F1527" s="3">
        <v>0.7142857142857143</v>
      </c>
      <c r="G1527" s="4">
        <v>43046</v>
      </c>
    </row>
    <row r="1528" spans="2:18" x14ac:dyDescent="0.2">
      <c r="G1528" s="4"/>
    </row>
    <row r="1529" spans="2:18" s="12" customFormat="1" x14ac:dyDescent="0.2">
      <c r="B1529" s="12" t="s">
        <v>1068</v>
      </c>
      <c r="C1529" s="13" t="s">
        <v>969</v>
      </c>
      <c r="D1529" s="13" t="s">
        <v>968</v>
      </c>
      <c r="E1529" s="15"/>
      <c r="F1529" s="15">
        <f>SUM(F1530:F1559)</f>
        <v>65.004761904761892</v>
      </c>
      <c r="G1529" s="14">
        <f>+G1534</f>
        <v>45041</v>
      </c>
      <c r="I1529" s="12" t="s">
        <v>6698</v>
      </c>
      <c r="M1529" s="13"/>
      <c r="N1529" s="13"/>
      <c r="O1529" s="13"/>
      <c r="P1529" s="13"/>
      <c r="Q1529" s="13"/>
      <c r="R1529" s="13"/>
    </row>
    <row r="1530" spans="2:18" x14ac:dyDescent="0.2">
      <c r="C1530" s="2" t="s">
        <v>9</v>
      </c>
      <c r="D1530" s="2" t="s">
        <v>803</v>
      </c>
      <c r="E1530" s="3">
        <v>325</v>
      </c>
      <c r="F1530" s="3">
        <v>18.5</v>
      </c>
      <c r="G1530" s="4">
        <v>44299</v>
      </c>
    </row>
    <row r="1531" spans="2:18" x14ac:dyDescent="0.2">
      <c r="C1531" s="2" t="s">
        <v>7</v>
      </c>
      <c r="D1531" s="2" t="s">
        <v>803</v>
      </c>
      <c r="E1531" s="3">
        <v>18</v>
      </c>
      <c r="F1531" s="3">
        <v>3</v>
      </c>
      <c r="G1531" s="4">
        <v>43319</v>
      </c>
    </row>
    <row r="1532" spans="2:18" x14ac:dyDescent="0.2">
      <c r="C1532" s="2" t="s">
        <v>5</v>
      </c>
      <c r="D1532" s="2" t="s">
        <v>803</v>
      </c>
      <c r="E1532" s="3">
        <v>4.5</v>
      </c>
      <c r="F1532" s="3">
        <v>1.5</v>
      </c>
      <c r="G1532" s="4">
        <v>42878</v>
      </c>
    </row>
    <row r="1533" spans="2:18" x14ac:dyDescent="0.2">
      <c r="C1533" s="2" t="s">
        <v>4</v>
      </c>
      <c r="D1533" s="2" t="s">
        <v>803</v>
      </c>
      <c r="E1533" s="3">
        <v>0.12</v>
      </c>
      <c r="F1533" s="3">
        <v>0.12</v>
      </c>
      <c r="G1533" s="4">
        <v>42604</v>
      </c>
    </row>
    <row r="1534" spans="2:18" x14ac:dyDescent="0.2">
      <c r="C1534" s="2" t="s">
        <v>7</v>
      </c>
      <c r="D1534" s="2" t="s">
        <v>907</v>
      </c>
      <c r="E1534" s="3">
        <v>97.4</v>
      </c>
      <c r="F1534" s="3">
        <f>47/6</f>
        <v>7.833333333333333</v>
      </c>
      <c r="G1534" s="4">
        <v>45041</v>
      </c>
    </row>
    <row r="1535" spans="2:18" x14ac:dyDescent="0.2">
      <c r="C1535" s="2" t="s">
        <v>4</v>
      </c>
      <c r="D1535" s="2" t="s">
        <v>720</v>
      </c>
      <c r="E1535" s="3">
        <v>0.12</v>
      </c>
      <c r="F1535" s="3">
        <v>0.12</v>
      </c>
      <c r="G1535" s="4">
        <v>44068</v>
      </c>
    </row>
    <row r="1536" spans="2:18" x14ac:dyDescent="0.2">
      <c r="C1536" s="2" t="s">
        <v>4</v>
      </c>
      <c r="D1536" s="2" t="s">
        <v>709</v>
      </c>
      <c r="E1536" s="3">
        <v>5.5</v>
      </c>
      <c r="F1536" s="3">
        <v>0.5</v>
      </c>
      <c r="G1536" s="4">
        <v>45092</v>
      </c>
    </row>
    <row r="1537" spans="3:7" x14ac:dyDescent="0.2">
      <c r="C1537" s="2" t="s">
        <v>278</v>
      </c>
      <c r="D1537" s="2" t="s">
        <v>709</v>
      </c>
      <c r="E1537" s="3">
        <v>0.125</v>
      </c>
      <c r="F1537" s="3">
        <v>0.125</v>
      </c>
      <c r="G1537" s="4">
        <f>G1536</f>
        <v>45092</v>
      </c>
    </row>
    <row r="1538" spans="3:7" x14ac:dyDescent="0.2">
      <c r="C1538" s="2" t="s">
        <v>5</v>
      </c>
      <c r="D1538" s="2" t="s">
        <v>676</v>
      </c>
      <c r="E1538" s="3">
        <v>15</v>
      </c>
      <c r="F1538" s="3">
        <v>3.3</v>
      </c>
      <c r="G1538" s="4">
        <v>44482</v>
      </c>
    </row>
    <row r="1539" spans="3:7" x14ac:dyDescent="0.2">
      <c r="C1539" s="2" t="s">
        <v>4</v>
      </c>
      <c r="D1539" s="2" t="s">
        <v>676</v>
      </c>
      <c r="E1539" s="3">
        <v>4.5</v>
      </c>
      <c r="F1539" s="3">
        <v>0.5</v>
      </c>
      <c r="G1539" s="4">
        <v>44362</v>
      </c>
    </row>
    <row r="1540" spans="3:7" x14ac:dyDescent="0.2">
      <c r="C1540" s="2" t="s">
        <v>4</v>
      </c>
      <c r="D1540" s="2" t="s">
        <v>676</v>
      </c>
      <c r="E1540" s="3">
        <v>0.125</v>
      </c>
      <c r="F1540" s="3">
        <v>0.125</v>
      </c>
      <c r="G1540" s="4">
        <v>44246</v>
      </c>
    </row>
    <row r="1541" spans="3:7" x14ac:dyDescent="0.2">
      <c r="C1541" s="2" t="s">
        <v>5</v>
      </c>
      <c r="D1541" s="2" t="s">
        <v>1069</v>
      </c>
      <c r="E1541" s="3">
        <v>12.5</v>
      </c>
      <c r="F1541" s="3">
        <v>3</v>
      </c>
      <c r="G1541" s="4">
        <v>44978</v>
      </c>
    </row>
    <row r="1542" spans="3:7" x14ac:dyDescent="0.2">
      <c r="C1542" s="2" t="s">
        <v>278</v>
      </c>
      <c r="D1542" s="2" t="s">
        <v>620</v>
      </c>
      <c r="E1542" s="3">
        <v>0.5</v>
      </c>
      <c r="F1542" s="3">
        <v>0.5</v>
      </c>
      <c r="G1542" s="4">
        <v>45021</v>
      </c>
    </row>
    <row r="1543" spans="3:7" x14ac:dyDescent="0.2">
      <c r="C1543" s="2" t="s">
        <v>5</v>
      </c>
      <c r="D1543" s="2" t="s">
        <v>692</v>
      </c>
      <c r="E1543" s="3">
        <v>8</v>
      </c>
      <c r="F1543" s="3">
        <v>1</v>
      </c>
      <c r="G1543" s="4">
        <v>43249</v>
      </c>
    </row>
    <row r="1544" spans="3:7" x14ac:dyDescent="0.2">
      <c r="C1544" s="2" t="s">
        <v>278</v>
      </c>
      <c r="D1544" s="2" t="s">
        <v>692</v>
      </c>
      <c r="E1544" s="3">
        <v>0.12</v>
      </c>
      <c r="F1544" s="3">
        <v>0.12</v>
      </c>
      <c r="G1544" s="4">
        <v>43104</v>
      </c>
    </row>
    <row r="1545" spans="3:7" x14ac:dyDescent="0.2">
      <c r="C1545" s="2" t="s">
        <v>278</v>
      </c>
      <c r="D1545" s="2" t="s">
        <v>584</v>
      </c>
      <c r="E1545" s="3">
        <v>0.12</v>
      </c>
      <c r="F1545" s="3">
        <v>0.12</v>
      </c>
      <c r="G1545" s="4">
        <v>44439</v>
      </c>
    </row>
    <row r="1546" spans="3:7" x14ac:dyDescent="0.2">
      <c r="C1546" s="2" t="s">
        <v>18</v>
      </c>
      <c r="D1546" s="2" t="s">
        <v>520</v>
      </c>
      <c r="E1546" s="3">
        <v>60</v>
      </c>
      <c r="F1546" s="3">
        <v>5</v>
      </c>
      <c r="G1546" s="4">
        <v>43606</v>
      </c>
    </row>
    <row r="1547" spans="3:7" x14ac:dyDescent="0.2">
      <c r="C1547" s="2" t="s">
        <v>7</v>
      </c>
      <c r="D1547" s="2" t="s">
        <v>520</v>
      </c>
      <c r="E1547" s="3">
        <v>30</v>
      </c>
      <c r="F1547" s="3">
        <v>5</v>
      </c>
      <c r="G1547" s="4">
        <v>43396</v>
      </c>
    </row>
    <row r="1548" spans="3:7" x14ac:dyDescent="0.2">
      <c r="C1548" s="2" t="s">
        <v>4</v>
      </c>
      <c r="D1548" s="2" t="s">
        <v>520</v>
      </c>
      <c r="E1548" s="3">
        <v>3</v>
      </c>
      <c r="F1548" s="3">
        <v>0.5</v>
      </c>
      <c r="G1548" s="4">
        <v>42606</v>
      </c>
    </row>
    <row r="1549" spans="3:7" x14ac:dyDescent="0.2">
      <c r="C1549" s="2" t="s">
        <v>7</v>
      </c>
      <c r="D1549" s="2" t="s">
        <v>446</v>
      </c>
      <c r="E1549" s="3">
        <v>30</v>
      </c>
      <c r="F1549" s="3">
        <v>5</v>
      </c>
      <c r="G1549" s="4">
        <v>44756</v>
      </c>
    </row>
    <row r="1550" spans="3:7" x14ac:dyDescent="0.2">
      <c r="C1550" s="2" t="s">
        <v>5</v>
      </c>
      <c r="D1550" s="2" t="s">
        <v>446</v>
      </c>
      <c r="E1550" s="3">
        <v>28</v>
      </c>
      <c r="F1550" s="3">
        <v>5</v>
      </c>
      <c r="G1550" s="4">
        <v>44624</v>
      </c>
    </row>
    <row r="1551" spans="3:7" x14ac:dyDescent="0.2">
      <c r="C1551" s="2" t="s">
        <v>4</v>
      </c>
      <c r="D1551" s="2" t="s">
        <v>446</v>
      </c>
      <c r="E1551" s="3">
        <v>0.12</v>
      </c>
      <c r="F1551" s="3">
        <v>0.12</v>
      </c>
      <c r="G1551" s="4">
        <v>42970</v>
      </c>
    </row>
    <row r="1552" spans="3:7" x14ac:dyDescent="0.2">
      <c r="C1552" s="2" t="s">
        <v>4</v>
      </c>
      <c r="D1552" s="2" t="s">
        <v>277</v>
      </c>
      <c r="E1552" s="3">
        <v>0.125</v>
      </c>
      <c r="F1552" s="3">
        <v>0.125</v>
      </c>
      <c r="G1552" s="4">
        <v>44265</v>
      </c>
    </row>
    <row r="1553" spans="2:18" x14ac:dyDescent="0.2">
      <c r="C1553" s="2" t="s">
        <v>4</v>
      </c>
      <c r="D1553" s="2" t="s">
        <v>1068</v>
      </c>
      <c r="E1553" s="3">
        <v>1.6</v>
      </c>
      <c r="F1553" s="3">
        <f>E1553/2</f>
        <v>0.8</v>
      </c>
      <c r="G1553" s="4">
        <v>43060</v>
      </c>
    </row>
    <row r="1554" spans="2:18" x14ac:dyDescent="0.2">
      <c r="C1554" s="2" t="s">
        <v>4</v>
      </c>
      <c r="D1554" s="2" t="s">
        <v>87</v>
      </c>
      <c r="E1554" s="3">
        <v>5.3</v>
      </c>
      <c r="F1554" s="3">
        <f>4/7</f>
        <v>0.5714285714285714</v>
      </c>
      <c r="G1554" s="4">
        <v>43398</v>
      </c>
    </row>
    <row r="1555" spans="2:18" x14ac:dyDescent="0.2">
      <c r="C1555" s="2" t="s">
        <v>4</v>
      </c>
      <c r="D1555" s="2" t="s">
        <v>87</v>
      </c>
      <c r="E1555" s="3">
        <v>4</v>
      </c>
      <c r="F1555" s="3">
        <f>2.5/4</f>
        <v>0.625</v>
      </c>
      <c r="G1555" s="4">
        <v>43122</v>
      </c>
    </row>
    <row r="1556" spans="2:18" x14ac:dyDescent="0.2">
      <c r="C1556" s="141" t="s">
        <v>4</v>
      </c>
      <c r="D1556" s="141" t="s">
        <v>6328</v>
      </c>
      <c r="E1556" s="3">
        <v>5</v>
      </c>
      <c r="F1556" s="3">
        <v>0.5</v>
      </c>
      <c r="G1556" s="4">
        <v>43335</v>
      </c>
    </row>
    <row r="1557" spans="2:18" x14ac:dyDescent="0.2">
      <c r="C1557" s="185" t="s">
        <v>4</v>
      </c>
      <c r="D1557" s="185" t="s">
        <v>2033</v>
      </c>
      <c r="E1557" s="3">
        <v>2</v>
      </c>
      <c r="F1557" s="3">
        <v>0.5</v>
      </c>
      <c r="G1557" s="4">
        <v>43522</v>
      </c>
    </row>
    <row r="1558" spans="2:18" x14ac:dyDescent="0.2">
      <c r="C1558" s="253" t="s">
        <v>278</v>
      </c>
      <c r="D1558" s="253" t="s">
        <v>7616</v>
      </c>
      <c r="E1558" s="3">
        <v>0.5</v>
      </c>
      <c r="F1558" s="3">
        <v>0.5</v>
      </c>
      <c r="G1558" s="4">
        <v>43696</v>
      </c>
    </row>
    <row r="1559" spans="2:18" x14ac:dyDescent="0.2">
      <c r="C1559" s="253" t="s">
        <v>4</v>
      </c>
      <c r="D1559" s="253" t="s">
        <v>7616</v>
      </c>
      <c r="E1559" s="3">
        <v>2.2000000000000002</v>
      </c>
      <c r="F1559" s="3">
        <f>1.2/3</f>
        <v>0.39999999999999997</v>
      </c>
      <c r="G1559" s="4">
        <v>43906</v>
      </c>
    </row>
    <row r="1560" spans="2:18" x14ac:dyDescent="0.2">
      <c r="G1560" s="4"/>
    </row>
    <row r="1561" spans="2:18" x14ac:dyDescent="0.2">
      <c r="B1561" s="12" t="s">
        <v>985</v>
      </c>
      <c r="C1561" s="13" t="s">
        <v>969</v>
      </c>
      <c r="D1561" s="13" t="s">
        <v>968</v>
      </c>
      <c r="F1561" s="15">
        <f>SUM(F1562:F1566)</f>
        <v>63.18518518518519</v>
      </c>
      <c r="G1561" s="14">
        <f>G1563</f>
        <v>44467</v>
      </c>
    </row>
    <row r="1562" spans="2:18" x14ac:dyDescent="0.2">
      <c r="C1562" s="2" t="s">
        <v>5</v>
      </c>
      <c r="D1562" s="2" t="s">
        <v>832</v>
      </c>
      <c r="E1562" s="3">
        <v>20</v>
      </c>
      <c r="F1562" s="3">
        <f>12/6</f>
        <v>2</v>
      </c>
      <c r="G1562" s="4">
        <v>43816</v>
      </c>
    </row>
    <row r="1563" spans="2:18" x14ac:dyDescent="0.2">
      <c r="C1563" s="2" t="s">
        <v>5</v>
      </c>
      <c r="D1563" s="2" t="s">
        <v>984</v>
      </c>
      <c r="E1563" s="3">
        <v>19</v>
      </c>
      <c r="F1563" s="3">
        <v>4</v>
      </c>
      <c r="G1563" s="4">
        <v>44467</v>
      </c>
    </row>
    <row r="1564" spans="2:18" x14ac:dyDescent="0.2">
      <c r="C1564" s="2" t="s">
        <v>5</v>
      </c>
      <c r="D1564" s="2" t="s">
        <v>281</v>
      </c>
      <c r="E1564" s="3">
        <v>26</v>
      </c>
      <c r="F1564" s="3">
        <v>4.333333333333333</v>
      </c>
      <c r="G1564" s="4">
        <v>44453</v>
      </c>
    </row>
    <row r="1565" spans="2:18" x14ac:dyDescent="0.2">
      <c r="C1565" s="2" t="s">
        <v>4</v>
      </c>
      <c r="D1565" s="2" t="s">
        <v>281</v>
      </c>
      <c r="E1565" s="3">
        <v>6.2</v>
      </c>
      <c r="F1565" s="3">
        <v>1</v>
      </c>
      <c r="G1565" s="4">
        <v>44201</v>
      </c>
    </row>
    <row r="1566" spans="2:18" x14ac:dyDescent="0.2">
      <c r="C1566" s="282" t="s">
        <v>2489</v>
      </c>
      <c r="D1566" s="282" t="s">
        <v>1006</v>
      </c>
      <c r="E1566" s="3">
        <v>1600</v>
      </c>
      <c r="F1566" s="3">
        <f>1400/27</f>
        <v>51.851851851851855</v>
      </c>
      <c r="G1566" s="4">
        <v>44439</v>
      </c>
    </row>
    <row r="1567" spans="2:18" x14ac:dyDescent="0.2">
      <c r="G1567" s="4"/>
    </row>
    <row r="1568" spans="2:18" s="12" customFormat="1" x14ac:dyDescent="0.2">
      <c r="B1568" s="12" t="s">
        <v>220</v>
      </c>
      <c r="C1568" s="13" t="s">
        <v>969</v>
      </c>
      <c r="D1568" s="13" t="s">
        <v>968</v>
      </c>
      <c r="E1568" s="15"/>
      <c r="F1568" s="15">
        <f>SUM(F1569:F1570)</f>
        <v>63.166666666666671</v>
      </c>
      <c r="G1568" s="14">
        <f>G1570</f>
        <v>44550</v>
      </c>
      <c r="M1568" s="13"/>
      <c r="N1568" s="13"/>
      <c r="O1568" s="13"/>
      <c r="P1568" s="13"/>
      <c r="Q1568" s="13"/>
      <c r="R1568" s="13"/>
    </row>
    <row r="1569" spans="2:18" x14ac:dyDescent="0.2">
      <c r="C1569" s="2" t="s">
        <v>18</v>
      </c>
      <c r="D1569" s="2" t="s">
        <v>211</v>
      </c>
      <c r="E1569" s="3">
        <v>230</v>
      </c>
      <c r="F1569" s="3">
        <f>E1569/6</f>
        <v>38.333333333333336</v>
      </c>
      <c r="G1569" s="4">
        <v>43923</v>
      </c>
    </row>
    <row r="1570" spans="2:18" x14ac:dyDescent="0.2">
      <c r="C1570" s="2" t="s">
        <v>7</v>
      </c>
      <c r="D1570" s="2" t="s">
        <v>64</v>
      </c>
      <c r="E1570" s="3">
        <f>1600/7</f>
        <v>228.57142857142858</v>
      </c>
      <c r="F1570" s="3">
        <f>149/6</f>
        <v>24.833333333333332</v>
      </c>
      <c r="G1570" s="4">
        <v>44550</v>
      </c>
    </row>
    <row r="1571" spans="2:18" x14ac:dyDescent="0.2">
      <c r="G1571" s="4"/>
    </row>
    <row r="1572" spans="2:18" s="12" customFormat="1" x14ac:dyDescent="0.2">
      <c r="B1572" s="12" t="s">
        <v>6833</v>
      </c>
      <c r="C1572" s="13" t="s">
        <v>969</v>
      </c>
      <c r="D1572" s="13" t="s">
        <v>968</v>
      </c>
      <c r="E1572" s="15"/>
      <c r="F1572" s="15">
        <f>SUM(F1573:F1574)</f>
        <v>62.5</v>
      </c>
      <c r="G1572" s="14">
        <f>G1573</f>
        <v>44578</v>
      </c>
      <c r="M1572" s="13"/>
      <c r="N1572" s="13"/>
      <c r="O1572" s="13"/>
      <c r="P1572" s="13"/>
      <c r="Q1572" s="13"/>
      <c r="R1572" s="13"/>
    </row>
    <row r="1573" spans="2:18" x14ac:dyDescent="0.2">
      <c r="B1573" s="266" t="s">
        <v>7663</v>
      </c>
      <c r="C1573" s="2" t="s">
        <v>7</v>
      </c>
      <c r="D1573" s="2" t="s">
        <v>2132</v>
      </c>
      <c r="E1573" s="3">
        <f>176</f>
        <v>176</v>
      </c>
      <c r="F1573" s="3">
        <f>150/12</f>
        <v>12.5</v>
      </c>
      <c r="G1573" s="4">
        <v>44578</v>
      </c>
    </row>
    <row r="1574" spans="2:18" x14ac:dyDescent="0.2">
      <c r="C1574" s="52" t="s">
        <v>18</v>
      </c>
      <c r="D1574" s="52" t="s">
        <v>2121</v>
      </c>
      <c r="E1574" s="3">
        <v>300</v>
      </c>
      <c r="F1574" s="3">
        <v>50</v>
      </c>
      <c r="G1574" s="4">
        <v>44300</v>
      </c>
      <c r="I1574" s="1">
        <v>700</v>
      </c>
      <c r="J1574" s="1">
        <v>700</v>
      </c>
    </row>
    <row r="1575" spans="2:18" x14ac:dyDescent="0.2">
      <c r="G1575" s="4"/>
    </row>
    <row r="1576" spans="2:18" s="12" customFormat="1" x14ac:dyDescent="0.2">
      <c r="B1576" s="12" t="s">
        <v>1067</v>
      </c>
      <c r="C1576" s="13" t="s">
        <v>969</v>
      </c>
      <c r="D1576" s="13" t="s">
        <v>968</v>
      </c>
      <c r="E1576" s="15"/>
      <c r="F1576" s="15">
        <f>SUM(F1577:F1590)</f>
        <v>62.685714285714283</v>
      </c>
      <c r="G1576" s="14">
        <f>G1579</f>
        <v>44727</v>
      </c>
      <c r="I1576" s="12" t="s">
        <v>7598</v>
      </c>
    </row>
    <row r="1577" spans="2:18" x14ac:dyDescent="0.2">
      <c r="C1577" s="2" t="s">
        <v>5</v>
      </c>
      <c r="D1577" s="2" t="s">
        <v>986</v>
      </c>
      <c r="E1577" s="3">
        <v>25</v>
      </c>
      <c r="F1577" s="3">
        <f>15/4</f>
        <v>3.75</v>
      </c>
      <c r="G1577" s="4">
        <v>44615</v>
      </c>
    </row>
    <row r="1578" spans="2:18" x14ac:dyDescent="0.2">
      <c r="C1578" s="2" t="s">
        <v>5</v>
      </c>
      <c r="D1578" s="2" t="s">
        <v>735</v>
      </c>
      <c r="E1578" s="3">
        <v>21</v>
      </c>
      <c r="F1578" s="3">
        <f>14/5</f>
        <v>2.8</v>
      </c>
      <c r="G1578" s="4">
        <v>44489</v>
      </c>
    </row>
    <row r="1579" spans="2:18" x14ac:dyDescent="0.2">
      <c r="C1579" s="2" t="s">
        <v>5</v>
      </c>
      <c r="D1579" s="2" t="s">
        <v>465</v>
      </c>
      <c r="E1579" s="3">
        <v>15.5</v>
      </c>
      <c r="F1579" s="3">
        <v>3</v>
      </c>
      <c r="G1579" s="4">
        <v>44727</v>
      </c>
    </row>
    <row r="1580" spans="2:18" x14ac:dyDescent="0.2">
      <c r="C1580" s="2" t="s">
        <v>4</v>
      </c>
      <c r="D1580" s="2" t="s">
        <v>424</v>
      </c>
      <c r="E1580" s="3">
        <v>7</v>
      </c>
      <c r="F1580" s="3">
        <v>0.7142857142857143</v>
      </c>
      <c r="G1580" s="4">
        <v>43046</v>
      </c>
    </row>
    <row r="1581" spans="2:18" x14ac:dyDescent="0.2">
      <c r="C1581" s="2" t="s">
        <v>7</v>
      </c>
      <c r="D1581" s="2" t="s">
        <v>363</v>
      </c>
      <c r="E1581" s="3">
        <v>120</v>
      </c>
      <c r="F1581" s="3">
        <f>90/8</f>
        <v>11.25</v>
      </c>
      <c r="G1581" s="4">
        <v>44602</v>
      </c>
    </row>
    <row r="1582" spans="2:18" x14ac:dyDescent="0.2">
      <c r="C1582" s="2" t="s">
        <v>5</v>
      </c>
      <c r="D1582" s="2" t="s">
        <v>313</v>
      </c>
      <c r="E1582" s="3">
        <v>57</v>
      </c>
      <c r="F1582" s="3">
        <v>6</v>
      </c>
      <c r="G1582" s="4">
        <v>44508</v>
      </c>
    </row>
    <row r="1583" spans="2:18" x14ac:dyDescent="0.2">
      <c r="C1583" s="2" t="s">
        <v>18</v>
      </c>
      <c r="D1583" s="2" t="s">
        <v>292</v>
      </c>
      <c r="E1583" s="3">
        <v>38</v>
      </c>
      <c r="F1583" s="3">
        <f>20/6</f>
        <v>3.3333333333333335</v>
      </c>
      <c r="G1583" s="4">
        <v>43104</v>
      </c>
    </row>
    <row r="1584" spans="2:18" x14ac:dyDescent="0.2">
      <c r="C1584" s="2" t="s">
        <v>8</v>
      </c>
      <c r="D1584" s="2" t="s">
        <v>131</v>
      </c>
      <c r="E1584" s="3">
        <v>135</v>
      </c>
      <c r="F1584" s="3">
        <f>115/14</f>
        <v>8.2142857142857135</v>
      </c>
      <c r="G1584" s="4">
        <v>44880</v>
      </c>
    </row>
    <row r="1585" spans="2:18" x14ac:dyDescent="0.2">
      <c r="C1585" s="2" t="s">
        <v>9</v>
      </c>
      <c r="D1585" s="2" t="s">
        <v>22</v>
      </c>
      <c r="E1585" s="3">
        <v>222</v>
      </c>
      <c r="F1585" s="3">
        <f>200/21</f>
        <v>9.5238095238095237</v>
      </c>
      <c r="G1585" s="4">
        <v>44194</v>
      </c>
      <c r="I1585" s="1">
        <v>2500</v>
      </c>
      <c r="J1585" s="1">
        <v>2500</v>
      </c>
    </row>
    <row r="1586" spans="2:18" x14ac:dyDescent="0.2">
      <c r="C1586" s="2" t="s">
        <v>18</v>
      </c>
      <c r="D1586" s="2" t="s">
        <v>22</v>
      </c>
      <c r="E1586" s="3">
        <v>50</v>
      </c>
      <c r="F1586" s="3">
        <v>5</v>
      </c>
      <c r="G1586" s="4">
        <v>43051</v>
      </c>
      <c r="J1586" s="1">
        <v>2500</v>
      </c>
    </row>
    <row r="1587" spans="2:18" x14ac:dyDescent="0.2">
      <c r="C1587" s="2" t="s">
        <v>5</v>
      </c>
      <c r="D1587" s="2" t="s">
        <v>22</v>
      </c>
      <c r="E1587" s="3">
        <v>30</v>
      </c>
      <c r="F1587" s="3">
        <v>5</v>
      </c>
      <c r="G1587" s="4">
        <v>42674</v>
      </c>
      <c r="J1587" s="1">
        <v>2500</v>
      </c>
    </row>
    <row r="1588" spans="2:18" x14ac:dyDescent="0.2">
      <c r="C1588" s="185" t="s">
        <v>5</v>
      </c>
      <c r="D1588" s="185" t="s">
        <v>6794</v>
      </c>
      <c r="E1588" s="3">
        <v>11</v>
      </c>
      <c r="F1588" s="3">
        <v>2</v>
      </c>
      <c r="G1588" s="4">
        <v>43215</v>
      </c>
    </row>
    <row r="1589" spans="2:18" x14ac:dyDescent="0.2">
      <c r="C1589" s="253" t="s">
        <v>5</v>
      </c>
      <c r="D1589" s="253" t="s">
        <v>2013</v>
      </c>
      <c r="E1589" s="3">
        <v>9</v>
      </c>
      <c r="F1589" s="3">
        <f>6/4</f>
        <v>1.5</v>
      </c>
      <c r="G1589" s="4">
        <v>44540</v>
      </c>
    </row>
    <row r="1590" spans="2:18" x14ac:dyDescent="0.2">
      <c r="C1590" s="253" t="s">
        <v>4</v>
      </c>
      <c r="D1590" s="253" t="s">
        <v>7617</v>
      </c>
      <c r="E1590" s="3">
        <v>2.2000000000000002</v>
      </c>
      <c r="F1590" s="3">
        <v>0.6</v>
      </c>
      <c r="G1590" s="4">
        <v>43544</v>
      </c>
    </row>
    <row r="1591" spans="2:18" x14ac:dyDescent="0.2">
      <c r="G1591" s="4"/>
    </row>
    <row r="1592" spans="2:18" s="12" customFormat="1" x14ac:dyDescent="0.2">
      <c r="B1592" s="12" t="s">
        <v>25</v>
      </c>
      <c r="C1592" s="13" t="s">
        <v>969</v>
      </c>
      <c r="D1592" s="13" t="s">
        <v>968</v>
      </c>
      <c r="E1592" s="15"/>
      <c r="F1592" s="15">
        <f>SUM(F1593:F1594)</f>
        <v>59.523809523809526</v>
      </c>
      <c r="G1592" s="14">
        <f>G1593</f>
        <v>44194</v>
      </c>
      <c r="M1592" s="13"/>
      <c r="N1592" s="13"/>
      <c r="O1592" s="13"/>
      <c r="P1592" s="13"/>
      <c r="Q1592" s="13"/>
      <c r="R1592" s="13"/>
    </row>
    <row r="1593" spans="2:18" x14ac:dyDescent="0.2">
      <c r="C1593" s="2" t="s">
        <v>9</v>
      </c>
      <c r="D1593" s="2" t="s">
        <v>22</v>
      </c>
      <c r="E1593" s="3">
        <v>222</v>
      </c>
      <c r="F1593" s="3">
        <f>200/21</f>
        <v>9.5238095238095237</v>
      </c>
      <c r="G1593" s="4">
        <v>44194</v>
      </c>
      <c r="I1593" s="1">
        <v>2500</v>
      </c>
      <c r="J1593" s="1">
        <v>2500</v>
      </c>
    </row>
    <row r="1594" spans="2:18" x14ac:dyDescent="0.2">
      <c r="C1594" s="2" t="s">
        <v>8</v>
      </c>
      <c r="D1594" s="2" t="s">
        <v>22</v>
      </c>
      <c r="E1594" s="3">
        <v>150</v>
      </c>
      <c r="F1594" s="3">
        <v>50</v>
      </c>
      <c r="G1594" s="4">
        <v>43885</v>
      </c>
      <c r="I1594" s="1">
        <v>1800</v>
      </c>
      <c r="J1594" s="1">
        <v>2500</v>
      </c>
    </row>
    <row r="1595" spans="2:18" x14ac:dyDescent="0.2">
      <c r="G1595" s="4"/>
    </row>
    <row r="1596" spans="2:18" s="12" customFormat="1" x14ac:dyDescent="0.2">
      <c r="B1596" s="12" t="s">
        <v>24</v>
      </c>
      <c r="C1596" s="13" t="s">
        <v>969</v>
      </c>
      <c r="D1596" s="13" t="s">
        <v>968</v>
      </c>
      <c r="E1596" s="15"/>
      <c r="F1596" s="15">
        <f>SUM(F1597:F1598)</f>
        <v>59.523809523809526</v>
      </c>
      <c r="G1596" s="14">
        <f>G1597</f>
        <v>44194</v>
      </c>
      <c r="M1596" s="13"/>
      <c r="N1596" s="13"/>
      <c r="O1596" s="13"/>
      <c r="P1596" s="13"/>
      <c r="Q1596" s="13"/>
      <c r="R1596" s="13"/>
    </row>
    <row r="1597" spans="2:18" x14ac:dyDescent="0.2">
      <c r="C1597" s="2" t="s">
        <v>9</v>
      </c>
      <c r="D1597" s="2" t="s">
        <v>22</v>
      </c>
      <c r="E1597" s="3">
        <v>222</v>
      </c>
      <c r="F1597" s="3">
        <f>200/21</f>
        <v>9.5238095238095237</v>
      </c>
      <c r="G1597" s="4">
        <v>44194</v>
      </c>
      <c r="I1597" s="1">
        <v>2500</v>
      </c>
      <c r="J1597" s="1">
        <v>2500</v>
      </c>
    </row>
    <row r="1598" spans="2:18" x14ac:dyDescent="0.2">
      <c r="C1598" s="2" t="s">
        <v>8</v>
      </c>
      <c r="D1598" s="2" t="s">
        <v>22</v>
      </c>
      <c r="E1598" s="3">
        <v>150</v>
      </c>
      <c r="F1598" s="3">
        <v>50</v>
      </c>
      <c r="G1598" s="4">
        <v>43885</v>
      </c>
      <c r="I1598" s="1">
        <v>1800</v>
      </c>
      <c r="J1598" s="1">
        <v>2500</v>
      </c>
    </row>
    <row r="1599" spans="2:18" x14ac:dyDescent="0.2">
      <c r="G1599" s="4"/>
    </row>
    <row r="1600" spans="2:18" s="12" customFormat="1" x14ac:dyDescent="0.2">
      <c r="B1600" s="12" t="s">
        <v>6832</v>
      </c>
      <c r="C1600" s="13" t="s">
        <v>969</v>
      </c>
      <c r="D1600" s="13" t="s">
        <v>968</v>
      </c>
      <c r="E1600" s="15"/>
      <c r="F1600" s="15">
        <f>SUM(F1601:F1603)</f>
        <v>59.383333333333333</v>
      </c>
      <c r="G1600" s="14">
        <f>G1601</f>
        <v>44600</v>
      </c>
    </row>
    <row r="1601" spans="2:18" x14ac:dyDescent="0.2">
      <c r="B1601" s="266" t="s">
        <v>7663</v>
      </c>
      <c r="C1601" s="2" t="s">
        <v>7</v>
      </c>
      <c r="D1601" s="2" t="s">
        <v>456</v>
      </c>
      <c r="E1601" s="3">
        <v>26.8</v>
      </c>
      <c r="F1601" s="3">
        <v>6.8</v>
      </c>
      <c r="G1601" s="4">
        <v>44600</v>
      </c>
      <c r="M1601" s="1"/>
      <c r="N1601" s="1"/>
      <c r="O1601" s="1"/>
      <c r="P1601" s="1"/>
      <c r="Q1601" s="1"/>
      <c r="R1601" s="1"/>
    </row>
    <row r="1602" spans="2:18" x14ac:dyDescent="0.2">
      <c r="C1602" s="2" t="s">
        <v>53</v>
      </c>
      <c r="D1602" s="2" t="s">
        <v>176</v>
      </c>
      <c r="E1602" s="3">
        <v>475</v>
      </c>
      <c r="F1602" s="3">
        <f>E1602/12</f>
        <v>39.583333333333336</v>
      </c>
      <c r="G1602" s="4">
        <v>44278</v>
      </c>
      <c r="M1602" s="1"/>
      <c r="N1602" s="1"/>
      <c r="O1602" s="1"/>
      <c r="P1602" s="1"/>
      <c r="Q1602" s="1"/>
      <c r="R1602" s="1"/>
    </row>
    <row r="1603" spans="2:18" x14ac:dyDescent="0.2">
      <c r="C1603" s="2" t="s">
        <v>7</v>
      </c>
      <c r="D1603" s="2" t="s">
        <v>2132</v>
      </c>
      <c r="E1603" s="3">
        <v>176</v>
      </c>
      <c r="F1603" s="3">
        <v>13</v>
      </c>
      <c r="G1603" s="4">
        <v>44578</v>
      </c>
      <c r="M1603" s="1"/>
      <c r="N1603" s="1"/>
      <c r="O1603" s="1"/>
      <c r="P1603" s="1"/>
      <c r="Q1603" s="1"/>
      <c r="R1603" s="1"/>
    </row>
    <row r="1604" spans="2:18" x14ac:dyDescent="0.2">
      <c r="G1604" s="4"/>
      <c r="M1604" s="1"/>
      <c r="N1604" s="1"/>
      <c r="O1604" s="1"/>
      <c r="P1604" s="1"/>
      <c r="Q1604" s="1"/>
      <c r="R1604" s="1"/>
    </row>
    <row r="1605" spans="2:18" s="12" customFormat="1" x14ac:dyDescent="0.2">
      <c r="B1605" s="12" t="s">
        <v>156</v>
      </c>
      <c r="C1605" s="13" t="s">
        <v>969</v>
      </c>
      <c r="D1605" s="13" t="s">
        <v>968</v>
      </c>
      <c r="E1605" s="15"/>
      <c r="F1605" s="15">
        <f>SUM(F1606:F1610)</f>
        <v>58.214285714285715</v>
      </c>
      <c r="G1605" s="14">
        <f>G1606</f>
        <v>44067</v>
      </c>
      <c r="M1605" s="13"/>
      <c r="N1605" s="13"/>
      <c r="O1605" s="13"/>
      <c r="P1605" s="13"/>
      <c r="Q1605" s="13"/>
      <c r="R1605" s="13"/>
    </row>
    <row r="1606" spans="2:18" x14ac:dyDescent="0.2">
      <c r="C1606" s="2" t="s">
        <v>18</v>
      </c>
      <c r="D1606" s="2" t="s">
        <v>154</v>
      </c>
      <c r="E1606" s="3">
        <v>101</v>
      </c>
      <c r="F1606" s="3">
        <v>25</v>
      </c>
      <c r="G1606" s="4">
        <v>44067</v>
      </c>
    </row>
    <row r="1607" spans="2:18" x14ac:dyDescent="0.2">
      <c r="C1607" s="2" t="s">
        <v>4</v>
      </c>
      <c r="D1607" s="2" t="s">
        <v>154</v>
      </c>
      <c r="E1607" s="3">
        <v>4</v>
      </c>
      <c r="F1607" s="3">
        <v>1.5</v>
      </c>
      <c r="G1607" s="4">
        <v>42023</v>
      </c>
    </row>
    <row r="1608" spans="2:18" x14ac:dyDescent="0.2">
      <c r="C1608" s="2" t="s">
        <v>18</v>
      </c>
      <c r="D1608" s="2" t="s">
        <v>32</v>
      </c>
      <c r="E1608" s="3">
        <v>230</v>
      </c>
      <c r="F1608" s="3">
        <f>110/7</f>
        <v>15.714285714285714</v>
      </c>
      <c r="G1608" s="4">
        <v>43634</v>
      </c>
    </row>
    <row r="1609" spans="2:18" x14ac:dyDescent="0.2">
      <c r="C1609" s="2" t="s">
        <v>7</v>
      </c>
      <c r="D1609" s="2" t="s">
        <v>32</v>
      </c>
      <c r="E1609" s="3">
        <v>45</v>
      </c>
      <c r="F1609" s="3">
        <v>11</v>
      </c>
      <c r="G1609" s="4">
        <v>43263</v>
      </c>
    </row>
    <row r="1610" spans="2:18" x14ac:dyDescent="0.2">
      <c r="C1610" s="2" t="s">
        <v>5</v>
      </c>
      <c r="D1610" s="2" t="s">
        <v>32</v>
      </c>
      <c r="E1610" s="3">
        <v>18</v>
      </c>
      <c r="F1610" s="3">
        <v>5</v>
      </c>
      <c r="G1610" s="4">
        <v>42983</v>
      </c>
    </row>
    <row r="1611" spans="2:18" x14ac:dyDescent="0.2">
      <c r="G1611" s="4"/>
    </row>
    <row r="1612" spans="2:18" x14ac:dyDescent="0.2">
      <c r="B1612" s="12" t="s">
        <v>1066</v>
      </c>
      <c r="C1612" s="13" t="s">
        <v>969</v>
      </c>
      <c r="D1612" s="13" t="s">
        <v>968</v>
      </c>
      <c r="F1612" s="15">
        <f>SUM(F1613:F1617)</f>
        <v>56.133333333333333</v>
      </c>
      <c r="G1612" s="14">
        <f>G1614</f>
        <v>45070</v>
      </c>
    </row>
    <row r="1613" spans="2:18" x14ac:dyDescent="0.2">
      <c r="C1613" s="2" t="s">
        <v>18</v>
      </c>
      <c r="D1613" s="2" t="s">
        <v>952</v>
      </c>
      <c r="E1613" s="3">
        <v>270</v>
      </c>
      <c r="F1613" s="3">
        <v>50</v>
      </c>
      <c r="G1613" s="4">
        <v>45048</v>
      </c>
    </row>
    <row r="1614" spans="2:18" x14ac:dyDescent="0.2">
      <c r="C1614" s="2" t="s">
        <v>5</v>
      </c>
      <c r="D1614" s="2" t="s">
        <v>783</v>
      </c>
      <c r="E1614" s="3">
        <v>10.9</v>
      </c>
      <c r="F1614" s="3">
        <f>8/6</f>
        <v>1.3333333333333333</v>
      </c>
      <c r="G1614" s="4">
        <v>45070</v>
      </c>
    </row>
    <row r="1615" spans="2:18" x14ac:dyDescent="0.2">
      <c r="C1615" s="2" t="s">
        <v>5</v>
      </c>
      <c r="D1615" s="2" t="s">
        <v>703</v>
      </c>
      <c r="E1615" s="3">
        <v>6</v>
      </c>
      <c r="F1615" s="3">
        <v>1</v>
      </c>
      <c r="G1615" s="4">
        <v>44917</v>
      </c>
    </row>
    <row r="1616" spans="2:18" x14ac:dyDescent="0.2">
      <c r="C1616" s="2" t="s">
        <v>4</v>
      </c>
      <c r="D1616" s="2" t="s">
        <v>703</v>
      </c>
      <c r="E1616" s="3">
        <v>3.6</v>
      </c>
      <c r="F1616" s="3">
        <v>1.8</v>
      </c>
      <c r="G1616" s="4">
        <v>43361</v>
      </c>
    </row>
    <row r="1617" spans="2:18" x14ac:dyDescent="0.2">
      <c r="C1617" s="2" t="s">
        <v>5</v>
      </c>
      <c r="D1617" s="2" t="s">
        <v>298</v>
      </c>
      <c r="E1617" s="3">
        <v>15</v>
      </c>
      <c r="F1617" s="3">
        <v>2</v>
      </c>
      <c r="G1617" s="4">
        <v>44314</v>
      </c>
    </row>
    <row r="1618" spans="2:18" x14ac:dyDescent="0.2">
      <c r="G1618" s="4"/>
    </row>
    <row r="1619" spans="2:18" s="12" customFormat="1" x14ac:dyDescent="0.2">
      <c r="B1619" s="12" t="s">
        <v>157</v>
      </c>
      <c r="C1619" s="13" t="s">
        <v>969</v>
      </c>
      <c r="D1619" s="13" t="s">
        <v>968</v>
      </c>
      <c r="E1619" s="15"/>
      <c r="F1619" s="15">
        <f>SUM(F1620:F1621)</f>
        <v>55</v>
      </c>
      <c r="G1619" s="14">
        <f>G1621</f>
        <v>44557</v>
      </c>
      <c r="M1619" s="13"/>
      <c r="N1619" s="13"/>
      <c r="O1619" s="13"/>
      <c r="P1619" s="13"/>
      <c r="Q1619" s="13"/>
      <c r="R1619" s="13"/>
    </row>
    <row r="1620" spans="2:18" x14ac:dyDescent="0.2">
      <c r="C1620" s="2" t="s">
        <v>8</v>
      </c>
      <c r="D1620" s="2" t="s">
        <v>154</v>
      </c>
      <c r="E1620" s="3">
        <v>100</v>
      </c>
      <c r="F1620" s="3">
        <v>25</v>
      </c>
      <c r="G1620" s="4">
        <v>44067</v>
      </c>
    </row>
    <row r="1621" spans="2:18" x14ac:dyDescent="0.2">
      <c r="C1621" s="2" t="s">
        <v>18</v>
      </c>
      <c r="D1621" s="2" t="s">
        <v>2130</v>
      </c>
      <c r="E1621" s="3">
        <v>200</v>
      </c>
      <c r="F1621" s="3">
        <v>30</v>
      </c>
      <c r="G1621" s="4">
        <v>44557</v>
      </c>
      <c r="I1621" s="1">
        <v>1300</v>
      </c>
      <c r="J1621" s="1">
        <v>1300</v>
      </c>
    </row>
    <row r="1622" spans="2:18" x14ac:dyDescent="0.2">
      <c r="G1622" s="4"/>
    </row>
    <row r="1623" spans="2:18" s="12" customFormat="1" x14ac:dyDescent="0.2">
      <c r="B1623" s="12" t="s">
        <v>667</v>
      </c>
      <c r="C1623" s="13" t="s">
        <v>969</v>
      </c>
      <c r="D1623" s="13" t="s">
        <v>968</v>
      </c>
      <c r="E1623" s="15"/>
      <c r="F1623" s="15">
        <f>SUM(F1624:F1625)</f>
        <v>52.5</v>
      </c>
      <c r="G1623" s="14">
        <f>G1625</f>
        <v>44663</v>
      </c>
    </row>
    <row r="1624" spans="2:18" x14ac:dyDescent="0.2">
      <c r="C1624" s="2" t="s">
        <v>4</v>
      </c>
      <c r="D1624" s="2" t="s">
        <v>666</v>
      </c>
      <c r="E1624" s="3">
        <v>5</v>
      </c>
      <c r="F1624" s="3">
        <v>2.5</v>
      </c>
      <c r="G1624" s="4">
        <v>44277</v>
      </c>
      <c r="M1624" s="1"/>
      <c r="N1624" s="1"/>
      <c r="O1624" s="1"/>
      <c r="P1624" s="1"/>
      <c r="Q1624" s="1"/>
      <c r="R1624" s="1"/>
    </row>
    <row r="1625" spans="2:18" x14ac:dyDescent="0.2">
      <c r="C1625" s="2" t="s">
        <v>4</v>
      </c>
      <c r="D1625" s="2" t="s">
        <v>665</v>
      </c>
      <c r="E1625" s="3">
        <v>100</v>
      </c>
      <c r="F1625" s="3">
        <v>50</v>
      </c>
      <c r="G1625" s="4">
        <v>44663</v>
      </c>
      <c r="M1625" s="1"/>
      <c r="N1625" s="1"/>
      <c r="O1625" s="1"/>
      <c r="P1625" s="1"/>
      <c r="Q1625" s="1"/>
      <c r="R1625" s="1"/>
    </row>
    <row r="1626" spans="2:18" x14ac:dyDescent="0.2">
      <c r="G1626" s="4"/>
      <c r="M1626" s="1"/>
      <c r="N1626" s="1"/>
      <c r="O1626" s="1"/>
      <c r="P1626" s="1"/>
      <c r="Q1626" s="1"/>
      <c r="R1626" s="1"/>
    </row>
    <row r="1627" spans="2:18" s="12" customFormat="1" x14ac:dyDescent="0.2">
      <c r="B1627" s="12" t="s">
        <v>61</v>
      </c>
      <c r="C1627" s="13" t="s">
        <v>969</v>
      </c>
      <c r="D1627" s="13" t="s">
        <v>968</v>
      </c>
      <c r="E1627" s="15"/>
      <c r="F1627" s="15">
        <f>SUM(F1628:F1629)</f>
        <v>52.5</v>
      </c>
      <c r="G1627" s="14">
        <f>G1628</f>
        <v>45069</v>
      </c>
      <c r="M1627" s="13"/>
      <c r="N1627" s="13"/>
      <c r="O1627" s="13"/>
      <c r="P1627" s="13"/>
      <c r="Q1627" s="13"/>
      <c r="R1627" s="13"/>
    </row>
    <row r="1628" spans="2:18" x14ac:dyDescent="0.2">
      <c r="C1628" s="2" t="s">
        <v>8</v>
      </c>
      <c r="D1628" s="2" t="s">
        <v>57</v>
      </c>
      <c r="E1628" s="3">
        <v>250</v>
      </c>
      <c r="F1628" s="3">
        <f>150/4</f>
        <v>37.5</v>
      </c>
      <c r="G1628" s="4">
        <v>45069</v>
      </c>
    </row>
    <row r="1629" spans="2:18" x14ac:dyDescent="0.2">
      <c r="C1629" s="2" t="s">
        <v>18</v>
      </c>
      <c r="D1629" s="2" t="s">
        <v>57</v>
      </c>
      <c r="E1629" s="3">
        <v>100</v>
      </c>
      <c r="F1629" s="3">
        <f>75/5</f>
        <v>15</v>
      </c>
      <c r="G1629" s="4">
        <v>44650</v>
      </c>
    </row>
    <row r="1630" spans="2:18" x14ac:dyDescent="0.2">
      <c r="G1630" s="4"/>
    </row>
    <row r="1631" spans="2:18" s="12" customFormat="1" x14ac:dyDescent="0.2">
      <c r="B1631" s="12" t="s">
        <v>939</v>
      </c>
      <c r="C1631" s="13" t="s">
        <v>969</v>
      </c>
      <c r="D1631" s="13" t="s">
        <v>968</v>
      </c>
      <c r="E1631" s="15"/>
      <c r="F1631" s="15">
        <f>SUM(F1632:F1633)</f>
        <v>52.583333333333336</v>
      </c>
      <c r="G1631" s="14">
        <f>G1632</f>
        <v>44860</v>
      </c>
      <c r="M1631" s="13"/>
      <c r="N1631" s="13"/>
      <c r="O1631" s="13"/>
      <c r="P1631" s="13"/>
      <c r="Q1631" s="13"/>
      <c r="R1631" s="13"/>
    </row>
    <row r="1632" spans="2:18" x14ac:dyDescent="0.2">
      <c r="C1632" s="2" t="s">
        <v>7</v>
      </c>
      <c r="D1632" s="2" t="s">
        <v>398</v>
      </c>
      <c r="E1632" s="3">
        <v>37</v>
      </c>
      <c r="F1632" s="3">
        <v>13</v>
      </c>
      <c r="G1632" s="4">
        <v>44860</v>
      </c>
    </row>
    <row r="1633" spans="2:18" x14ac:dyDescent="0.2">
      <c r="C1633" s="2" t="s">
        <v>53</v>
      </c>
      <c r="D1633" s="2" t="s">
        <v>176</v>
      </c>
      <c r="E1633" s="3">
        <v>475</v>
      </c>
      <c r="F1633" s="3">
        <f>E1633/12</f>
        <v>39.583333333333336</v>
      </c>
      <c r="G1633" s="4">
        <v>44278</v>
      </c>
    </row>
    <row r="1634" spans="2:18" x14ac:dyDescent="0.2">
      <c r="G1634" s="4"/>
    </row>
    <row r="1635" spans="2:18" s="12" customFormat="1" x14ac:dyDescent="0.2">
      <c r="B1635" s="12" t="s">
        <v>668</v>
      </c>
      <c r="C1635" s="13" t="s">
        <v>969</v>
      </c>
      <c r="D1635" s="13" t="s">
        <v>968</v>
      </c>
      <c r="E1635" s="15"/>
      <c r="F1635" s="15">
        <f>SUM(F1636:F1637)</f>
        <v>51.6</v>
      </c>
      <c r="G1635" s="14">
        <f>G1636</f>
        <v>44952</v>
      </c>
    </row>
    <row r="1636" spans="2:18" x14ac:dyDescent="0.2">
      <c r="B1636" s="266" t="s">
        <v>7663</v>
      </c>
      <c r="C1636" s="2" t="s">
        <v>5</v>
      </c>
      <c r="D1636" s="2" t="s">
        <v>666</v>
      </c>
      <c r="E1636" s="3">
        <v>12.7</v>
      </c>
      <c r="F1636" s="3">
        <f>8/5</f>
        <v>1.6</v>
      </c>
      <c r="G1636" s="4">
        <v>44952</v>
      </c>
      <c r="M1636" s="1"/>
      <c r="N1636" s="1"/>
      <c r="O1636" s="1"/>
      <c r="P1636" s="1"/>
      <c r="Q1636" s="1"/>
      <c r="R1636" s="1"/>
    </row>
    <row r="1637" spans="2:18" x14ac:dyDescent="0.2">
      <c r="C1637" s="2" t="s">
        <v>4</v>
      </c>
      <c r="D1637" s="2" t="s">
        <v>665</v>
      </c>
      <c r="E1637" s="3">
        <v>100</v>
      </c>
      <c r="F1637" s="3">
        <v>50</v>
      </c>
      <c r="G1637" s="4">
        <v>44663</v>
      </c>
      <c r="M1637" s="1"/>
      <c r="N1637" s="1"/>
      <c r="O1637" s="1"/>
      <c r="P1637" s="1"/>
      <c r="Q1637" s="1"/>
      <c r="R1637" s="1"/>
    </row>
    <row r="1638" spans="2:18" x14ac:dyDescent="0.2">
      <c r="G1638" s="4"/>
      <c r="M1638" s="1"/>
      <c r="N1638" s="1"/>
      <c r="O1638" s="1"/>
      <c r="P1638" s="1"/>
      <c r="Q1638" s="1"/>
      <c r="R1638" s="1"/>
    </row>
    <row r="1639" spans="2:18" s="12" customFormat="1" x14ac:dyDescent="0.2">
      <c r="B1639" s="12" t="s">
        <v>4470</v>
      </c>
      <c r="C1639" s="13" t="s">
        <v>969</v>
      </c>
      <c r="D1639" s="13" t="s">
        <v>968</v>
      </c>
      <c r="E1639" s="15"/>
      <c r="F1639" s="15">
        <f>SUM(F1640:F1641)</f>
        <v>52</v>
      </c>
      <c r="G1639" s="14">
        <f>G1640</f>
        <v>44557</v>
      </c>
      <c r="M1639" s="13"/>
      <c r="N1639" s="13"/>
      <c r="O1639" s="13"/>
      <c r="P1639" s="13"/>
      <c r="Q1639" s="13"/>
      <c r="R1639" s="13"/>
    </row>
    <row r="1640" spans="2:18" x14ac:dyDescent="0.2">
      <c r="C1640" s="2" t="s">
        <v>18</v>
      </c>
      <c r="D1640" s="2" t="s">
        <v>2130</v>
      </c>
      <c r="E1640" s="3">
        <v>200</v>
      </c>
      <c r="F1640" s="3">
        <v>12</v>
      </c>
      <c r="G1640" s="4">
        <v>44557</v>
      </c>
      <c r="I1640" s="1">
        <v>1300</v>
      </c>
      <c r="J1640" s="1">
        <v>1300</v>
      </c>
    </row>
    <row r="1641" spans="2:18" x14ac:dyDescent="0.2">
      <c r="C1641" s="2" t="s">
        <v>7</v>
      </c>
      <c r="D1641" s="2" t="s">
        <v>2130</v>
      </c>
      <c r="E1641" s="3">
        <v>40</v>
      </c>
      <c r="F1641" s="3">
        <v>40</v>
      </c>
      <c r="G1641" s="4">
        <v>43962</v>
      </c>
      <c r="J1641" s="1">
        <v>1300</v>
      </c>
    </row>
    <row r="1642" spans="2:18" x14ac:dyDescent="0.2">
      <c r="G1642" s="4"/>
    </row>
    <row r="1643" spans="2:18" s="12" customFormat="1" x14ac:dyDescent="0.2">
      <c r="B1643" s="12" t="s">
        <v>805</v>
      </c>
      <c r="C1643" s="13" t="s">
        <v>969</v>
      </c>
      <c r="D1643" s="13" t="s">
        <v>968</v>
      </c>
      <c r="E1643" s="15"/>
      <c r="F1643" s="15">
        <f>SUM(F1644:F1645)</f>
        <v>51.6</v>
      </c>
      <c r="G1643" s="14">
        <f>G1645</f>
        <v>45044</v>
      </c>
      <c r="M1643" s="13"/>
      <c r="N1643" s="13"/>
      <c r="O1643" s="13"/>
      <c r="P1643" s="13"/>
      <c r="Q1643" s="13"/>
      <c r="R1643" s="13"/>
    </row>
    <row r="1644" spans="2:18" x14ac:dyDescent="0.2">
      <c r="C1644" s="2" t="s">
        <v>5</v>
      </c>
      <c r="D1644" s="2" t="s">
        <v>666</v>
      </c>
      <c r="E1644" s="3">
        <v>12.7</v>
      </c>
      <c r="F1644" s="3">
        <f>8/5</f>
        <v>1.6</v>
      </c>
      <c r="G1644" s="4">
        <v>44952</v>
      </c>
    </row>
    <row r="1645" spans="2:18" x14ac:dyDescent="0.2">
      <c r="C1645" s="2" t="s">
        <v>1</v>
      </c>
      <c r="D1645" s="2" t="s">
        <v>0</v>
      </c>
      <c r="E1645" s="3">
        <v>300</v>
      </c>
      <c r="F1645" s="3">
        <f>E1645/6</f>
        <v>50</v>
      </c>
      <c r="G1645" s="4">
        <v>45044</v>
      </c>
      <c r="I1645" s="1">
        <v>2870</v>
      </c>
      <c r="J1645" s="1">
        <v>28700</v>
      </c>
    </row>
    <row r="1646" spans="2:18" x14ac:dyDescent="0.2">
      <c r="G1646" s="4"/>
    </row>
    <row r="1647" spans="2:18" s="12" customFormat="1" x14ac:dyDescent="0.2">
      <c r="B1647" s="12" t="s">
        <v>723</v>
      </c>
      <c r="C1647" s="13" t="s">
        <v>969</v>
      </c>
      <c r="D1647" s="13" t="s">
        <v>968</v>
      </c>
      <c r="E1647" s="15"/>
      <c r="F1647" s="15">
        <f>SUM(F1648:F1653)</f>
        <v>52.166666666666664</v>
      </c>
      <c r="G1647" s="14">
        <f>G1648</f>
        <v>44903</v>
      </c>
      <c r="M1647" s="13"/>
      <c r="N1647" s="13"/>
      <c r="O1647" s="13"/>
      <c r="P1647" s="13"/>
      <c r="Q1647" s="13"/>
      <c r="R1647" s="13"/>
    </row>
    <row r="1648" spans="2:18" x14ac:dyDescent="0.2">
      <c r="C1648" s="2" t="s">
        <v>5</v>
      </c>
      <c r="D1648" s="2" t="s">
        <v>722</v>
      </c>
      <c r="E1648" s="3">
        <v>20</v>
      </c>
      <c r="F1648" s="3">
        <f>13/6</f>
        <v>2.1666666666666665</v>
      </c>
      <c r="G1648" s="4">
        <v>44903</v>
      </c>
    </row>
    <row r="1649" spans="2:18" x14ac:dyDescent="0.2">
      <c r="C1649" s="2" t="s">
        <v>5</v>
      </c>
      <c r="D1649" s="2" t="s">
        <v>722</v>
      </c>
      <c r="E1649" s="3">
        <v>11</v>
      </c>
      <c r="F1649" s="3">
        <v>5</v>
      </c>
      <c r="G1649" s="4">
        <v>44313</v>
      </c>
    </row>
    <row r="1650" spans="2:18" x14ac:dyDescent="0.2">
      <c r="C1650" s="2" t="s">
        <v>9</v>
      </c>
      <c r="D1650" s="2" t="s">
        <v>22</v>
      </c>
      <c r="E1650" s="3">
        <v>222</v>
      </c>
      <c r="F1650" s="3">
        <v>10</v>
      </c>
      <c r="G1650" s="4">
        <v>44194</v>
      </c>
      <c r="I1650" s="1">
        <v>2500</v>
      </c>
      <c r="J1650" s="1">
        <v>2500</v>
      </c>
    </row>
    <row r="1651" spans="2:18" x14ac:dyDescent="0.2">
      <c r="C1651" s="2" t="s">
        <v>8</v>
      </c>
      <c r="D1651" s="2" t="s">
        <v>22</v>
      </c>
      <c r="E1651" s="3">
        <v>200</v>
      </c>
      <c r="F1651" s="3">
        <v>13</v>
      </c>
      <c r="G1651" s="4">
        <v>43452</v>
      </c>
      <c r="I1651" s="1">
        <v>1500</v>
      </c>
      <c r="J1651" s="1">
        <v>2500</v>
      </c>
    </row>
    <row r="1652" spans="2:18" x14ac:dyDescent="0.2">
      <c r="C1652" s="2" t="s">
        <v>7</v>
      </c>
      <c r="D1652" s="2" t="s">
        <v>22</v>
      </c>
      <c r="E1652" s="3">
        <v>30</v>
      </c>
      <c r="F1652" s="3">
        <v>8</v>
      </c>
      <c r="G1652" s="4">
        <v>42936</v>
      </c>
    </row>
    <row r="1653" spans="2:18" x14ac:dyDescent="0.2">
      <c r="C1653" s="93" t="s">
        <v>7</v>
      </c>
      <c r="D1653" s="93" t="s">
        <v>2079</v>
      </c>
      <c r="E1653" s="3">
        <v>100</v>
      </c>
      <c r="F1653" s="3">
        <f>70/5</f>
        <v>14</v>
      </c>
      <c r="G1653" s="4">
        <v>44937</v>
      </c>
      <c r="I1653" s="1">
        <v>900</v>
      </c>
      <c r="J1653" s="1">
        <v>900</v>
      </c>
    </row>
    <row r="1654" spans="2:18" x14ac:dyDescent="0.2">
      <c r="G1654" s="4"/>
    </row>
    <row r="1655" spans="2:18" s="12" customFormat="1" x14ac:dyDescent="0.2">
      <c r="B1655" s="12" t="s">
        <v>10</v>
      </c>
      <c r="C1655" s="13" t="s">
        <v>969</v>
      </c>
      <c r="D1655" s="13" t="s">
        <v>968</v>
      </c>
      <c r="E1655" s="15"/>
      <c r="F1655" s="15">
        <f>SUM(F1656:F1659)</f>
        <v>52.083333333333336</v>
      </c>
      <c r="G1655" s="14">
        <f>G1656</f>
        <v>44721</v>
      </c>
      <c r="M1655" s="13"/>
      <c r="N1655" s="13"/>
      <c r="O1655" s="13"/>
      <c r="P1655" s="13"/>
      <c r="Q1655" s="13"/>
      <c r="R1655" s="13"/>
    </row>
    <row r="1656" spans="2:18" x14ac:dyDescent="0.2">
      <c r="C1656" s="2" t="s">
        <v>9</v>
      </c>
      <c r="D1656" s="2" t="s">
        <v>3</v>
      </c>
      <c r="E1656" s="3">
        <v>90</v>
      </c>
      <c r="F1656" s="3">
        <v>10</v>
      </c>
      <c r="G1656" s="4">
        <v>44721</v>
      </c>
      <c r="I1656" s="1">
        <v>2200</v>
      </c>
      <c r="J1656" s="1">
        <v>2200</v>
      </c>
    </row>
    <row r="1657" spans="2:18" x14ac:dyDescent="0.2">
      <c r="C1657" s="2" t="s">
        <v>8</v>
      </c>
      <c r="D1657" s="2" t="s">
        <v>3</v>
      </c>
      <c r="E1657" s="3">
        <v>210</v>
      </c>
      <c r="F1657" s="3">
        <v>33.333333333333336</v>
      </c>
      <c r="G1657" s="4">
        <v>44432</v>
      </c>
      <c r="I1657" s="1">
        <v>1000</v>
      </c>
      <c r="J1657" s="1">
        <v>2200</v>
      </c>
    </row>
    <row r="1658" spans="2:18" x14ac:dyDescent="0.2">
      <c r="C1658" s="2" t="s">
        <v>7</v>
      </c>
      <c r="D1658" s="2" t="s">
        <v>3</v>
      </c>
      <c r="E1658" s="3">
        <v>25</v>
      </c>
      <c r="F1658" s="3">
        <v>3.75</v>
      </c>
      <c r="G1658" s="4">
        <v>43697</v>
      </c>
      <c r="J1658" s="1">
        <v>2200</v>
      </c>
    </row>
    <row r="1659" spans="2:18" x14ac:dyDescent="0.2">
      <c r="C1659" s="2" t="s">
        <v>5</v>
      </c>
      <c r="D1659" s="2" t="s">
        <v>3</v>
      </c>
      <c r="E1659" s="3">
        <v>10</v>
      </c>
      <c r="F1659" s="3">
        <v>5</v>
      </c>
      <c r="G1659" s="4">
        <v>43456</v>
      </c>
      <c r="J1659" s="1">
        <v>2200</v>
      </c>
    </row>
    <row r="1660" spans="2:18" x14ac:dyDescent="0.2">
      <c r="G1660" s="4"/>
    </row>
    <row r="1661" spans="2:18" s="12" customFormat="1" x14ac:dyDescent="0.2">
      <c r="B1661" s="291" t="s">
        <v>7983</v>
      </c>
      <c r="C1661" s="292" t="s">
        <v>969</v>
      </c>
      <c r="D1661" s="292" t="s">
        <v>968</v>
      </c>
      <c r="E1661" s="293"/>
      <c r="F1661" s="293">
        <f>SUM(F1662:F1668)</f>
        <v>66</v>
      </c>
      <c r="G1661" s="294">
        <f>+G1668</f>
        <v>45147</v>
      </c>
      <c r="M1661" s="13"/>
      <c r="N1661" s="13"/>
      <c r="O1661" s="13"/>
      <c r="P1661" s="13"/>
      <c r="Q1661" s="13"/>
      <c r="R1661" s="13"/>
    </row>
    <row r="1662" spans="2:18" x14ac:dyDescent="0.2">
      <c r="B1662" s="291"/>
      <c r="C1662" s="295" t="s">
        <v>5</v>
      </c>
      <c r="D1662" s="295" t="s">
        <v>935</v>
      </c>
      <c r="E1662" s="296">
        <v>150</v>
      </c>
      <c r="F1662" s="296">
        <v>25</v>
      </c>
      <c r="G1662" s="297">
        <v>45008</v>
      </c>
    </row>
    <row r="1663" spans="2:18" x14ac:dyDescent="0.2">
      <c r="B1663" s="291"/>
      <c r="C1663" s="295" t="s">
        <v>5</v>
      </c>
      <c r="D1663" s="295" t="s">
        <v>446</v>
      </c>
      <c r="E1663" s="296">
        <v>28</v>
      </c>
      <c r="F1663" s="296">
        <v>5</v>
      </c>
      <c r="G1663" s="297">
        <v>44624</v>
      </c>
    </row>
    <row r="1664" spans="2:18" x14ac:dyDescent="0.2">
      <c r="B1664" s="291"/>
      <c r="C1664" s="295" t="s">
        <v>4</v>
      </c>
      <c r="D1664" s="295" t="s">
        <v>446</v>
      </c>
      <c r="E1664" s="296">
        <v>5</v>
      </c>
      <c r="F1664" s="296">
        <v>3</v>
      </c>
      <c r="G1664" s="297">
        <v>44136</v>
      </c>
    </row>
    <row r="1665" spans="2:18" x14ac:dyDescent="0.2">
      <c r="B1665" s="291"/>
      <c r="C1665" s="298" t="s">
        <v>5</v>
      </c>
      <c r="D1665" s="298" t="s">
        <v>3216</v>
      </c>
      <c r="E1665" s="296">
        <v>19</v>
      </c>
      <c r="F1665" s="296">
        <v>3</v>
      </c>
      <c r="G1665" s="297">
        <v>45097</v>
      </c>
    </row>
    <row r="1666" spans="2:18" x14ac:dyDescent="0.2">
      <c r="B1666" s="291"/>
      <c r="C1666" s="298" t="s">
        <v>5</v>
      </c>
      <c r="D1666" s="298" t="s">
        <v>546</v>
      </c>
      <c r="E1666" s="296">
        <v>58</v>
      </c>
      <c r="F1666" s="296">
        <v>10</v>
      </c>
      <c r="G1666" s="297">
        <v>45104</v>
      </c>
      <c r="I1666" s="1">
        <v>242</v>
      </c>
      <c r="J1666" s="1">
        <v>242</v>
      </c>
    </row>
    <row r="1667" spans="2:18" x14ac:dyDescent="0.2">
      <c r="B1667" s="291"/>
      <c r="C1667" s="298" t="s">
        <v>5</v>
      </c>
      <c r="D1667" s="298" t="s">
        <v>1004</v>
      </c>
      <c r="E1667" s="296">
        <v>25.6</v>
      </c>
      <c r="F1667" s="296">
        <v>5</v>
      </c>
      <c r="G1667" s="297">
        <v>45013</v>
      </c>
    </row>
    <row r="1668" spans="2:18" x14ac:dyDescent="0.2">
      <c r="B1668" s="291"/>
      <c r="C1668" s="299" t="s">
        <v>1040</v>
      </c>
      <c r="D1668" s="299" t="s">
        <v>3665</v>
      </c>
      <c r="E1668" s="296">
        <v>50</v>
      </c>
      <c r="F1668" s="296">
        <v>15</v>
      </c>
      <c r="G1668" s="297">
        <v>45147</v>
      </c>
    </row>
    <row r="1669" spans="2:18" x14ac:dyDescent="0.2">
      <c r="B1669" s="291"/>
      <c r="C1669" s="295"/>
      <c r="D1669" s="295"/>
      <c r="E1669" s="296"/>
      <c r="F1669" s="296"/>
      <c r="G1669" s="297"/>
    </row>
    <row r="1670" spans="2:18" s="12" customFormat="1" x14ac:dyDescent="0.2">
      <c r="B1670" s="12" t="s">
        <v>453</v>
      </c>
      <c r="C1670" s="13" t="s">
        <v>969</v>
      </c>
      <c r="D1670" s="13" t="s">
        <v>968</v>
      </c>
      <c r="E1670" s="15"/>
      <c r="F1670" s="15">
        <f>SUM(F1671:F1672)</f>
        <v>50</v>
      </c>
      <c r="G1670" s="14">
        <f>G1671</f>
        <v>44776</v>
      </c>
    </row>
    <row r="1671" spans="2:18" x14ac:dyDescent="0.2">
      <c r="C1671" s="2" t="s">
        <v>8</v>
      </c>
      <c r="D1671" s="2" t="s">
        <v>448</v>
      </c>
      <c r="E1671" s="3">
        <v>90</v>
      </c>
      <c r="F1671" s="3">
        <v>20</v>
      </c>
      <c r="G1671" s="4">
        <v>44776</v>
      </c>
      <c r="M1671" s="1"/>
      <c r="N1671" s="1"/>
      <c r="O1671" s="1"/>
      <c r="P1671" s="1"/>
      <c r="Q1671" s="1"/>
      <c r="R1671" s="1"/>
    </row>
    <row r="1672" spans="2:18" x14ac:dyDescent="0.2">
      <c r="C1672" s="2" t="s">
        <v>18</v>
      </c>
      <c r="D1672" s="2" t="s">
        <v>2130</v>
      </c>
      <c r="E1672" s="3">
        <v>200</v>
      </c>
      <c r="F1672" s="3">
        <v>30</v>
      </c>
      <c r="G1672" s="4">
        <v>44557</v>
      </c>
      <c r="I1672" s="1">
        <v>1300</v>
      </c>
      <c r="J1672" s="1">
        <v>1300</v>
      </c>
      <c r="M1672" s="1"/>
      <c r="N1672" s="1"/>
      <c r="O1672" s="1"/>
      <c r="P1672" s="1"/>
      <c r="Q1672" s="1"/>
      <c r="R1672" s="1"/>
    </row>
    <row r="1673" spans="2:18" x14ac:dyDescent="0.2">
      <c r="G1673" s="4"/>
      <c r="M1673" s="1"/>
      <c r="N1673" s="1"/>
      <c r="O1673" s="1"/>
      <c r="P1673" s="1"/>
      <c r="Q1673" s="1"/>
      <c r="R1673" s="1"/>
    </row>
    <row r="1674" spans="2:18" x14ac:dyDescent="0.2">
      <c r="B1674" s="12" t="s">
        <v>5010</v>
      </c>
      <c r="C1674" s="13" t="s">
        <v>969</v>
      </c>
      <c r="D1674" s="13" t="s">
        <v>968</v>
      </c>
      <c r="E1674" s="15"/>
      <c r="F1674" s="15">
        <f>SUM(F1675:F1692)</f>
        <v>55.749999999999993</v>
      </c>
      <c r="G1674" s="14">
        <f>+G1692</f>
        <v>45147</v>
      </c>
    </row>
    <row r="1675" spans="2:18" x14ac:dyDescent="0.2">
      <c r="B1675" s="266" t="s">
        <v>7663</v>
      </c>
      <c r="C1675" s="2" t="s">
        <v>7</v>
      </c>
      <c r="D1675" s="2" t="s">
        <v>962</v>
      </c>
      <c r="E1675" s="3">
        <v>45</v>
      </c>
      <c r="F1675" s="3">
        <v>10</v>
      </c>
      <c r="G1675" s="4">
        <v>44228</v>
      </c>
    </row>
    <row r="1676" spans="2:18" x14ac:dyDescent="0.2">
      <c r="C1676" s="2" t="s">
        <v>5</v>
      </c>
      <c r="D1676" s="2" t="s">
        <v>962</v>
      </c>
      <c r="E1676" s="3">
        <v>5</v>
      </c>
      <c r="F1676" s="3">
        <v>1</v>
      </c>
      <c r="G1676" s="4">
        <v>43251</v>
      </c>
    </row>
    <row r="1677" spans="2:18" x14ac:dyDescent="0.2">
      <c r="C1677" s="2" t="s">
        <v>5</v>
      </c>
      <c r="D1677" s="2" t="s">
        <v>891</v>
      </c>
      <c r="E1677" s="3">
        <v>14</v>
      </c>
      <c r="F1677" s="3">
        <v>2</v>
      </c>
      <c r="G1677" s="4">
        <v>44131</v>
      </c>
    </row>
    <row r="1678" spans="2:18" x14ac:dyDescent="0.2">
      <c r="C1678" s="2" t="s">
        <v>7</v>
      </c>
      <c r="D1678" s="2" t="s">
        <v>907</v>
      </c>
      <c r="E1678" s="3">
        <v>97.4</v>
      </c>
      <c r="F1678" s="3">
        <f>47/6</f>
        <v>7.833333333333333</v>
      </c>
      <c r="G1678" s="4">
        <v>45041</v>
      </c>
    </row>
    <row r="1679" spans="2:18" x14ac:dyDescent="0.2">
      <c r="C1679" s="2" t="s">
        <v>5</v>
      </c>
      <c r="D1679" s="2" t="s">
        <v>907</v>
      </c>
      <c r="E1679" s="3">
        <v>80</v>
      </c>
      <c r="F1679" s="3">
        <f>40/6</f>
        <v>6.666666666666667</v>
      </c>
      <c r="G1679" s="4">
        <v>44539</v>
      </c>
    </row>
    <row r="1680" spans="2:18" x14ac:dyDescent="0.2">
      <c r="C1680" s="2" t="s">
        <v>4</v>
      </c>
      <c r="D1680" s="2" t="s">
        <v>652</v>
      </c>
      <c r="E1680" s="3">
        <v>12</v>
      </c>
      <c r="F1680" s="3">
        <v>2</v>
      </c>
      <c r="G1680" s="4">
        <v>44971</v>
      </c>
    </row>
    <row r="1681" spans="2:18" x14ac:dyDescent="0.2">
      <c r="C1681" s="2" t="s">
        <v>4</v>
      </c>
      <c r="D1681" s="2" t="s">
        <v>652</v>
      </c>
      <c r="E1681" s="3">
        <v>5</v>
      </c>
      <c r="F1681" s="3">
        <v>1</v>
      </c>
      <c r="G1681" s="4">
        <v>44769</v>
      </c>
    </row>
    <row r="1682" spans="2:18" x14ac:dyDescent="0.2">
      <c r="C1682" s="2" t="s">
        <v>7</v>
      </c>
      <c r="D1682" s="2" t="s">
        <v>525</v>
      </c>
      <c r="E1682" s="3">
        <v>32</v>
      </c>
      <c r="F1682" s="3">
        <v>3</v>
      </c>
      <c r="G1682" s="4">
        <v>44364</v>
      </c>
    </row>
    <row r="1683" spans="2:18" x14ac:dyDescent="0.2">
      <c r="C1683" s="2" t="s">
        <v>5</v>
      </c>
      <c r="D1683" s="2" t="s">
        <v>525</v>
      </c>
      <c r="E1683" s="3">
        <v>10.199999999999999</v>
      </c>
      <c r="F1683" s="3">
        <v>2</v>
      </c>
      <c r="G1683" s="4">
        <v>43732</v>
      </c>
    </row>
    <row r="1684" spans="2:18" x14ac:dyDescent="0.2">
      <c r="C1684" s="2" t="s">
        <v>4</v>
      </c>
      <c r="D1684" s="2" t="s">
        <v>525</v>
      </c>
      <c r="E1684" s="3">
        <v>3</v>
      </c>
      <c r="F1684" s="3">
        <v>0.75</v>
      </c>
      <c r="G1684" s="4">
        <v>43374</v>
      </c>
    </row>
    <row r="1685" spans="2:18" x14ac:dyDescent="0.2">
      <c r="C1685" s="2" t="s">
        <v>7</v>
      </c>
      <c r="D1685" s="2" t="s">
        <v>310</v>
      </c>
      <c r="E1685" s="3">
        <v>40</v>
      </c>
      <c r="F1685" s="3">
        <v>4</v>
      </c>
      <c r="G1685" s="4">
        <v>43419</v>
      </c>
    </row>
    <row r="1686" spans="2:18" x14ac:dyDescent="0.2">
      <c r="C1686" s="2" t="s">
        <v>5</v>
      </c>
      <c r="D1686" s="2" t="s">
        <v>3</v>
      </c>
      <c r="E1686" s="3">
        <v>10.5</v>
      </c>
      <c r="F1686" s="3">
        <v>2</v>
      </c>
      <c r="G1686" s="4">
        <v>42828</v>
      </c>
    </row>
    <row r="1687" spans="2:18" x14ac:dyDescent="0.2">
      <c r="C1687" s="2" t="s">
        <v>4</v>
      </c>
      <c r="D1687" s="2" t="s">
        <v>3</v>
      </c>
      <c r="E1687" s="3">
        <v>2</v>
      </c>
      <c r="F1687" s="3">
        <f>+E1687/3</f>
        <v>0.66666666666666663</v>
      </c>
      <c r="G1687" s="4">
        <v>42521</v>
      </c>
    </row>
    <row r="1688" spans="2:18" x14ac:dyDescent="0.2">
      <c r="C1688" s="55" t="s">
        <v>18</v>
      </c>
      <c r="D1688" s="55" t="s">
        <v>5013</v>
      </c>
      <c r="E1688" s="3">
        <v>27</v>
      </c>
      <c r="F1688" s="3">
        <f>17/3</f>
        <v>5.666666666666667</v>
      </c>
      <c r="G1688" s="4">
        <v>42851</v>
      </c>
      <c r="J1688" s="1">
        <v>210</v>
      </c>
    </row>
    <row r="1689" spans="2:18" x14ac:dyDescent="0.2">
      <c r="C1689" s="55" t="s">
        <v>5</v>
      </c>
      <c r="D1689" s="55" t="s">
        <v>5013</v>
      </c>
      <c r="E1689" s="3">
        <v>3</v>
      </c>
      <c r="F1689" s="3">
        <f>2/3</f>
        <v>0.66666666666666663</v>
      </c>
      <c r="G1689" s="4">
        <v>42220</v>
      </c>
    </row>
    <row r="1690" spans="2:18" x14ac:dyDescent="0.2">
      <c r="C1690" s="161" t="s">
        <v>5</v>
      </c>
      <c r="D1690" s="161" t="s">
        <v>6424</v>
      </c>
      <c r="E1690" s="3">
        <v>8</v>
      </c>
      <c r="F1690" s="3">
        <v>1</v>
      </c>
      <c r="G1690" s="4">
        <v>44179</v>
      </c>
    </row>
    <row r="1691" spans="2:18" x14ac:dyDescent="0.2">
      <c r="C1691" s="161" t="s">
        <v>4</v>
      </c>
      <c r="D1691" s="161" t="s">
        <v>6424</v>
      </c>
      <c r="E1691" s="3">
        <v>2</v>
      </c>
      <c r="F1691" s="3">
        <f>E1691/4</f>
        <v>0.5</v>
      </c>
      <c r="G1691" s="4">
        <v>43430</v>
      </c>
    </row>
    <row r="1692" spans="2:18" x14ac:dyDescent="0.2">
      <c r="C1692" s="282" t="s">
        <v>1040</v>
      </c>
      <c r="D1692" s="282" t="s">
        <v>962</v>
      </c>
      <c r="E1692" s="3">
        <v>50</v>
      </c>
      <c r="F1692" s="3">
        <v>5</v>
      </c>
      <c r="G1692" s="4">
        <v>45147</v>
      </c>
      <c r="I1692" s="1">
        <v>1200</v>
      </c>
      <c r="J1692" s="1">
        <v>1200</v>
      </c>
    </row>
    <row r="1693" spans="2:18" x14ac:dyDescent="0.2">
      <c r="G1693" s="4"/>
    </row>
    <row r="1694" spans="2:18" s="12" customFormat="1" x14ac:dyDescent="0.2">
      <c r="B1694" s="12" t="s">
        <v>501</v>
      </c>
      <c r="C1694" s="13" t="s">
        <v>969</v>
      </c>
      <c r="D1694" s="13" t="s">
        <v>968</v>
      </c>
      <c r="E1694" s="15"/>
      <c r="F1694" s="15">
        <f>SUM(F1695:F1697)</f>
        <v>101.68994708994708</v>
      </c>
      <c r="G1694" s="14">
        <f>G1696</f>
        <v>45183</v>
      </c>
      <c r="M1694" s="13"/>
      <c r="N1694" s="13"/>
      <c r="O1694" s="13"/>
      <c r="P1694" s="13"/>
      <c r="Q1694" s="13"/>
      <c r="R1694" s="13"/>
    </row>
    <row r="1695" spans="2:18" x14ac:dyDescent="0.2">
      <c r="C1695" s="2" t="s">
        <v>53</v>
      </c>
      <c r="D1695" s="2" t="s">
        <v>489</v>
      </c>
      <c r="E1695" s="3">
        <v>270</v>
      </c>
      <c r="F1695" s="3">
        <v>22</v>
      </c>
      <c r="G1695" s="4">
        <v>44152</v>
      </c>
      <c r="M1695" s="1"/>
      <c r="N1695" s="1"/>
      <c r="O1695" s="1"/>
      <c r="P1695" s="1"/>
      <c r="Q1695" s="1"/>
      <c r="R1695" s="1"/>
    </row>
    <row r="1696" spans="2:18" x14ac:dyDescent="0.2">
      <c r="C1696" s="282" t="s">
        <v>7933</v>
      </c>
      <c r="D1696" s="282" t="s">
        <v>1006</v>
      </c>
      <c r="E1696" s="3">
        <v>684.6</v>
      </c>
      <c r="F1696" s="3">
        <f>584.6/21</f>
        <v>27.838095238095239</v>
      </c>
      <c r="G1696" s="4">
        <v>45183</v>
      </c>
      <c r="I1696" s="1">
        <v>42500</v>
      </c>
      <c r="J1696" s="1">
        <v>42500</v>
      </c>
      <c r="M1696" s="1"/>
      <c r="N1696" s="1"/>
      <c r="O1696" s="1"/>
      <c r="P1696" s="1"/>
      <c r="Q1696" s="1"/>
      <c r="R1696" s="1"/>
    </row>
    <row r="1697" spans="2:18" x14ac:dyDescent="0.2">
      <c r="C1697" s="282" t="s">
        <v>2489</v>
      </c>
      <c r="D1697" s="282" t="s">
        <v>1006</v>
      </c>
      <c r="E1697" s="3">
        <v>1600</v>
      </c>
      <c r="F1697" s="3">
        <f>1400/27</f>
        <v>51.851851851851855</v>
      </c>
      <c r="G1697" s="4">
        <v>44439</v>
      </c>
      <c r="I1697" s="1">
        <v>36400</v>
      </c>
      <c r="J1697" s="1">
        <v>42500</v>
      </c>
      <c r="M1697" s="1"/>
      <c r="N1697" s="1"/>
      <c r="O1697" s="1"/>
      <c r="P1697" s="1"/>
      <c r="Q1697" s="1"/>
      <c r="R1697" s="1"/>
    </row>
    <row r="1698" spans="2:18" x14ac:dyDescent="0.2">
      <c r="G1698" s="4"/>
      <c r="M1698" s="1"/>
      <c r="N1698" s="1"/>
      <c r="O1698" s="1"/>
      <c r="P1698" s="1"/>
      <c r="Q1698" s="1"/>
      <c r="R1698" s="1"/>
    </row>
    <row r="1699" spans="2:18" s="12" customFormat="1" x14ac:dyDescent="0.2">
      <c r="B1699" s="12" t="s">
        <v>923</v>
      </c>
      <c r="C1699" s="13" t="s">
        <v>969</v>
      </c>
      <c r="D1699" s="13" t="s">
        <v>968</v>
      </c>
      <c r="E1699" s="15"/>
      <c r="F1699" s="15">
        <f>SUM(F1700:F1703)</f>
        <v>46.917748917748916</v>
      </c>
      <c r="G1699" s="14">
        <f>G1700</f>
        <v>45090</v>
      </c>
      <c r="M1699" s="13"/>
      <c r="N1699" s="13"/>
      <c r="O1699" s="13"/>
      <c r="P1699" s="13"/>
      <c r="Q1699" s="13"/>
      <c r="R1699" s="13"/>
    </row>
    <row r="1700" spans="2:18" x14ac:dyDescent="0.2">
      <c r="C1700" s="2" t="s">
        <v>4</v>
      </c>
      <c r="D1700" s="2" t="s">
        <v>705</v>
      </c>
      <c r="E1700" s="3">
        <v>113</v>
      </c>
      <c r="F1700" s="3">
        <v>8</v>
      </c>
      <c r="G1700" s="4">
        <v>45090</v>
      </c>
    </row>
    <row r="1701" spans="2:18" x14ac:dyDescent="0.2">
      <c r="C1701" s="2" t="s">
        <v>9</v>
      </c>
      <c r="D1701" s="2" t="s">
        <v>22</v>
      </c>
      <c r="E1701" s="3">
        <v>222</v>
      </c>
      <c r="F1701" s="3">
        <f>200/21</f>
        <v>9.5238095238095237</v>
      </c>
      <c r="G1701" s="4">
        <v>44194</v>
      </c>
      <c r="I1701" s="1">
        <v>2500</v>
      </c>
      <c r="J1701" s="1">
        <v>2500</v>
      </c>
    </row>
    <row r="1702" spans="2:18" x14ac:dyDescent="0.2">
      <c r="C1702" s="2" t="s">
        <v>8</v>
      </c>
      <c r="D1702" s="2" t="s">
        <v>22</v>
      </c>
      <c r="E1702" s="3">
        <v>150</v>
      </c>
      <c r="F1702" s="3">
        <f>100/6</f>
        <v>16.666666666666668</v>
      </c>
      <c r="G1702" s="4">
        <v>43885</v>
      </c>
      <c r="I1702" s="1">
        <v>1800</v>
      </c>
      <c r="J1702" s="1">
        <v>2500</v>
      </c>
    </row>
    <row r="1703" spans="2:18" x14ac:dyDescent="0.2">
      <c r="C1703" s="2" t="s">
        <v>8</v>
      </c>
      <c r="D1703" s="2" t="s">
        <v>22</v>
      </c>
      <c r="E1703" s="3">
        <v>200</v>
      </c>
      <c r="F1703" s="3">
        <v>12.727272727272727</v>
      </c>
      <c r="G1703" s="4">
        <v>43452</v>
      </c>
      <c r="I1703" s="1">
        <v>1500</v>
      </c>
      <c r="J1703" s="1">
        <v>2500</v>
      </c>
    </row>
    <row r="1704" spans="2:18" x14ac:dyDescent="0.2">
      <c r="G1704" s="4"/>
    </row>
    <row r="1705" spans="2:18" s="12" customFormat="1" x14ac:dyDescent="0.2">
      <c r="B1705" s="12" t="s">
        <v>1027</v>
      </c>
      <c r="C1705" s="13" t="s">
        <v>969</v>
      </c>
      <c r="D1705" s="13" t="s">
        <v>968</v>
      </c>
      <c r="E1705" s="15"/>
      <c r="F1705" s="15">
        <f>SUM(F1706:F1710)</f>
        <v>47.238095238095241</v>
      </c>
      <c r="G1705" s="14">
        <f>G1707</f>
        <v>44851</v>
      </c>
      <c r="M1705" s="13"/>
      <c r="N1705" s="13"/>
      <c r="O1705" s="13"/>
      <c r="P1705" s="13"/>
      <c r="Q1705" s="13"/>
      <c r="R1705" s="13"/>
    </row>
    <row r="1706" spans="2:18" x14ac:dyDescent="0.2">
      <c r="C1706" s="2" t="s">
        <v>5</v>
      </c>
      <c r="D1706" s="2" t="s">
        <v>730</v>
      </c>
      <c r="E1706" s="3">
        <v>25</v>
      </c>
      <c r="F1706" s="3">
        <f>18/7</f>
        <v>2.5714285714285716</v>
      </c>
      <c r="G1706" s="4">
        <v>44757</v>
      </c>
    </row>
    <row r="1707" spans="2:18" x14ac:dyDescent="0.2">
      <c r="C1707" s="2" t="s">
        <v>5</v>
      </c>
      <c r="D1707" s="2" t="s">
        <v>281</v>
      </c>
      <c r="E1707" s="3">
        <v>32</v>
      </c>
      <c r="F1707" s="3">
        <v>5</v>
      </c>
      <c r="G1707" s="4">
        <v>44851</v>
      </c>
    </row>
    <row r="1708" spans="2:18" x14ac:dyDescent="0.2">
      <c r="C1708" s="2" t="s">
        <v>9</v>
      </c>
      <c r="D1708" s="2" t="s">
        <v>22</v>
      </c>
      <c r="E1708" s="3">
        <v>222</v>
      </c>
      <c r="F1708" s="3">
        <v>10</v>
      </c>
      <c r="G1708" s="4">
        <v>44194</v>
      </c>
      <c r="I1708" s="1">
        <v>2500</v>
      </c>
      <c r="J1708" s="1">
        <v>2500</v>
      </c>
    </row>
    <row r="1709" spans="2:18" x14ac:dyDescent="0.2">
      <c r="C1709" s="2" t="s">
        <v>8</v>
      </c>
      <c r="D1709" s="2" t="s">
        <v>22</v>
      </c>
      <c r="E1709" s="3">
        <v>150</v>
      </c>
      <c r="F1709" s="3">
        <v>16.666666666666668</v>
      </c>
      <c r="G1709" s="4">
        <v>43885</v>
      </c>
      <c r="I1709" s="1">
        <v>1800</v>
      </c>
      <c r="J1709" s="1">
        <v>2500</v>
      </c>
    </row>
    <row r="1710" spans="2:18" x14ac:dyDescent="0.2">
      <c r="C1710" s="2" t="s">
        <v>8</v>
      </c>
      <c r="D1710" s="2" t="s">
        <v>22</v>
      </c>
      <c r="E1710" s="3">
        <v>200</v>
      </c>
      <c r="F1710" s="3">
        <v>13</v>
      </c>
      <c r="G1710" s="4">
        <v>43452</v>
      </c>
      <c r="I1710" s="1">
        <v>1500</v>
      </c>
      <c r="J1710" s="1">
        <v>2500</v>
      </c>
    </row>
    <row r="1711" spans="2:18" x14ac:dyDescent="0.2">
      <c r="G1711" s="4"/>
    </row>
    <row r="1712" spans="2:18" s="12" customFormat="1" x14ac:dyDescent="0.2">
      <c r="B1712" s="12" t="s">
        <v>1061</v>
      </c>
      <c r="C1712" s="13" t="s">
        <v>969</v>
      </c>
      <c r="D1712" s="13" t="s">
        <v>968</v>
      </c>
      <c r="E1712" s="15"/>
      <c r="F1712" s="15">
        <f>SUM(F1713:F1716)</f>
        <v>46.5</v>
      </c>
      <c r="G1712" s="14">
        <f>G1715</f>
        <v>44599</v>
      </c>
    </row>
    <row r="1713" spans="2:18" x14ac:dyDescent="0.2">
      <c r="C1713" s="2" t="s">
        <v>7</v>
      </c>
      <c r="D1713" s="2" t="s">
        <v>454</v>
      </c>
      <c r="E1713" s="3">
        <v>25</v>
      </c>
      <c r="F1713" s="3">
        <v>10</v>
      </c>
      <c r="G1713" s="4">
        <v>43972</v>
      </c>
      <c r="M1713" s="1"/>
      <c r="N1713" s="1"/>
      <c r="O1713" s="1"/>
      <c r="P1713" s="1"/>
      <c r="Q1713" s="1"/>
      <c r="R1713" s="1"/>
    </row>
    <row r="1714" spans="2:18" x14ac:dyDescent="0.2">
      <c r="C1714" s="2" t="s">
        <v>5</v>
      </c>
      <c r="D1714" s="2" t="s">
        <v>454</v>
      </c>
      <c r="E1714" s="3">
        <v>11.5</v>
      </c>
      <c r="F1714" s="3">
        <v>11.5</v>
      </c>
      <c r="G1714" s="4">
        <v>43104</v>
      </c>
      <c r="M1714" s="1"/>
      <c r="N1714" s="1"/>
      <c r="O1714" s="1"/>
      <c r="P1714" s="1"/>
      <c r="Q1714" s="1"/>
      <c r="R1714" s="1"/>
    </row>
    <row r="1715" spans="2:18" x14ac:dyDescent="0.2">
      <c r="C1715" s="2" t="s">
        <v>18</v>
      </c>
      <c r="D1715" s="2" t="s">
        <v>1056</v>
      </c>
      <c r="E1715" s="3">
        <v>40</v>
      </c>
      <c r="F1715" s="3">
        <v>7</v>
      </c>
      <c r="G1715" s="4">
        <v>44599</v>
      </c>
      <c r="M1715" s="1"/>
      <c r="N1715" s="1"/>
      <c r="O1715" s="1"/>
      <c r="P1715" s="1"/>
      <c r="Q1715" s="1"/>
      <c r="R1715" s="1"/>
    </row>
    <row r="1716" spans="2:18" x14ac:dyDescent="0.2">
      <c r="C1716" s="2" t="s">
        <v>7</v>
      </c>
      <c r="D1716" s="2" t="s">
        <v>1056</v>
      </c>
      <c r="E1716" s="3">
        <v>28</v>
      </c>
      <c r="F1716" s="3">
        <v>18</v>
      </c>
      <c r="G1716" s="4">
        <v>44377</v>
      </c>
      <c r="M1716" s="1"/>
      <c r="N1716" s="1"/>
      <c r="O1716" s="1"/>
      <c r="P1716" s="1"/>
      <c r="Q1716" s="1"/>
      <c r="R1716" s="1"/>
    </row>
    <row r="1717" spans="2:18" x14ac:dyDescent="0.2">
      <c r="G1717" s="4"/>
      <c r="M1717" s="1"/>
      <c r="N1717" s="1"/>
      <c r="O1717" s="1"/>
      <c r="P1717" s="1"/>
      <c r="Q1717" s="1"/>
      <c r="R1717" s="1"/>
    </row>
    <row r="1718" spans="2:18" x14ac:dyDescent="0.2">
      <c r="B1718" s="12" t="s">
        <v>1037</v>
      </c>
      <c r="C1718" s="13" t="s">
        <v>969</v>
      </c>
      <c r="D1718" s="13" t="s">
        <v>968</v>
      </c>
      <c r="E1718" s="15"/>
      <c r="F1718" s="15">
        <f>SUM(F1719:F1727)</f>
        <v>49.333333333333336</v>
      </c>
      <c r="G1718" s="14">
        <f>G1723</f>
        <v>45007</v>
      </c>
    </row>
    <row r="1719" spans="2:18" x14ac:dyDescent="0.2">
      <c r="C1719" s="2" t="s">
        <v>7</v>
      </c>
      <c r="D1719" s="2" t="s">
        <v>693</v>
      </c>
      <c r="E1719" s="3">
        <v>50</v>
      </c>
      <c r="F1719" s="3">
        <f>25/3</f>
        <v>8.3333333333333339</v>
      </c>
      <c r="G1719" s="4">
        <v>44643</v>
      </c>
    </row>
    <row r="1720" spans="2:18" x14ac:dyDescent="0.2">
      <c r="C1720" s="2" t="s">
        <v>5</v>
      </c>
      <c r="D1720" s="2" t="s">
        <v>693</v>
      </c>
      <c r="E1720" s="3">
        <v>18.5</v>
      </c>
      <c r="F1720" s="3">
        <f>10/4</f>
        <v>2.5</v>
      </c>
      <c r="G1720" s="4">
        <v>44242</v>
      </c>
    </row>
    <row r="1721" spans="2:18" x14ac:dyDescent="0.2">
      <c r="C1721" s="2" t="s">
        <v>4</v>
      </c>
      <c r="D1721" s="2" t="s">
        <v>693</v>
      </c>
      <c r="E1721" s="3">
        <v>3.5</v>
      </c>
      <c r="F1721" s="3">
        <v>1.5</v>
      </c>
      <c r="G1721" s="4">
        <v>43631</v>
      </c>
    </row>
    <row r="1722" spans="2:18" x14ac:dyDescent="0.2">
      <c r="C1722" s="2" t="s">
        <v>5</v>
      </c>
      <c r="D1722" s="2" t="s">
        <v>986</v>
      </c>
      <c r="E1722" s="3">
        <v>25</v>
      </c>
      <c r="F1722" s="3">
        <v>4</v>
      </c>
      <c r="G1722" s="4">
        <v>44615</v>
      </c>
    </row>
    <row r="1723" spans="2:18" x14ac:dyDescent="0.2">
      <c r="C1723" s="2" t="s">
        <v>4</v>
      </c>
      <c r="D1723" s="2" t="s">
        <v>635</v>
      </c>
      <c r="E1723" s="3">
        <v>10.6</v>
      </c>
      <c r="F1723" s="3">
        <v>5</v>
      </c>
      <c r="G1723" s="4">
        <v>45007</v>
      </c>
    </row>
    <row r="1724" spans="2:18" x14ac:dyDescent="0.2">
      <c r="C1724" s="93" t="s">
        <v>18</v>
      </c>
      <c r="D1724" s="93" t="s">
        <v>5668</v>
      </c>
      <c r="E1724" s="3">
        <v>75</v>
      </c>
      <c r="F1724" s="3">
        <v>12.5</v>
      </c>
      <c r="G1724" s="4">
        <v>44627</v>
      </c>
    </row>
    <row r="1725" spans="2:18" x14ac:dyDescent="0.2">
      <c r="C1725" s="93" t="s">
        <v>7</v>
      </c>
      <c r="D1725" s="93" t="s">
        <v>5668</v>
      </c>
      <c r="E1725" s="3">
        <v>30</v>
      </c>
      <c r="F1725" s="3">
        <v>7.5</v>
      </c>
      <c r="G1725" s="4">
        <v>44222</v>
      </c>
    </row>
    <row r="1726" spans="2:18" x14ac:dyDescent="0.2">
      <c r="C1726" s="93" t="s">
        <v>5</v>
      </c>
      <c r="D1726" s="93" t="s">
        <v>5668</v>
      </c>
      <c r="E1726" s="3">
        <v>10</v>
      </c>
      <c r="F1726" s="3">
        <v>5</v>
      </c>
      <c r="G1726" s="4">
        <v>43559</v>
      </c>
    </row>
    <row r="1727" spans="2:18" x14ac:dyDescent="0.2">
      <c r="C1727" s="93" t="s">
        <v>4</v>
      </c>
      <c r="D1727" s="93" t="s">
        <v>5668</v>
      </c>
      <c r="E1727" s="3">
        <v>3</v>
      </c>
      <c r="F1727" s="3">
        <v>3</v>
      </c>
      <c r="G1727" s="4">
        <v>43558</v>
      </c>
    </row>
    <row r="1728" spans="2:18" x14ac:dyDescent="0.2">
      <c r="G1728" s="4"/>
    </row>
    <row r="1729" spans="2:18" s="12" customFormat="1" x14ac:dyDescent="0.2">
      <c r="B1729" s="12" t="s">
        <v>202</v>
      </c>
      <c r="C1729" s="13" t="s">
        <v>969</v>
      </c>
      <c r="D1729" s="13" t="s">
        <v>968</v>
      </c>
      <c r="E1729" s="15"/>
      <c r="F1729" s="15">
        <f>SUM(F1730:F1731)</f>
        <v>46</v>
      </c>
      <c r="G1729" s="14">
        <f>G1730</f>
        <v>43391</v>
      </c>
      <c r="M1729" s="13"/>
      <c r="N1729" s="13"/>
      <c r="O1729" s="13"/>
      <c r="P1729" s="13"/>
      <c r="Q1729" s="13"/>
      <c r="R1729" s="13"/>
    </row>
    <row r="1730" spans="2:18" x14ac:dyDescent="0.2">
      <c r="C1730" s="2" t="s">
        <v>7</v>
      </c>
      <c r="D1730" s="2" t="s">
        <v>197</v>
      </c>
      <c r="E1730" s="3">
        <v>120</v>
      </c>
      <c r="F1730" s="3">
        <v>30</v>
      </c>
      <c r="G1730" s="4">
        <v>43391</v>
      </c>
    </row>
    <row r="1731" spans="2:18" x14ac:dyDescent="0.2">
      <c r="C1731" s="2" t="s">
        <v>7</v>
      </c>
      <c r="D1731" s="2" t="s">
        <v>197</v>
      </c>
      <c r="E1731" s="3">
        <v>46</v>
      </c>
      <c r="F1731" s="3">
        <v>16</v>
      </c>
      <c r="G1731" s="4">
        <v>42941</v>
      </c>
    </row>
    <row r="1733" spans="2:18" s="12" customFormat="1" x14ac:dyDescent="0.2">
      <c r="B1733" s="12" t="s">
        <v>296</v>
      </c>
      <c r="C1733" s="13" t="s">
        <v>969</v>
      </c>
      <c r="D1733" s="13" t="s">
        <v>968</v>
      </c>
      <c r="E1733" s="15"/>
      <c r="F1733" s="15">
        <f>SUM(F1734:F1735)</f>
        <v>46</v>
      </c>
      <c r="G1733" s="14">
        <f>G1735</f>
        <v>43634</v>
      </c>
      <c r="M1733" s="13"/>
      <c r="N1733" s="13"/>
      <c r="O1733" s="13"/>
      <c r="P1733" s="13"/>
      <c r="Q1733" s="13"/>
      <c r="R1733" s="13"/>
    </row>
    <row r="1734" spans="2:18" x14ac:dyDescent="0.2">
      <c r="C1734" s="2" t="s">
        <v>18</v>
      </c>
      <c r="D1734" s="2" t="s">
        <v>292</v>
      </c>
      <c r="E1734" s="3">
        <v>38</v>
      </c>
      <c r="F1734" s="3">
        <v>6</v>
      </c>
      <c r="G1734" s="4">
        <v>43104</v>
      </c>
    </row>
    <row r="1735" spans="2:18" x14ac:dyDescent="0.2">
      <c r="C1735" s="2" t="s">
        <v>18</v>
      </c>
      <c r="D1735" s="2" t="s">
        <v>32</v>
      </c>
      <c r="E1735" s="3">
        <v>230</v>
      </c>
      <c r="F1735" s="3">
        <v>40</v>
      </c>
      <c r="G1735" s="4">
        <v>43634</v>
      </c>
      <c r="I1735" s="1">
        <v>770</v>
      </c>
      <c r="J1735" s="1">
        <v>770</v>
      </c>
    </row>
    <row r="1736" spans="2:18" x14ac:dyDescent="0.2">
      <c r="G1736" s="4"/>
    </row>
    <row r="1737" spans="2:18" s="12" customFormat="1" x14ac:dyDescent="0.2">
      <c r="B1737" s="12" t="s">
        <v>5011</v>
      </c>
      <c r="C1737" s="13" t="s">
        <v>969</v>
      </c>
      <c r="D1737" s="13" t="s">
        <v>968</v>
      </c>
      <c r="E1737" s="15"/>
      <c r="F1737" s="15">
        <f>SUM(F1738:F1741)</f>
        <v>45.5</v>
      </c>
      <c r="G1737" s="14">
        <f>G1739</f>
        <v>44984</v>
      </c>
      <c r="M1737" s="13"/>
      <c r="N1737" s="13"/>
      <c r="O1737" s="13"/>
      <c r="P1737" s="13"/>
      <c r="Q1737" s="13"/>
      <c r="R1737" s="13"/>
    </row>
    <row r="1738" spans="2:18" x14ac:dyDescent="0.2">
      <c r="C1738" s="2" t="s">
        <v>5</v>
      </c>
      <c r="D1738" s="2" t="s">
        <v>701</v>
      </c>
      <c r="E1738" s="3">
        <v>50</v>
      </c>
      <c r="F1738" s="3">
        <f>30/12</f>
        <v>2.5</v>
      </c>
      <c r="G1738" s="4">
        <v>44796</v>
      </c>
    </row>
    <row r="1739" spans="2:18" x14ac:dyDescent="0.2">
      <c r="C1739" s="2" t="s">
        <v>9</v>
      </c>
      <c r="D1739" s="2" t="s">
        <v>39</v>
      </c>
      <c r="E1739" s="3">
        <v>230</v>
      </c>
      <c r="F1739" s="3">
        <v>24</v>
      </c>
      <c r="G1739" s="4">
        <v>44984</v>
      </c>
      <c r="I1739" s="1">
        <v>2000</v>
      </c>
      <c r="J1739" s="1">
        <v>2000</v>
      </c>
    </row>
    <row r="1740" spans="2:18" x14ac:dyDescent="0.2">
      <c r="C1740" s="2" t="s">
        <v>18</v>
      </c>
      <c r="D1740" s="2" t="s">
        <v>39</v>
      </c>
      <c r="E1740" s="3">
        <v>100</v>
      </c>
      <c r="F1740" s="3">
        <v>15</v>
      </c>
      <c r="G1740" s="4">
        <v>44025</v>
      </c>
      <c r="J1740" s="1">
        <v>2000</v>
      </c>
    </row>
    <row r="1741" spans="2:18" x14ac:dyDescent="0.2">
      <c r="C1741" s="161" t="s">
        <v>7</v>
      </c>
      <c r="D1741" s="161" t="s">
        <v>2049</v>
      </c>
      <c r="E1741" s="3">
        <v>50</v>
      </c>
      <c r="F1741" s="3">
        <v>4</v>
      </c>
      <c r="G1741" s="4">
        <v>44252</v>
      </c>
    </row>
    <row r="1742" spans="2:18" x14ac:dyDescent="0.2">
      <c r="G1742" s="4"/>
    </row>
    <row r="1743" spans="2:18" s="12" customFormat="1" x14ac:dyDescent="0.2">
      <c r="B1743" s="12" t="s">
        <v>45</v>
      </c>
      <c r="C1743" s="13" t="s">
        <v>969</v>
      </c>
      <c r="D1743" s="13" t="s">
        <v>968</v>
      </c>
      <c r="E1743" s="15"/>
      <c r="F1743" s="15">
        <f>SUM(F1744:F1745)</f>
        <v>46.285714285714285</v>
      </c>
      <c r="G1743" s="14">
        <f>G1744</f>
        <v>44984</v>
      </c>
      <c r="M1743" s="13"/>
      <c r="N1743" s="13"/>
      <c r="O1743" s="13"/>
      <c r="P1743" s="13"/>
      <c r="Q1743" s="13"/>
      <c r="R1743" s="13"/>
    </row>
    <row r="1744" spans="2:18" x14ac:dyDescent="0.2">
      <c r="C1744" s="2" t="s">
        <v>9</v>
      </c>
      <c r="D1744" s="2" t="s">
        <v>39</v>
      </c>
      <c r="E1744" s="3">
        <v>230</v>
      </c>
      <c r="F1744" s="3">
        <f>170/7</f>
        <v>24.285714285714285</v>
      </c>
      <c r="G1744" s="4">
        <v>44984</v>
      </c>
      <c r="I1744" s="1">
        <v>2000</v>
      </c>
      <c r="J1744" s="1">
        <v>2000</v>
      </c>
    </row>
    <row r="1745" spans="2:18" x14ac:dyDescent="0.2">
      <c r="C1745" s="2" t="s">
        <v>8</v>
      </c>
      <c r="D1745" s="2" t="s">
        <v>39</v>
      </c>
      <c r="E1745" s="3">
        <v>170</v>
      </c>
      <c r="F1745" s="3">
        <v>22</v>
      </c>
      <c r="G1745" s="4">
        <v>44255</v>
      </c>
      <c r="I1745" s="1">
        <v>830</v>
      </c>
      <c r="J1745" s="1">
        <v>2000</v>
      </c>
    </row>
    <row r="1746" spans="2:18" x14ac:dyDescent="0.2">
      <c r="G1746" s="4"/>
    </row>
    <row r="1747" spans="2:18" s="12" customFormat="1" x14ac:dyDescent="0.2">
      <c r="B1747" s="12" t="s">
        <v>696</v>
      </c>
      <c r="C1747" s="13" t="s">
        <v>969</v>
      </c>
      <c r="D1747" s="13" t="s">
        <v>968</v>
      </c>
      <c r="E1747" s="15"/>
      <c r="F1747" s="15">
        <f>SUM(F1748:F1757)</f>
        <v>44.391666666666673</v>
      </c>
      <c r="G1747" s="14">
        <f>G1749</f>
        <v>44663</v>
      </c>
      <c r="M1747" s="13"/>
      <c r="N1747" s="13"/>
      <c r="O1747" s="13"/>
      <c r="P1747" s="13"/>
      <c r="Q1747" s="13"/>
      <c r="R1747" s="13"/>
    </row>
    <row r="1748" spans="2:18" x14ac:dyDescent="0.2">
      <c r="C1748" s="2" t="s">
        <v>5</v>
      </c>
      <c r="D1748" s="2" t="s">
        <v>695</v>
      </c>
      <c r="E1748" s="3">
        <v>20</v>
      </c>
      <c r="F1748" s="3">
        <v>2.5</v>
      </c>
      <c r="G1748" s="4">
        <v>44392</v>
      </c>
    </row>
    <row r="1749" spans="2:18" x14ac:dyDescent="0.2">
      <c r="C1749" s="2" t="s">
        <v>18</v>
      </c>
      <c r="D1749" s="2" t="s">
        <v>599</v>
      </c>
      <c r="E1749" s="3">
        <v>125</v>
      </c>
      <c r="F1749" s="3">
        <f>75/8</f>
        <v>9.375</v>
      </c>
      <c r="G1749" s="4">
        <v>44663</v>
      </c>
    </row>
    <row r="1750" spans="2:18" x14ac:dyDescent="0.2">
      <c r="C1750" s="2" t="s">
        <v>5</v>
      </c>
      <c r="D1750" s="2" t="s">
        <v>599</v>
      </c>
      <c r="E1750" s="3">
        <v>26</v>
      </c>
      <c r="F1750" s="3">
        <f>16/4</f>
        <v>4</v>
      </c>
      <c r="G1750" s="4">
        <v>43809</v>
      </c>
    </row>
    <row r="1751" spans="2:18" x14ac:dyDescent="0.2">
      <c r="C1751" s="2" t="s">
        <v>5</v>
      </c>
      <c r="D1751" s="2" t="s">
        <v>599</v>
      </c>
      <c r="E1751" s="3">
        <v>8</v>
      </c>
      <c r="F1751" s="3">
        <v>2</v>
      </c>
      <c r="G1751" s="4">
        <v>43249</v>
      </c>
    </row>
    <row r="1752" spans="2:18" x14ac:dyDescent="0.2">
      <c r="C1752" s="55" t="s">
        <v>8</v>
      </c>
      <c r="D1752" s="55" t="s">
        <v>2115</v>
      </c>
      <c r="E1752" s="3">
        <v>72.5</v>
      </c>
      <c r="F1752" s="3">
        <v>11</v>
      </c>
      <c r="G1752" s="4">
        <v>43697</v>
      </c>
      <c r="J1752" s="1">
        <v>1600</v>
      </c>
    </row>
    <row r="1753" spans="2:18" x14ac:dyDescent="0.2">
      <c r="C1753" s="55" t="s">
        <v>18</v>
      </c>
      <c r="D1753" s="55" t="s">
        <v>2115</v>
      </c>
      <c r="E1753" s="3">
        <v>40</v>
      </c>
      <c r="F1753" s="3">
        <v>5</v>
      </c>
      <c r="G1753" s="4">
        <v>43069</v>
      </c>
      <c r="J1753" s="1">
        <v>1600</v>
      </c>
    </row>
    <row r="1754" spans="2:18" x14ac:dyDescent="0.2">
      <c r="C1754" s="55" t="s">
        <v>7</v>
      </c>
      <c r="D1754" s="55" t="s">
        <v>2115</v>
      </c>
      <c r="E1754" s="3">
        <v>20</v>
      </c>
      <c r="F1754" s="3">
        <f>13/3</f>
        <v>4.333333333333333</v>
      </c>
      <c r="G1754" s="4">
        <v>42317</v>
      </c>
      <c r="J1754" s="1">
        <v>1600</v>
      </c>
    </row>
    <row r="1755" spans="2:18" x14ac:dyDescent="0.2">
      <c r="C1755" s="55" t="s">
        <v>5</v>
      </c>
      <c r="D1755" s="55" t="s">
        <v>2115</v>
      </c>
      <c r="E1755" s="3">
        <v>8.9</v>
      </c>
      <c r="F1755" s="3">
        <f>E1755/6</f>
        <v>1.4833333333333334</v>
      </c>
      <c r="G1755" s="4">
        <v>41839</v>
      </c>
      <c r="J1755" s="1">
        <v>1600</v>
      </c>
    </row>
    <row r="1756" spans="2:18" x14ac:dyDescent="0.2">
      <c r="C1756" s="55" t="s">
        <v>4</v>
      </c>
      <c r="D1756" s="55" t="s">
        <v>2115</v>
      </c>
      <c r="E1756" s="3">
        <v>3</v>
      </c>
      <c r="F1756" s="3">
        <v>3</v>
      </c>
      <c r="G1756" s="4">
        <v>41416</v>
      </c>
      <c r="J1756" s="1">
        <v>1600</v>
      </c>
    </row>
    <row r="1757" spans="2:18" x14ac:dyDescent="0.2">
      <c r="C1757" s="55" t="s">
        <v>4</v>
      </c>
      <c r="D1757" s="55" t="s">
        <v>2115</v>
      </c>
      <c r="E1757" s="3">
        <v>1.7</v>
      </c>
      <c r="F1757" s="3">
        <v>1.7</v>
      </c>
      <c r="G1757" s="4">
        <v>41277</v>
      </c>
      <c r="J1757" s="1">
        <v>1600</v>
      </c>
    </row>
    <row r="1758" spans="2:18" x14ac:dyDescent="0.2">
      <c r="G1758" s="4"/>
    </row>
    <row r="1759" spans="2:18" s="12" customFormat="1" x14ac:dyDescent="0.2">
      <c r="B1759" s="12" t="s">
        <v>19</v>
      </c>
      <c r="C1759" s="13" t="s">
        <v>969</v>
      </c>
      <c r="D1759" s="13" t="s">
        <v>968</v>
      </c>
      <c r="E1759" s="15"/>
      <c r="F1759" s="15">
        <f>SUM(F1760:F1764)</f>
        <v>43.666666666666671</v>
      </c>
      <c r="G1759" s="14">
        <f>G1760</f>
        <v>44322</v>
      </c>
      <c r="M1759" s="13"/>
      <c r="N1759" s="13"/>
      <c r="O1759" s="13"/>
      <c r="P1759" s="13"/>
      <c r="Q1759" s="13"/>
      <c r="R1759" s="13"/>
    </row>
    <row r="1760" spans="2:18" x14ac:dyDescent="0.2">
      <c r="C1760" s="2" t="s">
        <v>8</v>
      </c>
      <c r="D1760" s="2" t="s">
        <v>15</v>
      </c>
      <c r="E1760" s="3">
        <v>220</v>
      </c>
      <c r="F1760" s="3">
        <v>26.666666666666668</v>
      </c>
      <c r="G1760" s="4">
        <v>44322</v>
      </c>
      <c r="I1760" s="1">
        <v>780</v>
      </c>
      <c r="J1760" s="1">
        <v>780</v>
      </c>
    </row>
    <row r="1761" spans="2:18" x14ac:dyDescent="0.2">
      <c r="C1761" s="2" t="s">
        <v>18</v>
      </c>
      <c r="D1761" s="2" t="s">
        <v>15</v>
      </c>
      <c r="E1761" s="3">
        <v>60</v>
      </c>
      <c r="F1761" s="3">
        <v>10</v>
      </c>
      <c r="G1761" s="4">
        <v>43528</v>
      </c>
    </row>
    <row r="1762" spans="2:18" x14ac:dyDescent="0.2">
      <c r="C1762" s="2" t="s">
        <v>7</v>
      </c>
      <c r="D1762" s="2" t="s">
        <v>15</v>
      </c>
      <c r="E1762" s="3">
        <v>28</v>
      </c>
      <c r="F1762" s="3">
        <v>4</v>
      </c>
      <c r="G1762" s="4">
        <v>43031</v>
      </c>
    </row>
    <row r="1763" spans="2:18" x14ac:dyDescent="0.2">
      <c r="C1763" s="2" t="s">
        <v>5</v>
      </c>
      <c r="D1763" s="2" t="s">
        <v>15</v>
      </c>
      <c r="E1763" s="3">
        <v>10</v>
      </c>
      <c r="F1763" s="3">
        <v>2</v>
      </c>
      <c r="G1763" s="4">
        <v>42508</v>
      </c>
    </row>
    <row r="1764" spans="2:18" x14ac:dyDescent="0.2">
      <c r="C1764" s="2" t="s">
        <v>4</v>
      </c>
      <c r="D1764" s="2" t="s">
        <v>15</v>
      </c>
      <c r="E1764" s="3">
        <v>1.8</v>
      </c>
      <c r="F1764" s="3">
        <v>1</v>
      </c>
      <c r="G1764" s="4">
        <v>41976</v>
      </c>
    </row>
    <row r="1765" spans="2:18" x14ac:dyDescent="0.2">
      <c r="G1765" s="4"/>
    </row>
    <row r="1766" spans="2:18" s="12" customFormat="1" x14ac:dyDescent="0.2">
      <c r="B1766" s="12" t="s">
        <v>1053</v>
      </c>
      <c r="C1766" s="13" t="s">
        <v>969</v>
      </c>
      <c r="D1766" s="13" t="s">
        <v>968</v>
      </c>
      <c r="E1766" s="15"/>
      <c r="F1766" s="15">
        <f>SUM(F1767:F1777)</f>
        <v>43.916666666666664</v>
      </c>
      <c r="G1766" s="14">
        <f>G1767</f>
        <v>45048</v>
      </c>
      <c r="M1766" s="13"/>
      <c r="N1766" s="13"/>
      <c r="O1766" s="13"/>
      <c r="P1766" s="13"/>
      <c r="Q1766" s="13"/>
      <c r="R1766" s="13"/>
    </row>
    <row r="1767" spans="2:18" x14ac:dyDescent="0.2">
      <c r="B1767" s="265" t="s">
        <v>7664</v>
      </c>
      <c r="C1767" s="2" t="s">
        <v>4</v>
      </c>
      <c r="D1767" s="2" t="s">
        <v>562</v>
      </c>
      <c r="E1767" s="3">
        <v>5.6</v>
      </c>
      <c r="F1767" s="3">
        <f>E1767/3</f>
        <v>1.8666666666666665</v>
      </c>
      <c r="G1767" s="4">
        <v>45048</v>
      </c>
    </row>
    <row r="1768" spans="2:18" x14ac:dyDescent="0.2">
      <c r="C1768" s="2" t="s">
        <v>4</v>
      </c>
      <c r="D1768" s="2" t="s">
        <v>516</v>
      </c>
      <c r="E1768" s="3">
        <v>4</v>
      </c>
      <c r="F1768" s="3">
        <f>4/3</f>
        <v>1.3333333333333333</v>
      </c>
      <c r="G1768" s="4">
        <v>42647</v>
      </c>
    </row>
    <row r="1769" spans="2:18" x14ac:dyDescent="0.2">
      <c r="C1769" s="2" t="s">
        <v>18</v>
      </c>
      <c r="D1769" s="2" t="s">
        <v>310</v>
      </c>
      <c r="E1769" s="3">
        <v>110</v>
      </c>
      <c r="F1769" s="3">
        <v>14</v>
      </c>
      <c r="G1769" s="4">
        <v>44369</v>
      </c>
    </row>
    <row r="1770" spans="2:18" x14ac:dyDescent="0.2">
      <c r="C1770" s="2" t="s">
        <v>7</v>
      </c>
      <c r="D1770" s="2" t="s">
        <v>310</v>
      </c>
      <c r="E1770" s="3">
        <v>40</v>
      </c>
      <c r="F1770" s="3">
        <v>4</v>
      </c>
      <c r="G1770" s="4">
        <v>43419</v>
      </c>
    </row>
    <row r="1771" spans="2:18" x14ac:dyDescent="0.2">
      <c r="C1771" s="2" t="s">
        <v>5</v>
      </c>
      <c r="D1771" s="2" t="s">
        <v>310</v>
      </c>
      <c r="E1771" s="3">
        <v>14.7</v>
      </c>
      <c r="F1771" s="3">
        <v>5.7</v>
      </c>
      <c r="G1771" s="4">
        <v>43032</v>
      </c>
    </row>
    <row r="1772" spans="2:18" x14ac:dyDescent="0.2">
      <c r="C1772" s="2" t="s">
        <v>5</v>
      </c>
      <c r="D1772" s="2" t="s">
        <v>95</v>
      </c>
      <c r="E1772" s="3">
        <v>10</v>
      </c>
      <c r="F1772" s="3">
        <v>2.5</v>
      </c>
      <c r="G1772" s="4">
        <v>42304</v>
      </c>
    </row>
    <row r="1773" spans="2:18" x14ac:dyDescent="0.2">
      <c r="C1773" s="2" t="s">
        <v>4</v>
      </c>
      <c r="D1773" s="2" t="s">
        <v>95</v>
      </c>
      <c r="E1773" s="3">
        <v>5</v>
      </c>
      <c r="F1773" s="3">
        <f>E1773/3</f>
        <v>1.6666666666666667</v>
      </c>
      <c r="G1773" s="4">
        <v>41940</v>
      </c>
    </row>
    <row r="1774" spans="2:18" x14ac:dyDescent="0.2">
      <c r="C1774" s="93" t="s">
        <v>7</v>
      </c>
      <c r="D1774" s="93" t="s">
        <v>6010</v>
      </c>
      <c r="E1774" s="3">
        <v>50</v>
      </c>
      <c r="F1774" s="3">
        <v>7</v>
      </c>
      <c r="G1774" s="4">
        <v>44670</v>
      </c>
      <c r="J1774" s="1">
        <v>250</v>
      </c>
    </row>
    <row r="1775" spans="2:18" x14ac:dyDescent="0.2">
      <c r="C1775" s="93" t="s">
        <v>5</v>
      </c>
      <c r="D1775" s="93" t="s">
        <v>6010</v>
      </c>
      <c r="E1775" s="3">
        <v>12</v>
      </c>
      <c r="F1775" s="3">
        <v>2</v>
      </c>
      <c r="G1775" s="4">
        <v>43941</v>
      </c>
      <c r="J1775" s="1">
        <v>250</v>
      </c>
    </row>
    <row r="1776" spans="2:18" x14ac:dyDescent="0.2">
      <c r="C1776" s="93" t="s">
        <v>4</v>
      </c>
      <c r="D1776" s="93" t="s">
        <v>6010</v>
      </c>
      <c r="E1776" s="3">
        <v>4.2</v>
      </c>
      <c r="F1776" s="3">
        <v>3.2</v>
      </c>
      <c r="G1776" s="4">
        <v>43525</v>
      </c>
      <c r="J1776" s="1">
        <v>250</v>
      </c>
    </row>
    <row r="1777" spans="2:18" x14ac:dyDescent="0.2">
      <c r="C1777" s="93" t="s">
        <v>278</v>
      </c>
      <c r="D1777" s="93" t="s">
        <v>6010</v>
      </c>
      <c r="E1777" s="3">
        <v>0.65</v>
      </c>
      <c r="F1777" s="95">
        <v>0.65</v>
      </c>
      <c r="G1777" s="4">
        <v>42978</v>
      </c>
      <c r="J1777" s="1">
        <v>250</v>
      </c>
    </row>
    <row r="1778" spans="2:18" x14ac:dyDescent="0.2">
      <c r="G1778" s="4"/>
    </row>
    <row r="1779" spans="2:18" s="12" customFormat="1" x14ac:dyDescent="0.2">
      <c r="B1779" s="12" t="s">
        <v>1059</v>
      </c>
      <c r="C1779" s="13" t="s">
        <v>969</v>
      </c>
      <c r="D1779" s="13" t="s">
        <v>968</v>
      </c>
      <c r="E1779" s="15"/>
      <c r="F1779" s="15">
        <f>SUM(F1780:F1790)</f>
        <v>42.360606060606067</v>
      </c>
      <c r="G1779" s="14">
        <f>G1780</f>
        <v>44642</v>
      </c>
      <c r="M1779" s="13"/>
      <c r="N1779" s="13"/>
      <c r="O1779" s="13"/>
      <c r="P1779" s="13"/>
      <c r="Q1779" s="13"/>
      <c r="R1779" s="13"/>
    </row>
    <row r="1780" spans="2:18" x14ac:dyDescent="0.2">
      <c r="B1780" s="265" t="s">
        <v>7664</v>
      </c>
      <c r="C1780" s="2" t="s">
        <v>7</v>
      </c>
      <c r="D1780" s="2" t="s">
        <v>87</v>
      </c>
      <c r="E1780" s="3">
        <v>25</v>
      </c>
      <c r="F1780" s="3">
        <f>15/6</f>
        <v>2.5</v>
      </c>
      <c r="G1780" s="4">
        <v>44642</v>
      </c>
    </row>
    <row r="1781" spans="2:18" x14ac:dyDescent="0.2">
      <c r="C1781" s="2" t="s">
        <v>5</v>
      </c>
      <c r="D1781" s="2" t="s">
        <v>87</v>
      </c>
      <c r="E1781" s="3">
        <v>13.5</v>
      </c>
      <c r="F1781" s="3">
        <f>10/6</f>
        <v>1.6666666666666667</v>
      </c>
      <c r="G1781" s="4">
        <v>43978</v>
      </c>
    </row>
    <row r="1782" spans="2:18" x14ac:dyDescent="0.2">
      <c r="C1782" s="2" t="s">
        <v>4</v>
      </c>
      <c r="D1782" s="2" t="s">
        <v>87</v>
      </c>
      <c r="E1782" s="3">
        <v>5.3</v>
      </c>
      <c r="F1782" s="3">
        <v>1.3</v>
      </c>
      <c r="G1782" s="4">
        <v>43398</v>
      </c>
    </row>
    <row r="1783" spans="2:18" x14ac:dyDescent="0.2">
      <c r="C1783" s="2" t="s">
        <v>4</v>
      </c>
      <c r="D1783" s="2" t="s">
        <v>87</v>
      </c>
      <c r="E1783" s="3">
        <v>4</v>
      </c>
      <c r="F1783" s="3">
        <v>1.5</v>
      </c>
      <c r="G1783" s="4">
        <v>43122</v>
      </c>
    </row>
    <row r="1784" spans="2:18" x14ac:dyDescent="0.2">
      <c r="C1784" s="2" t="s">
        <v>9</v>
      </c>
      <c r="D1784" s="2" t="s">
        <v>22</v>
      </c>
      <c r="E1784" s="3">
        <v>222</v>
      </c>
      <c r="F1784" s="3">
        <f>200/21</f>
        <v>9.5238095238095237</v>
      </c>
      <c r="G1784" s="4">
        <v>44194</v>
      </c>
      <c r="I1784" s="1">
        <v>2500</v>
      </c>
      <c r="J1784" s="1">
        <v>2500</v>
      </c>
    </row>
    <row r="1785" spans="2:18" x14ac:dyDescent="0.2">
      <c r="C1785" s="2" t="s">
        <v>8</v>
      </c>
      <c r="D1785" s="2" t="s">
        <v>22</v>
      </c>
      <c r="E1785" s="3">
        <v>200</v>
      </c>
      <c r="F1785" s="3">
        <v>12.727272727272727</v>
      </c>
      <c r="G1785" s="4">
        <v>43452</v>
      </c>
      <c r="I1785" s="1">
        <v>1500</v>
      </c>
      <c r="J1785" s="1">
        <v>2500</v>
      </c>
    </row>
    <row r="1786" spans="2:18" x14ac:dyDescent="0.2">
      <c r="C1786" s="2" t="s">
        <v>18</v>
      </c>
      <c r="D1786" s="2" t="s">
        <v>22</v>
      </c>
      <c r="E1786" s="3">
        <v>50</v>
      </c>
      <c r="F1786" s="3">
        <v>5</v>
      </c>
      <c r="G1786" s="4">
        <v>43051</v>
      </c>
      <c r="J1786" s="1">
        <v>2500</v>
      </c>
    </row>
    <row r="1787" spans="2:18" x14ac:dyDescent="0.2">
      <c r="C1787" s="2" t="s">
        <v>7</v>
      </c>
      <c r="D1787" s="2" t="s">
        <v>22</v>
      </c>
      <c r="E1787" s="3">
        <v>30</v>
      </c>
      <c r="F1787" s="3">
        <v>3.1428571428571428</v>
      </c>
      <c r="G1787" s="4">
        <v>42936</v>
      </c>
      <c r="J1787" s="1">
        <v>2500</v>
      </c>
    </row>
    <row r="1788" spans="2:18" x14ac:dyDescent="0.2">
      <c r="C1788" s="2" t="s">
        <v>5</v>
      </c>
      <c r="D1788" s="2" t="s">
        <v>22</v>
      </c>
      <c r="E1788" s="3">
        <v>30</v>
      </c>
      <c r="F1788" s="3">
        <v>3</v>
      </c>
      <c r="G1788" s="4">
        <v>42674</v>
      </c>
      <c r="J1788" s="1">
        <v>2500</v>
      </c>
    </row>
    <row r="1789" spans="2:18" x14ac:dyDescent="0.2">
      <c r="C1789" s="2" t="s">
        <v>5</v>
      </c>
      <c r="D1789" s="2" t="s">
        <v>7326</v>
      </c>
      <c r="E1789" s="3">
        <v>3</v>
      </c>
      <c r="F1789" s="3">
        <v>1</v>
      </c>
      <c r="G1789" s="4">
        <v>43858</v>
      </c>
    </row>
    <row r="1790" spans="2:18" x14ac:dyDescent="0.2">
      <c r="C1790" s="2" t="s">
        <v>4</v>
      </c>
      <c r="D1790" s="2" t="s">
        <v>7326</v>
      </c>
      <c r="E1790" s="3">
        <v>3</v>
      </c>
      <c r="F1790" s="3">
        <v>1</v>
      </c>
      <c r="G1790" s="4">
        <v>43361</v>
      </c>
    </row>
    <row r="1791" spans="2:18" x14ac:dyDescent="0.2">
      <c r="G1791" s="4"/>
    </row>
    <row r="1792" spans="2:18" s="12" customFormat="1" x14ac:dyDescent="0.2">
      <c r="B1792" s="12" t="s">
        <v>27</v>
      </c>
      <c r="C1792" s="13" t="s">
        <v>969</v>
      </c>
      <c r="D1792" s="13" t="s">
        <v>968</v>
      </c>
      <c r="E1792" s="15"/>
      <c r="F1792" s="15">
        <f>SUM(F1793:F1797)</f>
        <v>40.523809523809526</v>
      </c>
      <c r="G1792" s="14">
        <f>G1797</f>
        <v>44572</v>
      </c>
      <c r="M1792" s="13"/>
      <c r="N1792" s="13"/>
      <c r="O1792" s="13"/>
      <c r="P1792" s="13"/>
      <c r="Q1792" s="13"/>
      <c r="R1792" s="13"/>
    </row>
    <row r="1793" spans="2:18" x14ac:dyDescent="0.2">
      <c r="C1793" s="2" t="s">
        <v>9</v>
      </c>
      <c r="D1793" s="2" t="s">
        <v>22</v>
      </c>
      <c r="E1793" s="3">
        <v>222</v>
      </c>
      <c r="F1793" s="3">
        <f>200/21</f>
        <v>9.5238095238095237</v>
      </c>
      <c r="G1793" s="4">
        <v>44194</v>
      </c>
      <c r="I1793" s="1">
        <v>2500</v>
      </c>
      <c r="J1793" s="1">
        <v>2500</v>
      </c>
    </row>
    <row r="1794" spans="2:18" x14ac:dyDescent="0.2">
      <c r="C1794" s="2" t="s">
        <v>8</v>
      </c>
      <c r="D1794" s="2" t="s">
        <v>22</v>
      </c>
      <c r="E1794" s="3">
        <v>200</v>
      </c>
      <c r="F1794" s="3">
        <v>13</v>
      </c>
      <c r="G1794" s="4">
        <v>43452</v>
      </c>
      <c r="I1794" s="1">
        <v>1500</v>
      </c>
      <c r="J1794" s="1">
        <v>2500</v>
      </c>
    </row>
    <row r="1795" spans="2:18" x14ac:dyDescent="0.2">
      <c r="C1795" s="2" t="s">
        <v>18</v>
      </c>
      <c r="D1795" s="2" t="s">
        <v>22</v>
      </c>
      <c r="E1795" s="3">
        <v>50</v>
      </c>
      <c r="F1795" s="3">
        <v>5</v>
      </c>
      <c r="G1795" s="4">
        <v>43051</v>
      </c>
      <c r="J1795" s="1">
        <v>2500</v>
      </c>
    </row>
    <row r="1796" spans="2:18" x14ac:dyDescent="0.2">
      <c r="C1796" s="2" t="s">
        <v>7</v>
      </c>
      <c r="D1796" s="2" t="s">
        <v>22</v>
      </c>
      <c r="E1796" s="3">
        <v>30</v>
      </c>
      <c r="F1796" s="3">
        <v>3</v>
      </c>
      <c r="G1796" s="4">
        <v>42936</v>
      </c>
      <c r="J1796" s="1">
        <v>2500</v>
      </c>
    </row>
    <row r="1797" spans="2:18" x14ac:dyDescent="0.2">
      <c r="C1797" s="161" t="s">
        <v>7</v>
      </c>
      <c r="D1797" s="161" t="s">
        <v>2037</v>
      </c>
      <c r="E1797" s="3">
        <v>25</v>
      </c>
      <c r="F1797" s="3">
        <v>10</v>
      </c>
      <c r="G1797" s="4">
        <v>44572</v>
      </c>
    </row>
    <row r="1798" spans="2:18" x14ac:dyDescent="0.2">
      <c r="G1798" s="4"/>
    </row>
    <row r="1799" spans="2:18" s="12" customFormat="1" x14ac:dyDescent="0.2">
      <c r="B1799" s="12" t="s">
        <v>4901</v>
      </c>
      <c r="C1799" s="13" t="s">
        <v>969</v>
      </c>
      <c r="D1799" s="13" t="s">
        <v>968</v>
      </c>
      <c r="E1799" s="15"/>
      <c r="F1799" s="15">
        <f>SUM(F1800:F1804)</f>
        <v>40.549999999999997</v>
      </c>
      <c r="G1799" s="14">
        <f>G1800</f>
        <v>44320</v>
      </c>
      <c r="M1799" s="13"/>
      <c r="N1799" s="13"/>
      <c r="O1799" s="13"/>
      <c r="P1799" s="13"/>
      <c r="Q1799" s="13"/>
      <c r="R1799" s="13"/>
    </row>
    <row r="1800" spans="2:18" x14ac:dyDescent="0.2">
      <c r="B1800" s="51"/>
      <c r="C1800" s="52" t="s">
        <v>8</v>
      </c>
      <c r="D1800" s="52" t="s">
        <v>4897</v>
      </c>
      <c r="E1800" s="3">
        <v>83</v>
      </c>
      <c r="F1800" s="3">
        <f>68/10</f>
        <v>6.8</v>
      </c>
      <c r="G1800" s="4">
        <v>44320</v>
      </c>
      <c r="I1800" s="1">
        <v>3600</v>
      </c>
      <c r="J1800" s="1">
        <v>9000</v>
      </c>
    </row>
    <row r="1801" spans="2:18" x14ac:dyDescent="0.2">
      <c r="C1801" s="52" t="s">
        <v>18</v>
      </c>
      <c r="D1801" s="52" t="s">
        <v>4897</v>
      </c>
      <c r="E1801" s="3">
        <v>100</v>
      </c>
      <c r="F1801" s="3">
        <f>80/8</f>
        <v>10</v>
      </c>
      <c r="G1801" s="4">
        <v>43937</v>
      </c>
      <c r="I1801" s="1">
        <v>1100</v>
      </c>
      <c r="J1801" s="1">
        <v>9000</v>
      </c>
    </row>
    <row r="1802" spans="2:18" x14ac:dyDescent="0.2">
      <c r="C1802" s="52" t="s">
        <v>7</v>
      </c>
      <c r="D1802" s="52" t="s">
        <v>4897</v>
      </c>
      <c r="E1802" s="3">
        <v>40</v>
      </c>
      <c r="F1802" s="3">
        <v>10</v>
      </c>
      <c r="G1802" s="4">
        <v>43522</v>
      </c>
      <c r="J1802" s="1">
        <v>9000</v>
      </c>
    </row>
    <row r="1803" spans="2:18" x14ac:dyDescent="0.2">
      <c r="C1803" s="52" t="s">
        <v>5</v>
      </c>
      <c r="D1803" s="52" t="s">
        <v>4897</v>
      </c>
      <c r="E1803" s="3">
        <v>25</v>
      </c>
      <c r="F1803" s="3">
        <f>E1803/4</f>
        <v>6.25</v>
      </c>
      <c r="G1803" s="4">
        <v>43172</v>
      </c>
      <c r="J1803" s="1">
        <v>9000</v>
      </c>
    </row>
    <row r="1804" spans="2:18" x14ac:dyDescent="0.2">
      <c r="C1804" s="52" t="s">
        <v>5</v>
      </c>
      <c r="D1804" s="52" t="s">
        <v>4897</v>
      </c>
      <c r="E1804" s="3">
        <v>15</v>
      </c>
      <c r="F1804" s="3">
        <f>E1804/2</f>
        <v>7.5</v>
      </c>
      <c r="G1804" s="4">
        <v>42371</v>
      </c>
      <c r="J1804" s="1">
        <v>9000</v>
      </c>
    </row>
    <row r="1806" spans="2:18" s="12" customFormat="1" x14ac:dyDescent="0.2">
      <c r="B1806" s="12" t="s">
        <v>1060</v>
      </c>
      <c r="C1806" s="13" t="s">
        <v>969</v>
      </c>
      <c r="D1806" s="13" t="s">
        <v>968</v>
      </c>
      <c r="E1806" s="15"/>
      <c r="F1806" s="15">
        <f>SUM(F1807:F1809)</f>
        <v>39.625</v>
      </c>
      <c r="G1806" s="14">
        <f>G1807</f>
        <v>44999</v>
      </c>
      <c r="M1806" s="13"/>
      <c r="N1806" s="13"/>
      <c r="O1806" s="13"/>
      <c r="P1806" s="13"/>
      <c r="Q1806" s="13"/>
      <c r="R1806" s="13"/>
    </row>
    <row r="1807" spans="2:18" x14ac:dyDescent="0.2">
      <c r="C1807" s="2" t="s">
        <v>7</v>
      </c>
      <c r="D1807" s="2" t="s">
        <v>949</v>
      </c>
      <c r="E1807" s="3">
        <v>350</v>
      </c>
      <c r="F1807" s="3">
        <v>20</v>
      </c>
      <c r="G1807" s="4">
        <v>44999</v>
      </c>
    </row>
    <row r="1808" spans="2:18" x14ac:dyDescent="0.2">
      <c r="C1808" s="2" t="s">
        <v>8</v>
      </c>
      <c r="D1808" s="2" t="s">
        <v>258</v>
      </c>
      <c r="E1808" s="3">
        <v>111</v>
      </c>
      <c r="F1808" s="3">
        <v>14</v>
      </c>
      <c r="G1808" s="4">
        <v>44622</v>
      </c>
    </row>
    <row r="1809" spans="2:19" x14ac:dyDescent="0.2">
      <c r="C1809" s="2" t="s">
        <v>18</v>
      </c>
      <c r="D1809" s="2" t="s">
        <v>258</v>
      </c>
      <c r="E1809" s="3">
        <v>55</v>
      </c>
      <c r="F1809" s="3">
        <v>5.625</v>
      </c>
      <c r="G1809" s="4">
        <v>44314</v>
      </c>
    </row>
    <row r="1810" spans="2:19" x14ac:dyDescent="0.2">
      <c r="G1810" s="4"/>
    </row>
    <row r="1811" spans="2:19" s="12" customFormat="1" x14ac:dyDescent="0.2">
      <c r="B1811" s="12" t="s">
        <v>6720</v>
      </c>
      <c r="C1811" s="13" t="s">
        <v>969</v>
      </c>
      <c r="D1811" s="13" t="s">
        <v>968</v>
      </c>
      <c r="E1811" s="15"/>
      <c r="F1811" s="15">
        <f>SUM(F1812:F1813)</f>
        <v>39.523809523809526</v>
      </c>
      <c r="G1811" s="14">
        <f>G1812</f>
        <v>44194</v>
      </c>
      <c r="M1811" s="13"/>
      <c r="N1811" s="13"/>
      <c r="O1811" s="13"/>
      <c r="P1811" s="13"/>
      <c r="Q1811" s="13"/>
      <c r="R1811" s="13"/>
    </row>
    <row r="1812" spans="2:19" x14ac:dyDescent="0.2">
      <c r="B1812" s="184"/>
      <c r="C1812" s="2" t="s">
        <v>9</v>
      </c>
      <c r="D1812" s="2" t="s">
        <v>22</v>
      </c>
      <c r="E1812" s="3">
        <v>222</v>
      </c>
      <c r="F1812" s="3">
        <f>200/21</f>
        <v>9.5238095238095237</v>
      </c>
      <c r="G1812" s="4">
        <v>44194</v>
      </c>
      <c r="I1812" s="1">
        <v>2500</v>
      </c>
      <c r="J1812" s="1">
        <v>2500</v>
      </c>
    </row>
    <row r="1813" spans="2:19" x14ac:dyDescent="0.2">
      <c r="C1813" s="2" t="s">
        <v>8</v>
      </c>
      <c r="D1813" s="2" t="s">
        <v>22</v>
      </c>
      <c r="E1813" s="3">
        <v>200</v>
      </c>
      <c r="F1813" s="3">
        <v>30</v>
      </c>
      <c r="G1813" s="4">
        <v>43452</v>
      </c>
      <c r="I1813" s="1">
        <v>1500</v>
      </c>
      <c r="J1813" s="1">
        <v>2500</v>
      </c>
    </row>
    <row r="1815" spans="2:19" s="12" customFormat="1" x14ac:dyDescent="0.2">
      <c r="B1815" s="12" t="s">
        <v>866</v>
      </c>
      <c r="C1815" s="13" t="s">
        <v>969</v>
      </c>
      <c r="D1815" s="13" t="s">
        <v>968</v>
      </c>
      <c r="E1815" s="15"/>
      <c r="F1815" s="15">
        <f>SUM(F1816:F1822)</f>
        <v>39.952380952380956</v>
      </c>
      <c r="G1815" s="14">
        <f>G1816</f>
        <v>44378</v>
      </c>
      <c r="M1815" s="13"/>
      <c r="N1815" s="13"/>
      <c r="O1815" s="13"/>
      <c r="P1815" s="13"/>
      <c r="Q1815" s="13"/>
      <c r="R1815" s="13"/>
    </row>
    <row r="1816" spans="2:19" x14ac:dyDescent="0.2">
      <c r="C1816" s="2" t="s">
        <v>5</v>
      </c>
      <c r="D1816" s="2" t="s">
        <v>864</v>
      </c>
      <c r="E1816" s="3">
        <v>10</v>
      </c>
      <c r="F1816" s="3">
        <v>3</v>
      </c>
      <c r="G1816" s="4">
        <v>44378</v>
      </c>
    </row>
    <row r="1817" spans="2:19" x14ac:dyDescent="0.2">
      <c r="C1817" s="2" t="s">
        <v>5</v>
      </c>
      <c r="D1817" s="2" t="s">
        <v>197</v>
      </c>
      <c r="E1817" s="3">
        <v>5</v>
      </c>
      <c r="F1817" s="3">
        <f>E1817/3</f>
        <v>1.6666666666666667</v>
      </c>
      <c r="G1817" s="4">
        <v>42688</v>
      </c>
    </row>
    <row r="1818" spans="2:19" x14ac:dyDescent="0.2">
      <c r="C1818" s="2" t="s">
        <v>7</v>
      </c>
      <c r="D1818" s="2" t="s">
        <v>80</v>
      </c>
      <c r="E1818" s="3">
        <v>100</v>
      </c>
      <c r="F1818" s="3">
        <v>20</v>
      </c>
      <c r="G1818" s="4">
        <v>43958</v>
      </c>
    </row>
    <row r="1819" spans="2:19" x14ac:dyDescent="0.2">
      <c r="C1819" s="2" t="s">
        <v>4</v>
      </c>
      <c r="D1819" s="2" t="s">
        <v>80</v>
      </c>
      <c r="E1819" s="3">
        <v>49</v>
      </c>
      <c r="F1819" s="3">
        <v>7.5</v>
      </c>
      <c r="G1819" s="4">
        <v>43319</v>
      </c>
    </row>
    <row r="1820" spans="2:19" x14ac:dyDescent="0.2">
      <c r="C1820" s="2" t="s">
        <v>278</v>
      </c>
      <c r="D1820" s="2" t="s">
        <v>80</v>
      </c>
      <c r="E1820" s="3">
        <f>9.5/7</f>
        <v>1.3571428571428572</v>
      </c>
      <c r="F1820" s="3">
        <f>+E1820</f>
        <v>1.3571428571428572</v>
      </c>
      <c r="G1820" s="4">
        <v>43185</v>
      </c>
    </row>
    <row r="1821" spans="2:19" x14ac:dyDescent="0.2">
      <c r="C1821" s="2" t="s">
        <v>5</v>
      </c>
      <c r="D1821" s="2" t="s">
        <v>64</v>
      </c>
      <c r="E1821" s="3">
        <v>50</v>
      </c>
      <c r="F1821" s="3">
        <f>20/4</f>
        <v>5</v>
      </c>
      <c r="G1821" s="4">
        <v>44165</v>
      </c>
    </row>
    <row r="1822" spans="2:19" x14ac:dyDescent="0.2">
      <c r="C1822" s="161" t="s">
        <v>5</v>
      </c>
      <c r="D1822" s="161" t="s">
        <v>2042</v>
      </c>
      <c r="E1822" s="3">
        <v>18</v>
      </c>
      <c r="F1822" s="3">
        <f>10/7</f>
        <v>1.4285714285714286</v>
      </c>
      <c r="G1822" s="4">
        <v>43445</v>
      </c>
    </row>
    <row r="1823" spans="2:19" x14ac:dyDescent="0.2">
      <c r="G1823" s="4"/>
    </row>
    <row r="1824" spans="2:19" s="12" customFormat="1" x14ac:dyDescent="0.2">
      <c r="B1824" s="12" t="s">
        <v>4867</v>
      </c>
      <c r="C1824" s="13" t="s">
        <v>969</v>
      </c>
      <c r="D1824" s="13" t="s">
        <v>968</v>
      </c>
      <c r="E1824" s="15"/>
      <c r="F1824" s="15">
        <f>SUM(F1825:F1826)</f>
        <v>39</v>
      </c>
      <c r="G1824" s="14">
        <f>G1825</f>
        <v>43348</v>
      </c>
      <c r="M1824" s="13"/>
      <c r="N1824" s="13"/>
      <c r="O1824" s="13"/>
      <c r="P1824" s="13"/>
      <c r="Q1824" s="13"/>
      <c r="R1824" s="13"/>
      <c r="S1824" s="12" t="s">
        <v>4883</v>
      </c>
    </row>
    <row r="1825" spans="2:18" x14ac:dyDescent="0.2">
      <c r="B1825" s="51"/>
      <c r="C1825" s="52" t="s">
        <v>5</v>
      </c>
      <c r="D1825" s="52" t="s">
        <v>2121</v>
      </c>
      <c r="E1825" s="3">
        <v>52.3</v>
      </c>
      <c r="F1825" s="3">
        <v>30</v>
      </c>
      <c r="G1825" s="4">
        <v>43348</v>
      </c>
      <c r="J1825" s="1">
        <v>700</v>
      </c>
    </row>
    <row r="1826" spans="2:18" x14ac:dyDescent="0.2">
      <c r="B1826" s="51"/>
      <c r="C1826" s="52" t="s">
        <v>4</v>
      </c>
      <c r="D1826" s="52" t="s">
        <v>2121</v>
      </c>
      <c r="E1826" s="3">
        <v>10.3</v>
      </c>
      <c r="F1826" s="3">
        <v>9</v>
      </c>
      <c r="G1826" s="4">
        <v>42846</v>
      </c>
      <c r="J1826" s="1">
        <v>700</v>
      </c>
    </row>
    <row r="1827" spans="2:18" x14ac:dyDescent="0.2">
      <c r="B1827" s="51"/>
      <c r="C1827" s="52"/>
      <c r="D1827" s="52"/>
      <c r="G1827" s="4"/>
    </row>
    <row r="1828" spans="2:18" s="12" customFormat="1" x14ac:dyDescent="0.2">
      <c r="B1828" s="12" t="s">
        <v>1058</v>
      </c>
      <c r="C1828" s="13" t="s">
        <v>969</v>
      </c>
      <c r="D1828" s="13" t="s">
        <v>968</v>
      </c>
      <c r="E1828" s="15"/>
      <c r="F1828" s="15">
        <f>SUM(F1829:F1833)</f>
        <v>38.4</v>
      </c>
      <c r="G1828" s="14">
        <f>G1829</f>
        <v>44698</v>
      </c>
      <c r="M1828" s="13"/>
      <c r="N1828" s="13"/>
      <c r="O1828" s="13"/>
      <c r="P1828" s="13"/>
      <c r="Q1828" s="13"/>
      <c r="R1828" s="13"/>
    </row>
    <row r="1829" spans="2:18" x14ac:dyDescent="0.2">
      <c r="C1829" s="2" t="s">
        <v>5</v>
      </c>
      <c r="D1829" s="2" t="s">
        <v>773</v>
      </c>
      <c r="E1829" s="3">
        <v>12.8</v>
      </c>
      <c r="F1829" s="3">
        <v>6.8</v>
      </c>
      <c r="G1829" s="4">
        <v>44698</v>
      </c>
    </row>
    <row r="1830" spans="2:18" x14ac:dyDescent="0.2">
      <c r="C1830" s="2" t="s">
        <v>5</v>
      </c>
      <c r="D1830" s="2" t="s">
        <v>542</v>
      </c>
      <c r="E1830" s="3">
        <v>14</v>
      </c>
      <c r="F1830" s="3">
        <f>8/5</f>
        <v>1.6</v>
      </c>
      <c r="G1830" s="4">
        <v>44447</v>
      </c>
    </row>
    <row r="1831" spans="2:18" x14ac:dyDescent="0.2">
      <c r="C1831" s="2" t="s">
        <v>5</v>
      </c>
      <c r="D1831" s="2" t="s">
        <v>542</v>
      </c>
      <c r="E1831" s="3">
        <v>12</v>
      </c>
      <c r="F1831" s="3">
        <f>8/4</f>
        <v>2</v>
      </c>
      <c r="G1831" s="4">
        <v>43532</v>
      </c>
    </row>
    <row r="1832" spans="2:18" x14ac:dyDescent="0.2">
      <c r="C1832" s="2" t="s">
        <v>9</v>
      </c>
      <c r="D1832" s="2" t="s">
        <v>489</v>
      </c>
      <c r="E1832" s="3">
        <v>206</v>
      </c>
      <c r="F1832" s="3">
        <v>14</v>
      </c>
      <c r="G1832" s="4">
        <v>43725</v>
      </c>
    </row>
    <row r="1833" spans="2:18" x14ac:dyDescent="0.2">
      <c r="C1833" s="2" t="s">
        <v>18</v>
      </c>
      <c r="D1833" s="2" t="s">
        <v>310</v>
      </c>
      <c r="E1833" s="3">
        <v>110</v>
      </c>
      <c r="F1833" s="3">
        <v>14</v>
      </c>
      <c r="G1833" s="4">
        <v>44369</v>
      </c>
    </row>
    <row r="1834" spans="2:18" x14ac:dyDescent="0.2">
      <c r="G1834" s="4"/>
    </row>
    <row r="1835" spans="2:18" s="12" customFormat="1" x14ac:dyDescent="0.2">
      <c r="B1835" s="12" t="s">
        <v>1057</v>
      </c>
      <c r="C1835" s="13" t="s">
        <v>969</v>
      </c>
      <c r="D1835" s="13" t="s">
        <v>968</v>
      </c>
      <c r="E1835" s="15"/>
      <c r="F1835" s="15">
        <f>SUM(F1836:F1837)</f>
        <v>38</v>
      </c>
      <c r="G1835" s="14">
        <f>G1836</f>
        <v>44812</v>
      </c>
      <c r="M1835" s="13"/>
      <c r="N1835" s="13"/>
      <c r="O1835" s="13"/>
      <c r="P1835" s="13"/>
      <c r="Q1835" s="13"/>
      <c r="R1835" s="13"/>
    </row>
    <row r="1836" spans="2:18" x14ac:dyDescent="0.2">
      <c r="C1836" s="2" t="s">
        <v>7</v>
      </c>
      <c r="D1836" s="2" t="s">
        <v>984</v>
      </c>
      <c r="E1836" s="3">
        <v>38</v>
      </c>
      <c r="F1836" s="3">
        <v>18</v>
      </c>
      <c r="G1836" s="4">
        <v>44812</v>
      </c>
    </row>
    <row r="1837" spans="2:18" x14ac:dyDescent="0.2">
      <c r="C1837" s="2" t="s">
        <v>18</v>
      </c>
      <c r="D1837" s="2" t="s">
        <v>1056</v>
      </c>
      <c r="E1837" s="3">
        <v>40</v>
      </c>
      <c r="F1837" s="3">
        <v>20</v>
      </c>
      <c r="G1837" s="4">
        <v>44599</v>
      </c>
    </row>
    <row r="1838" spans="2:18" x14ac:dyDescent="0.2">
      <c r="G1838" s="4"/>
    </row>
    <row r="1839" spans="2:18" s="12" customFormat="1" x14ac:dyDescent="0.2">
      <c r="B1839" s="12" t="s">
        <v>200</v>
      </c>
      <c r="C1839" s="13" t="s">
        <v>969</v>
      </c>
      <c r="D1839" s="13" t="s">
        <v>968</v>
      </c>
      <c r="E1839" s="15"/>
      <c r="F1839" s="15">
        <f>SUM(F1840:F1841)</f>
        <v>38</v>
      </c>
      <c r="G1839" s="14">
        <f>G1840</f>
        <v>43391</v>
      </c>
      <c r="M1839" s="13"/>
      <c r="N1839" s="13"/>
      <c r="O1839" s="13"/>
      <c r="P1839" s="13"/>
      <c r="Q1839" s="13"/>
      <c r="R1839" s="13"/>
    </row>
    <row r="1840" spans="2:18" x14ac:dyDescent="0.2">
      <c r="C1840" s="2" t="s">
        <v>7</v>
      </c>
      <c r="D1840" s="2" t="s">
        <v>197</v>
      </c>
      <c r="E1840" s="3">
        <v>120</v>
      </c>
      <c r="F1840" s="3">
        <v>30</v>
      </c>
      <c r="G1840" s="4">
        <v>43391</v>
      </c>
    </row>
    <row r="1841" spans="2:18" x14ac:dyDescent="0.2">
      <c r="C1841" s="2" t="s">
        <v>5</v>
      </c>
      <c r="D1841" s="2" t="s">
        <v>161</v>
      </c>
      <c r="E1841" s="3">
        <v>102</v>
      </c>
      <c r="F1841" s="3">
        <v>8</v>
      </c>
      <c r="G1841" s="4">
        <v>43292</v>
      </c>
      <c r="J1841" s="1">
        <v>8400</v>
      </c>
    </row>
    <row r="1842" spans="2:18" x14ac:dyDescent="0.2">
      <c r="G1842" s="4"/>
    </row>
    <row r="1843" spans="2:18" s="12" customFormat="1" x14ac:dyDescent="0.2">
      <c r="B1843" s="12" t="s">
        <v>7935</v>
      </c>
      <c r="C1843" s="13" t="s">
        <v>969</v>
      </c>
      <c r="D1843" s="13" t="s">
        <v>968</v>
      </c>
      <c r="E1843" s="15"/>
      <c r="F1843" s="15">
        <f>SUM(F1844:F1845)</f>
        <v>37.838095238095235</v>
      </c>
      <c r="G1843" s="14">
        <f>G1845</f>
        <v>45183</v>
      </c>
      <c r="M1843" s="13"/>
      <c r="N1843" s="13"/>
      <c r="O1843" s="13"/>
      <c r="P1843" s="13"/>
      <c r="Q1843" s="13"/>
      <c r="R1843" s="13"/>
    </row>
    <row r="1844" spans="2:18" x14ac:dyDescent="0.2">
      <c r="C1844" s="2" t="s">
        <v>8</v>
      </c>
      <c r="D1844" s="2" t="s">
        <v>386</v>
      </c>
      <c r="E1844" s="3">
        <v>140</v>
      </c>
      <c r="F1844" s="3">
        <v>10</v>
      </c>
      <c r="G1844" s="4">
        <v>44286</v>
      </c>
      <c r="M1844" s="1"/>
      <c r="N1844" s="1"/>
      <c r="O1844" s="1"/>
      <c r="P1844" s="1"/>
      <c r="Q1844" s="1"/>
      <c r="R1844" s="1"/>
    </row>
    <row r="1845" spans="2:18" x14ac:dyDescent="0.2">
      <c r="C1845" s="282" t="s">
        <v>7933</v>
      </c>
      <c r="D1845" s="282" t="s">
        <v>1006</v>
      </c>
      <c r="E1845" s="3">
        <v>684.6</v>
      </c>
      <c r="F1845" s="3">
        <f>584.6/21</f>
        <v>27.838095238095239</v>
      </c>
      <c r="G1845" s="4">
        <v>45183</v>
      </c>
      <c r="M1845" s="1"/>
      <c r="N1845" s="1"/>
      <c r="O1845" s="1"/>
      <c r="P1845" s="1"/>
      <c r="Q1845" s="1"/>
      <c r="R1845" s="1"/>
    </row>
    <row r="1846" spans="2:18" x14ac:dyDescent="0.2">
      <c r="C1846" s="282"/>
      <c r="D1846" s="282"/>
      <c r="G1846" s="4"/>
      <c r="M1846" s="1"/>
      <c r="N1846" s="1"/>
      <c r="O1846" s="1"/>
      <c r="P1846" s="1"/>
      <c r="Q1846" s="1"/>
      <c r="R1846" s="1"/>
    </row>
    <row r="1847" spans="2:18" s="12" customFormat="1" x14ac:dyDescent="0.2">
      <c r="B1847" s="12" t="s">
        <v>0</v>
      </c>
      <c r="C1847" s="13" t="s">
        <v>969</v>
      </c>
      <c r="D1847" s="13" t="s">
        <v>968</v>
      </c>
      <c r="E1847" s="15"/>
      <c r="F1847" s="15">
        <f>SUM(F1848:F1851)</f>
        <v>36.666666666666664</v>
      </c>
      <c r="G1847" s="14">
        <f>G1848</f>
        <v>45027</v>
      </c>
      <c r="M1847" s="13"/>
      <c r="N1847" s="13"/>
      <c r="O1847" s="13"/>
      <c r="P1847" s="13"/>
      <c r="Q1847" s="13"/>
      <c r="R1847" s="13"/>
    </row>
    <row r="1848" spans="2:18" x14ac:dyDescent="0.2">
      <c r="C1848" s="2" t="s">
        <v>5</v>
      </c>
      <c r="D1848" s="2" t="s">
        <v>684</v>
      </c>
      <c r="E1848" s="3">
        <v>21</v>
      </c>
      <c r="F1848" s="3">
        <f>11/3</f>
        <v>3.6666666666666665</v>
      </c>
      <c r="G1848" s="4">
        <v>45027</v>
      </c>
    </row>
    <row r="1849" spans="2:18" x14ac:dyDescent="0.2">
      <c r="C1849" s="2" t="s">
        <v>4</v>
      </c>
      <c r="D1849" s="2" t="s">
        <v>684</v>
      </c>
      <c r="E1849" s="3">
        <v>5</v>
      </c>
      <c r="F1849" s="3">
        <v>3</v>
      </c>
      <c r="G1849" s="4">
        <v>44888</v>
      </c>
    </row>
    <row r="1850" spans="2:18" x14ac:dyDescent="0.2">
      <c r="C1850" s="2" t="s">
        <v>5</v>
      </c>
      <c r="D1850" s="2" t="s">
        <v>697</v>
      </c>
      <c r="E1850" s="3">
        <v>23.5</v>
      </c>
      <c r="F1850" s="3">
        <v>15</v>
      </c>
      <c r="G1850" s="4">
        <v>44875</v>
      </c>
    </row>
    <row r="1851" spans="2:18" x14ac:dyDescent="0.2">
      <c r="C1851" s="2" t="s">
        <v>7</v>
      </c>
      <c r="D1851" s="2" t="s">
        <v>810</v>
      </c>
      <c r="E1851" s="3">
        <v>27</v>
      </c>
      <c r="F1851" s="3">
        <v>15</v>
      </c>
      <c r="G1851" s="4">
        <v>44882</v>
      </c>
    </row>
    <row r="1852" spans="2:18" x14ac:dyDescent="0.2">
      <c r="G1852" s="4"/>
    </row>
    <row r="1853" spans="2:18" s="12" customFormat="1" x14ac:dyDescent="0.2">
      <c r="B1853" s="12" t="s">
        <v>961</v>
      </c>
      <c r="C1853" s="13" t="s">
        <v>969</v>
      </c>
      <c r="D1853" s="13" t="s">
        <v>968</v>
      </c>
      <c r="E1853" s="15"/>
      <c r="F1853" s="15">
        <f>SUM(F1854:F1855)</f>
        <v>37</v>
      </c>
      <c r="G1853" s="14">
        <f>G1854</f>
        <v>45035</v>
      </c>
      <c r="M1853" s="13"/>
      <c r="N1853" s="13"/>
      <c r="O1853" s="13"/>
      <c r="P1853" s="13"/>
      <c r="Q1853" s="13"/>
      <c r="R1853" s="13"/>
    </row>
    <row r="1854" spans="2:18" x14ac:dyDescent="0.2">
      <c r="C1854" s="2" t="s">
        <v>5</v>
      </c>
      <c r="D1854" s="2" t="s">
        <v>901</v>
      </c>
      <c r="E1854" s="3">
        <v>70</v>
      </c>
      <c r="F1854" s="3">
        <v>30</v>
      </c>
      <c r="G1854" s="4">
        <v>45035</v>
      </c>
    </row>
    <row r="1855" spans="2:18" x14ac:dyDescent="0.2">
      <c r="C1855" s="93" t="s">
        <v>7</v>
      </c>
      <c r="D1855" s="93" t="s">
        <v>6010</v>
      </c>
      <c r="E1855" s="3">
        <v>50</v>
      </c>
      <c r="F1855" s="3">
        <f>35/5</f>
        <v>7</v>
      </c>
      <c r="G1855" s="4">
        <v>44670</v>
      </c>
    </row>
    <row r="1856" spans="2:18" x14ac:dyDescent="0.2">
      <c r="G1856" s="4"/>
    </row>
    <row r="1857" spans="2:18" s="12" customFormat="1" x14ac:dyDescent="0.2">
      <c r="B1857" s="12" t="s">
        <v>657</v>
      </c>
      <c r="C1857" s="13" t="s">
        <v>969</v>
      </c>
      <c r="D1857" s="13" t="s">
        <v>968</v>
      </c>
      <c r="E1857" s="15"/>
      <c r="F1857" s="15">
        <f>SUM(F1858:F1862)</f>
        <v>36.74545454545455</v>
      </c>
      <c r="G1857" s="14">
        <f>G1859</f>
        <v>44776</v>
      </c>
      <c r="M1857" s="13"/>
      <c r="N1857" s="13"/>
      <c r="O1857" s="13"/>
      <c r="P1857" s="13"/>
      <c r="Q1857" s="13"/>
      <c r="R1857" s="13"/>
    </row>
    <row r="1858" spans="2:18" x14ac:dyDescent="0.2">
      <c r="B1858" s="250" t="s">
        <v>7669</v>
      </c>
      <c r="C1858" s="2" t="s">
        <v>5</v>
      </c>
      <c r="D1858" s="2" t="s">
        <v>656</v>
      </c>
      <c r="E1858" s="3">
        <v>12.6</v>
      </c>
      <c r="F1858" s="3">
        <f>6.6/3</f>
        <v>2.1999999999999997</v>
      </c>
      <c r="G1858" s="4">
        <v>44579</v>
      </c>
      <c r="M1858" s="1"/>
      <c r="N1858" s="1"/>
      <c r="O1858" s="1"/>
      <c r="P1858" s="1"/>
      <c r="Q1858" s="1"/>
      <c r="R1858" s="1"/>
    </row>
    <row r="1859" spans="2:18" x14ac:dyDescent="0.2">
      <c r="B1859" s="266" t="s">
        <v>7663</v>
      </c>
      <c r="C1859" s="2" t="s">
        <v>8</v>
      </c>
      <c r="D1859" s="2" t="s">
        <v>448</v>
      </c>
      <c r="E1859" s="3">
        <v>90</v>
      </c>
      <c r="F1859" s="3">
        <f>50/11</f>
        <v>4.5454545454545459</v>
      </c>
      <c r="G1859" s="4">
        <v>44776</v>
      </c>
      <c r="M1859" s="1"/>
      <c r="N1859" s="1"/>
      <c r="O1859" s="1"/>
      <c r="P1859" s="1"/>
      <c r="Q1859" s="1"/>
      <c r="R1859" s="1"/>
    </row>
    <row r="1860" spans="2:18" x14ac:dyDescent="0.2">
      <c r="C1860" s="2" t="s">
        <v>9</v>
      </c>
      <c r="D1860" s="2" t="s">
        <v>3</v>
      </c>
      <c r="E1860" s="3">
        <v>90</v>
      </c>
      <c r="F1860" s="3">
        <v>10</v>
      </c>
      <c r="G1860" s="4">
        <v>44721</v>
      </c>
      <c r="I1860" s="1">
        <v>2200</v>
      </c>
      <c r="J1860" s="1">
        <v>2500</v>
      </c>
      <c r="M1860" s="1"/>
      <c r="N1860" s="1"/>
      <c r="O1860" s="1"/>
      <c r="P1860" s="1"/>
      <c r="Q1860" s="1"/>
      <c r="R1860" s="1"/>
    </row>
    <row r="1861" spans="2:18" x14ac:dyDescent="0.2">
      <c r="C1861" s="2" t="s">
        <v>7</v>
      </c>
      <c r="D1861" s="2" t="s">
        <v>3</v>
      </c>
      <c r="E1861" s="3">
        <v>25</v>
      </c>
      <c r="F1861" s="3">
        <v>10</v>
      </c>
      <c r="G1861" s="4">
        <v>43697</v>
      </c>
      <c r="J1861" s="1">
        <v>2500</v>
      </c>
      <c r="M1861" s="1"/>
      <c r="N1861" s="1"/>
      <c r="O1861" s="1"/>
      <c r="P1861" s="1"/>
      <c r="Q1861" s="1"/>
      <c r="R1861" s="1"/>
    </row>
    <row r="1862" spans="2:18" x14ac:dyDescent="0.2">
      <c r="C1862" s="93" t="s">
        <v>18</v>
      </c>
      <c r="D1862" s="93" t="s">
        <v>2104</v>
      </c>
      <c r="E1862" s="3">
        <v>100</v>
      </c>
      <c r="F1862" s="3">
        <v>10</v>
      </c>
      <c r="G1862" s="4">
        <v>44397</v>
      </c>
      <c r="M1862" s="1"/>
      <c r="N1862" s="1"/>
      <c r="O1862" s="1"/>
      <c r="P1862" s="1"/>
      <c r="Q1862" s="1"/>
      <c r="R1862" s="1"/>
    </row>
    <row r="1863" spans="2:18" x14ac:dyDescent="0.2">
      <c r="G1863" s="4"/>
      <c r="M1863" s="1"/>
      <c r="N1863" s="1"/>
      <c r="O1863" s="1"/>
      <c r="P1863" s="1"/>
      <c r="Q1863" s="1"/>
      <c r="R1863" s="1"/>
    </row>
    <row r="1864" spans="2:18" s="12" customFormat="1" x14ac:dyDescent="0.2">
      <c r="B1864" s="12" t="s">
        <v>14</v>
      </c>
      <c r="C1864" s="13" t="s">
        <v>969</v>
      </c>
      <c r="D1864" s="13" t="s">
        <v>968</v>
      </c>
      <c r="E1864" s="15"/>
      <c r="F1864" s="15">
        <f>SUM(F1865:F1866)</f>
        <v>37.5</v>
      </c>
      <c r="G1864" s="14">
        <f>G1865</f>
        <v>44721</v>
      </c>
      <c r="M1864" s="13"/>
      <c r="N1864" s="13"/>
      <c r="O1864" s="13"/>
      <c r="P1864" s="13"/>
      <c r="Q1864" s="13"/>
      <c r="R1864" s="13"/>
    </row>
    <row r="1865" spans="2:18" x14ac:dyDescent="0.2">
      <c r="C1865" s="2" t="s">
        <v>9</v>
      </c>
      <c r="D1865" s="2" t="s">
        <v>3</v>
      </c>
      <c r="E1865" s="3">
        <v>90</v>
      </c>
      <c r="F1865" s="3">
        <v>20</v>
      </c>
      <c r="G1865" s="4">
        <v>44721</v>
      </c>
      <c r="I1865" s="1">
        <v>2200</v>
      </c>
      <c r="J1865" s="1">
        <v>2500</v>
      </c>
    </row>
    <row r="1866" spans="2:18" x14ac:dyDescent="0.2">
      <c r="C1866" s="55" t="s">
        <v>8</v>
      </c>
      <c r="D1866" s="55" t="s">
        <v>2112</v>
      </c>
      <c r="E1866" s="3">
        <v>110</v>
      </c>
      <c r="F1866" s="3">
        <f>70/4</f>
        <v>17.5</v>
      </c>
      <c r="G1866" s="4">
        <v>44567</v>
      </c>
      <c r="I1866" s="1">
        <v>790</v>
      </c>
      <c r="J1866" s="1">
        <v>790</v>
      </c>
    </row>
    <row r="1867" spans="2:18" x14ac:dyDescent="0.2">
      <c r="C1867" s="282" t="s">
        <v>53</v>
      </c>
      <c r="D1867" s="282" t="s">
        <v>3</v>
      </c>
      <c r="E1867" s="3">
        <v>200</v>
      </c>
      <c r="F1867" s="3">
        <v>33</v>
      </c>
      <c r="G1867" s="4">
        <v>45230</v>
      </c>
      <c r="I1867" s="1">
        <v>2500</v>
      </c>
      <c r="J1867" s="1">
        <v>2500</v>
      </c>
    </row>
    <row r="1868" spans="2:18" x14ac:dyDescent="0.2">
      <c r="G1868" s="4"/>
    </row>
    <row r="1869" spans="2:18" s="12" customFormat="1" x14ac:dyDescent="0.2">
      <c r="B1869" s="12" t="s">
        <v>1055</v>
      </c>
      <c r="C1869" s="13" t="s">
        <v>969</v>
      </c>
      <c r="D1869" s="13" t="s">
        <v>968</v>
      </c>
      <c r="E1869" s="15"/>
      <c r="F1869" s="15">
        <f>SUM(F1870:F1878)</f>
        <v>37.314285714285717</v>
      </c>
      <c r="G1869" s="14">
        <f>G1873</f>
        <v>44860</v>
      </c>
    </row>
    <row r="1870" spans="2:18" x14ac:dyDescent="0.2">
      <c r="C1870" s="2" t="s">
        <v>5</v>
      </c>
      <c r="D1870" s="2" t="s">
        <v>656</v>
      </c>
      <c r="E1870" s="3">
        <v>12.6</v>
      </c>
      <c r="F1870" s="3">
        <f>6.6/3</f>
        <v>2.1999999999999997</v>
      </c>
      <c r="G1870" s="4">
        <v>44579</v>
      </c>
      <c r="M1870" s="1"/>
      <c r="N1870" s="1"/>
      <c r="O1870" s="1"/>
      <c r="P1870" s="1"/>
      <c r="Q1870" s="1"/>
      <c r="R1870" s="1"/>
    </row>
    <row r="1871" spans="2:18" x14ac:dyDescent="0.2">
      <c r="C1871" s="2" t="s">
        <v>4</v>
      </c>
      <c r="D1871" s="2" t="s">
        <v>656</v>
      </c>
      <c r="E1871" s="3">
        <v>3</v>
      </c>
      <c r="F1871" s="3">
        <v>1</v>
      </c>
      <c r="G1871" s="4">
        <v>43999</v>
      </c>
      <c r="M1871" s="1"/>
      <c r="N1871" s="1"/>
      <c r="O1871" s="1"/>
      <c r="P1871" s="1"/>
      <c r="Q1871" s="1"/>
      <c r="R1871" s="1"/>
    </row>
    <row r="1872" spans="2:18" x14ac:dyDescent="0.2">
      <c r="C1872" s="2" t="s">
        <v>4</v>
      </c>
      <c r="D1872" s="2" t="s">
        <v>651</v>
      </c>
      <c r="E1872" s="3">
        <v>12.3</v>
      </c>
      <c r="F1872" s="3">
        <v>3</v>
      </c>
      <c r="G1872" s="4">
        <v>44622</v>
      </c>
      <c r="M1872" s="1"/>
      <c r="N1872" s="1"/>
      <c r="O1872" s="1"/>
      <c r="P1872" s="1"/>
      <c r="Q1872" s="1"/>
      <c r="R1872" s="1"/>
    </row>
    <row r="1873" spans="2:18" x14ac:dyDescent="0.2">
      <c r="C1873" s="2" t="s">
        <v>5</v>
      </c>
      <c r="D1873" s="2" t="s">
        <v>642</v>
      </c>
      <c r="E1873" s="3">
        <v>12</v>
      </c>
      <c r="F1873" s="3">
        <v>2</v>
      </c>
      <c r="G1873" s="4">
        <v>44860</v>
      </c>
      <c r="M1873" s="1"/>
      <c r="N1873" s="1"/>
      <c r="O1873" s="1"/>
      <c r="P1873" s="1"/>
      <c r="Q1873" s="1"/>
      <c r="R1873" s="1"/>
    </row>
    <row r="1874" spans="2:18" x14ac:dyDescent="0.2">
      <c r="C1874" s="2" t="s">
        <v>4</v>
      </c>
      <c r="D1874" s="2" t="s">
        <v>642</v>
      </c>
      <c r="E1874" s="3">
        <v>2.8</v>
      </c>
      <c r="F1874" s="3">
        <v>1.4</v>
      </c>
      <c r="G1874" s="4">
        <v>44215</v>
      </c>
      <c r="M1874" s="1"/>
      <c r="N1874" s="1"/>
      <c r="O1874" s="1"/>
      <c r="P1874" s="1"/>
      <c r="Q1874" s="1"/>
      <c r="R1874" s="1"/>
    </row>
    <row r="1875" spans="2:18" x14ac:dyDescent="0.2">
      <c r="C1875" s="2" t="s">
        <v>278</v>
      </c>
      <c r="D1875" s="2" t="s">
        <v>582</v>
      </c>
      <c r="E1875" s="3">
        <v>2</v>
      </c>
      <c r="F1875" s="3">
        <v>1</v>
      </c>
      <c r="G1875" s="4">
        <v>44223</v>
      </c>
      <c r="M1875" s="1"/>
      <c r="N1875" s="1"/>
      <c r="O1875" s="1"/>
      <c r="P1875" s="1"/>
      <c r="Q1875" s="1"/>
      <c r="R1875" s="1"/>
    </row>
    <row r="1876" spans="2:18" x14ac:dyDescent="0.2">
      <c r="C1876" s="2" t="s">
        <v>18</v>
      </c>
      <c r="D1876" s="2" t="s">
        <v>32</v>
      </c>
      <c r="E1876" s="3">
        <v>230</v>
      </c>
      <c r="F1876" s="3">
        <f>110/7</f>
        <v>15.714285714285714</v>
      </c>
      <c r="G1876" s="4">
        <v>43634</v>
      </c>
      <c r="M1876" s="1"/>
      <c r="N1876" s="1"/>
      <c r="O1876" s="1"/>
      <c r="P1876" s="1"/>
      <c r="Q1876" s="1"/>
      <c r="R1876" s="1"/>
    </row>
    <row r="1877" spans="2:18" x14ac:dyDescent="0.2">
      <c r="C1877" s="2" t="s">
        <v>7</v>
      </c>
      <c r="D1877" s="2" t="s">
        <v>32</v>
      </c>
      <c r="E1877" s="3">
        <v>45</v>
      </c>
      <c r="F1877" s="3">
        <v>6</v>
      </c>
      <c r="G1877" s="4">
        <v>43293</v>
      </c>
      <c r="M1877" s="1"/>
      <c r="N1877" s="1"/>
      <c r="O1877" s="1"/>
      <c r="P1877" s="1"/>
      <c r="Q1877" s="1"/>
      <c r="R1877" s="1"/>
    </row>
    <row r="1878" spans="2:18" x14ac:dyDescent="0.2">
      <c r="C1878" s="2" t="s">
        <v>5</v>
      </c>
      <c r="D1878" s="2" t="s">
        <v>32</v>
      </c>
      <c r="E1878" s="3">
        <v>18</v>
      </c>
      <c r="F1878" s="3">
        <v>5</v>
      </c>
      <c r="G1878" s="4">
        <v>42983</v>
      </c>
      <c r="M1878" s="1"/>
      <c r="N1878" s="1"/>
      <c r="O1878" s="1"/>
      <c r="P1878" s="1"/>
      <c r="Q1878" s="1"/>
      <c r="R1878" s="1"/>
    </row>
    <row r="1879" spans="2:18" x14ac:dyDescent="0.2">
      <c r="G1879" s="4"/>
      <c r="M1879" s="1"/>
      <c r="N1879" s="1"/>
      <c r="O1879" s="1"/>
      <c r="P1879" s="1"/>
      <c r="Q1879" s="1"/>
      <c r="R1879" s="1"/>
    </row>
    <row r="1880" spans="2:18" s="12" customFormat="1" x14ac:dyDescent="0.2">
      <c r="B1880" s="12" t="s">
        <v>234</v>
      </c>
      <c r="C1880" s="13" t="s">
        <v>969</v>
      </c>
      <c r="D1880" s="13" t="s">
        <v>968</v>
      </c>
      <c r="E1880" s="15"/>
      <c r="F1880" s="15">
        <f>SUM(F1881:F1884)</f>
        <v>35.666666666666664</v>
      </c>
      <c r="G1880" s="14">
        <f>G1883</f>
        <v>42941</v>
      </c>
      <c r="M1880" s="13"/>
      <c r="N1880" s="13"/>
      <c r="O1880" s="13"/>
      <c r="P1880" s="13"/>
      <c r="Q1880" s="13"/>
      <c r="R1880" s="13"/>
    </row>
    <row r="1881" spans="2:18" x14ac:dyDescent="0.2">
      <c r="C1881" s="2" t="s">
        <v>18</v>
      </c>
      <c r="D1881" s="2" t="s">
        <v>232</v>
      </c>
      <c r="E1881" s="3">
        <v>100</v>
      </c>
      <c r="F1881" s="3">
        <v>20</v>
      </c>
      <c r="G1881" s="4">
        <v>42735</v>
      </c>
    </row>
    <row r="1882" spans="2:18" x14ac:dyDescent="0.2">
      <c r="C1882" s="2" t="s">
        <v>7</v>
      </c>
      <c r="D1882" s="2" t="s">
        <v>232</v>
      </c>
      <c r="E1882" s="3">
        <v>22</v>
      </c>
      <c r="F1882" s="3">
        <v>8</v>
      </c>
      <c r="G1882" s="4">
        <v>41821</v>
      </c>
    </row>
    <row r="1883" spans="2:18" x14ac:dyDescent="0.2">
      <c r="C1883" s="2" t="s">
        <v>7</v>
      </c>
      <c r="D1883" s="2" t="s">
        <v>197</v>
      </c>
      <c r="E1883" s="3">
        <v>46</v>
      </c>
      <c r="F1883" s="3">
        <v>6</v>
      </c>
      <c r="G1883" s="4">
        <v>42941</v>
      </c>
    </row>
    <row r="1884" spans="2:18" x14ac:dyDescent="0.2">
      <c r="C1884" s="2" t="s">
        <v>5</v>
      </c>
      <c r="D1884" s="2" t="s">
        <v>197</v>
      </c>
      <c r="E1884" s="3">
        <v>5</v>
      </c>
      <c r="F1884" s="3">
        <f>E1884/3</f>
        <v>1.6666666666666667</v>
      </c>
      <c r="G1884" s="4">
        <v>42688</v>
      </c>
    </row>
    <row r="1885" spans="2:18" x14ac:dyDescent="0.2">
      <c r="G1885" s="4"/>
    </row>
    <row r="1886" spans="2:18" s="12" customFormat="1" x14ac:dyDescent="0.2">
      <c r="B1886" s="12" t="s">
        <v>503</v>
      </c>
      <c r="C1886" s="13" t="s">
        <v>969</v>
      </c>
      <c r="D1886" s="13" t="s">
        <v>968</v>
      </c>
      <c r="E1886" s="15"/>
      <c r="F1886" s="15">
        <f>SUM(F1887:F1888)</f>
        <v>36</v>
      </c>
      <c r="G1886" s="14">
        <f>G1887</f>
        <v>44152</v>
      </c>
    </row>
    <row r="1887" spans="2:18" x14ac:dyDescent="0.2">
      <c r="C1887" s="2" t="s">
        <v>53</v>
      </c>
      <c r="D1887" s="2" t="s">
        <v>489</v>
      </c>
      <c r="E1887" s="3">
        <v>270</v>
      </c>
      <c r="F1887" s="3">
        <v>22</v>
      </c>
      <c r="G1887" s="4">
        <v>44152</v>
      </c>
      <c r="M1887" s="1"/>
      <c r="N1887" s="1"/>
      <c r="O1887" s="1"/>
      <c r="P1887" s="1"/>
      <c r="Q1887" s="1"/>
      <c r="R1887" s="1"/>
    </row>
    <row r="1888" spans="2:18" x14ac:dyDescent="0.2">
      <c r="C1888" s="2" t="s">
        <v>9</v>
      </c>
      <c r="D1888" s="2" t="s">
        <v>489</v>
      </c>
      <c r="E1888" s="3">
        <v>206</v>
      </c>
      <c r="F1888" s="3">
        <v>14</v>
      </c>
      <c r="G1888" s="4">
        <v>43725</v>
      </c>
      <c r="M1888" s="1"/>
      <c r="N1888" s="1"/>
      <c r="O1888" s="1"/>
      <c r="P1888" s="1"/>
      <c r="Q1888" s="1"/>
      <c r="R1888" s="1"/>
    </row>
    <row r="1889" spans="2:18" x14ac:dyDescent="0.2">
      <c r="G1889" s="4"/>
      <c r="M1889" s="1"/>
      <c r="N1889" s="1"/>
      <c r="O1889" s="1"/>
      <c r="P1889" s="1"/>
      <c r="Q1889" s="1"/>
      <c r="R1889" s="1"/>
    </row>
    <row r="1890" spans="2:18" s="12" customFormat="1" x14ac:dyDescent="0.2">
      <c r="B1890" s="12" t="s">
        <v>369</v>
      </c>
      <c r="C1890" s="13" t="s">
        <v>969</v>
      </c>
      <c r="D1890" s="13" t="s">
        <v>968</v>
      </c>
      <c r="E1890" s="15"/>
      <c r="F1890" s="15">
        <f>SUM(F1891:F1892)</f>
        <v>36.25</v>
      </c>
      <c r="G1890" s="14">
        <f>G1891</f>
        <v>44602</v>
      </c>
    </row>
    <row r="1891" spans="2:18" x14ac:dyDescent="0.2">
      <c r="C1891" s="2" t="s">
        <v>7</v>
      </c>
      <c r="D1891" s="2" t="s">
        <v>363</v>
      </c>
      <c r="E1891" s="3">
        <v>120</v>
      </c>
      <c r="F1891" s="3">
        <f>90/8</f>
        <v>11.25</v>
      </c>
      <c r="G1891" s="4">
        <v>44602</v>
      </c>
      <c r="M1891" s="1"/>
      <c r="N1891" s="1"/>
      <c r="O1891" s="1"/>
      <c r="P1891" s="1"/>
      <c r="Q1891" s="1"/>
      <c r="R1891" s="1"/>
    </row>
    <row r="1892" spans="2:18" x14ac:dyDescent="0.2">
      <c r="C1892" s="2" t="s">
        <v>5</v>
      </c>
      <c r="D1892" s="2" t="s">
        <v>363</v>
      </c>
      <c r="E1892" s="3">
        <v>50</v>
      </c>
      <c r="F1892" s="3">
        <v>25</v>
      </c>
      <c r="G1892" s="4">
        <v>43039</v>
      </c>
      <c r="M1892" s="1"/>
      <c r="N1892" s="1"/>
      <c r="O1892" s="1"/>
      <c r="P1892" s="1"/>
      <c r="Q1892" s="1"/>
      <c r="R1892" s="1"/>
    </row>
    <row r="1893" spans="2:18" x14ac:dyDescent="0.2">
      <c r="G1893" s="4"/>
      <c r="M1893" s="1"/>
      <c r="N1893" s="1"/>
      <c r="O1893" s="1"/>
      <c r="P1893" s="1"/>
      <c r="Q1893" s="1"/>
      <c r="R1893" s="1"/>
    </row>
    <row r="1894" spans="2:18" s="12" customFormat="1" x14ac:dyDescent="0.2">
      <c r="B1894" s="12" t="s">
        <v>498</v>
      </c>
      <c r="C1894" s="13" t="s">
        <v>969</v>
      </c>
      <c r="D1894" s="13" t="s">
        <v>968</v>
      </c>
      <c r="E1894" s="15"/>
      <c r="F1894" s="15">
        <f>SUM(F1895:F1898)</f>
        <v>36.295454545454547</v>
      </c>
      <c r="G1894" s="14">
        <f>G1896</f>
        <v>44776</v>
      </c>
    </row>
    <row r="1895" spans="2:18" x14ac:dyDescent="0.2">
      <c r="C1895" s="2" t="s">
        <v>9</v>
      </c>
      <c r="D1895" s="2" t="s">
        <v>489</v>
      </c>
      <c r="E1895" s="3">
        <v>206</v>
      </c>
      <c r="F1895" s="3">
        <v>14</v>
      </c>
      <c r="G1895" s="4">
        <v>43725</v>
      </c>
      <c r="M1895" s="1"/>
      <c r="N1895" s="1"/>
      <c r="O1895" s="1"/>
      <c r="P1895" s="1"/>
      <c r="Q1895" s="1"/>
      <c r="R1895" s="1"/>
    </row>
    <row r="1896" spans="2:18" x14ac:dyDescent="0.2">
      <c r="C1896" s="2" t="s">
        <v>8</v>
      </c>
      <c r="D1896" s="2" t="s">
        <v>448</v>
      </c>
      <c r="E1896" s="3">
        <v>90</v>
      </c>
      <c r="F1896" s="3">
        <f>50/11</f>
        <v>4.5454545454545459</v>
      </c>
      <c r="G1896" s="4">
        <v>44776</v>
      </c>
      <c r="M1896" s="1"/>
      <c r="N1896" s="1"/>
      <c r="O1896" s="1"/>
      <c r="P1896" s="1"/>
      <c r="Q1896" s="1"/>
      <c r="R1896" s="1"/>
    </row>
    <row r="1897" spans="2:18" x14ac:dyDescent="0.2">
      <c r="C1897" s="2" t="s">
        <v>18</v>
      </c>
      <c r="D1897" s="2" t="s">
        <v>448</v>
      </c>
      <c r="E1897" s="3">
        <v>40</v>
      </c>
      <c r="F1897" s="3">
        <v>3.75</v>
      </c>
      <c r="G1897" s="4">
        <v>44176</v>
      </c>
      <c r="M1897" s="1"/>
      <c r="N1897" s="1"/>
      <c r="O1897" s="1"/>
      <c r="P1897" s="1"/>
      <c r="Q1897" s="1"/>
      <c r="R1897" s="1"/>
    </row>
    <row r="1898" spans="2:18" x14ac:dyDescent="0.2">
      <c r="C1898" s="93" t="s">
        <v>7</v>
      </c>
      <c r="D1898" s="93" t="s">
        <v>2079</v>
      </c>
      <c r="E1898" s="3">
        <v>100</v>
      </c>
      <c r="F1898" s="3">
        <f>70/5</f>
        <v>14</v>
      </c>
      <c r="G1898" s="4">
        <v>44937</v>
      </c>
      <c r="I1898" s="1">
        <v>900</v>
      </c>
      <c r="J1898" s="1">
        <v>900</v>
      </c>
      <c r="M1898" s="1"/>
      <c r="N1898" s="1"/>
      <c r="O1898" s="1"/>
      <c r="P1898" s="1"/>
      <c r="Q1898" s="1"/>
      <c r="R1898" s="1"/>
    </row>
    <row r="1899" spans="2:18" x14ac:dyDescent="0.2">
      <c r="G1899" s="4"/>
      <c r="M1899" s="1"/>
      <c r="N1899" s="1"/>
      <c r="O1899" s="1"/>
      <c r="P1899" s="1"/>
      <c r="Q1899" s="1"/>
      <c r="R1899" s="1"/>
    </row>
    <row r="1900" spans="2:18" x14ac:dyDescent="0.2">
      <c r="B1900" s="12" t="s">
        <v>5927</v>
      </c>
      <c r="C1900" s="13" t="s">
        <v>969</v>
      </c>
      <c r="D1900" s="13" t="s">
        <v>968</v>
      </c>
      <c r="E1900" s="15"/>
      <c r="F1900" s="15">
        <f>SUM(F1901:F1910)</f>
        <v>36.308333333333337</v>
      </c>
      <c r="G1900" s="14">
        <f>G1904</f>
        <v>44881</v>
      </c>
      <c r="I1900" s="184" t="s">
        <v>6736</v>
      </c>
    </row>
    <row r="1901" spans="2:18" x14ac:dyDescent="0.2">
      <c r="B1901" s="92"/>
      <c r="C1901" s="93" t="s">
        <v>7</v>
      </c>
      <c r="D1901" s="93" t="s">
        <v>2072</v>
      </c>
      <c r="E1901" s="3">
        <v>60</v>
      </c>
      <c r="F1901" s="3">
        <v>10</v>
      </c>
      <c r="G1901" s="4">
        <v>44278</v>
      </c>
    </row>
    <row r="1902" spans="2:18" x14ac:dyDescent="0.2">
      <c r="C1902" s="93" t="s">
        <v>5</v>
      </c>
      <c r="D1902" s="93" t="s">
        <v>2072</v>
      </c>
      <c r="E1902" s="3">
        <v>20</v>
      </c>
      <c r="F1902" s="3">
        <v>5</v>
      </c>
      <c r="G1902" s="4">
        <v>43992</v>
      </c>
    </row>
    <row r="1903" spans="2:18" x14ac:dyDescent="0.2">
      <c r="C1903" s="93" t="s">
        <v>4</v>
      </c>
      <c r="D1903" s="93" t="s">
        <v>2072</v>
      </c>
      <c r="E1903" s="3">
        <v>5</v>
      </c>
      <c r="F1903" s="3">
        <v>1</v>
      </c>
      <c r="G1903" s="4">
        <v>43466</v>
      </c>
    </row>
    <row r="1904" spans="2:18" x14ac:dyDescent="0.2">
      <c r="C1904" s="161" t="s">
        <v>7</v>
      </c>
      <c r="D1904" s="161" t="s">
        <v>2040</v>
      </c>
      <c r="E1904" s="3">
        <v>30</v>
      </c>
      <c r="F1904" s="3">
        <v>5</v>
      </c>
      <c r="G1904" s="4">
        <v>44881</v>
      </c>
    </row>
    <row r="1905" spans="2:18" x14ac:dyDescent="0.2">
      <c r="C1905" s="161" t="s">
        <v>5</v>
      </c>
      <c r="D1905" s="161" t="s">
        <v>2040</v>
      </c>
      <c r="E1905" s="3">
        <v>11</v>
      </c>
      <c r="F1905" s="3">
        <f>7/4</f>
        <v>1.75</v>
      </c>
      <c r="G1905" s="4">
        <v>44174</v>
      </c>
    </row>
    <row r="1906" spans="2:18" x14ac:dyDescent="0.2">
      <c r="C1906" s="161" t="s">
        <v>4</v>
      </c>
      <c r="D1906" s="161" t="s">
        <v>2040</v>
      </c>
      <c r="E1906" s="3">
        <v>2.9</v>
      </c>
      <c r="F1906" s="3">
        <v>1</v>
      </c>
      <c r="G1906" s="4">
        <v>43221</v>
      </c>
    </row>
    <row r="1907" spans="2:18" x14ac:dyDescent="0.2">
      <c r="C1907" s="185" t="s">
        <v>5</v>
      </c>
      <c r="D1907" s="185" t="s">
        <v>2031</v>
      </c>
      <c r="E1907" s="3">
        <v>18.5</v>
      </c>
      <c r="F1907" s="3">
        <f>E1907/4</f>
        <v>4.625</v>
      </c>
      <c r="G1907" s="4">
        <v>44561</v>
      </c>
    </row>
    <row r="1908" spans="2:18" x14ac:dyDescent="0.2">
      <c r="C1908" s="185" t="s">
        <v>4</v>
      </c>
      <c r="D1908" s="185" t="s">
        <v>2031</v>
      </c>
      <c r="E1908" s="3">
        <v>5.8</v>
      </c>
      <c r="F1908" s="3">
        <f>E1908/3</f>
        <v>1.9333333333333333</v>
      </c>
      <c r="G1908" s="4">
        <v>44348</v>
      </c>
    </row>
    <row r="1909" spans="2:18" x14ac:dyDescent="0.2">
      <c r="C1909" s="185" t="s">
        <v>5</v>
      </c>
      <c r="D1909" s="185" t="s">
        <v>2030</v>
      </c>
      <c r="E1909" s="3">
        <v>21</v>
      </c>
      <c r="F1909" s="3">
        <v>3</v>
      </c>
      <c r="G1909" s="4">
        <v>44334</v>
      </c>
    </row>
    <row r="1910" spans="2:18" x14ac:dyDescent="0.2">
      <c r="C1910" s="185" t="s">
        <v>4</v>
      </c>
      <c r="D1910" s="185" t="s">
        <v>2030</v>
      </c>
      <c r="E1910" s="3">
        <v>5</v>
      </c>
      <c r="F1910" s="3">
        <v>3</v>
      </c>
      <c r="G1910" s="4">
        <v>44105</v>
      </c>
    </row>
    <row r="1911" spans="2:18" x14ac:dyDescent="0.2">
      <c r="C1911" s="93"/>
      <c r="D1911" s="93"/>
      <c r="G1911" s="4"/>
    </row>
    <row r="1912" spans="2:18" s="12" customFormat="1" x14ac:dyDescent="0.2">
      <c r="B1912" s="12" t="s">
        <v>858</v>
      </c>
      <c r="C1912" s="13" t="s">
        <v>969</v>
      </c>
      <c r="D1912" s="13" t="s">
        <v>968</v>
      </c>
      <c r="E1912" s="15"/>
      <c r="F1912" s="15">
        <f>SUM(F1913:F1915)</f>
        <v>36</v>
      </c>
      <c r="G1912" s="14">
        <f>G1913</f>
        <v>44860</v>
      </c>
      <c r="M1912" s="13"/>
      <c r="N1912" s="13"/>
      <c r="O1912" s="13"/>
      <c r="P1912" s="13"/>
      <c r="Q1912" s="13"/>
      <c r="R1912" s="13"/>
    </row>
    <row r="1913" spans="2:18" x14ac:dyDescent="0.2">
      <c r="C1913" s="2" t="s">
        <v>5</v>
      </c>
      <c r="D1913" s="2" t="s">
        <v>642</v>
      </c>
      <c r="E1913" s="3">
        <v>12</v>
      </c>
      <c r="F1913" s="3">
        <v>3</v>
      </c>
      <c r="G1913" s="4">
        <v>44860</v>
      </c>
    </row>
    <row r="1914" spans="2:18" x14ac:dyDescent="0.2">
      <c r="C1914" s="2" t="s">
        <v>7</v>
      </c>
      <c r="D1914" s="2" t="s">
        <v>208</v>
      </c>
      <c r="E1914" s="3">
        <v>150</v>
      </c>
      <c r="F1914" s="3">
        <v>20</v>
      </c>
      <c r="G1914" s="4">
        <v>43556</v>
      </c>
    </row>
    <row r="1915" spans="2:18" x14ac:dyDescent="0.2">
      <c r="C1915" s="2" t="s">
        <v>5</v>
      </c>
      <c r="D1915" s="2" t="s">
        <v>208</v>
      </c>
      <c r="E1915" s="3">
        <v>56</v>
      </c>
      <c r="F1915" s="3">
        <v>13</v>
      </c>
      <c r="G1915" s="4">
        <v>43174</v>
      </c>
    </row>
    <row r="1916" spans="2:18" x14ac:dyDescent="0.2">
      <c r="G1916" s="4"/>
    </row>
    <row r="1917" spans="2:18" s="12" customFormat="1" x14ac:dyDescent="0.2">
      <c r="B1917" s="12" t="s">
        <v>934</v>
      </c>
      <c r="C1917" s="13" t="s">
        <v>969</v>
      </c>
      <c r="D1917" s="13" t="s">
        <v>968</v>
      </c>
      <c r="E1917" s="15"/>
      <c r="F1917" s="15">
        <f>SUM(F1918:F1920)</f>
        <v>35</v>
      </c>
      <c r="G1917" s="14">
        <f>G1918</f>
        <v>44671</v>
      </c>
      <c r="M1917" s="13"/>
      <c r="N1917" s="13"/>
      <c r="O1917" s="13"/>
      <c r="P1917" s="13"/>
      <c r="Q1917" s="13"/>
      <c r="R1917" s="13"/>
    </row>
    <row r="1918" spans="2:18" x14ac:dyDescent="0.2">
      <c r="C1918" s="2" t="s">
        <v>5</v>
      </c>
      <c r="D1918" s="2" t="s">
        <v>843</v>
      </c>
      <c r="E1918" s="3">
        <v>44</v>
      </c>
      <c r="F1918" s="3">
        <v>10</v>
      </c>
      <c r="G1918" s="4">
        <v>44671</v>
      </c>
    </row>
    <row r="1919" spans="2:18" x14ac:dyDescent="0.2">
      <c r="C1919" s="2" t="s">
        <v>18</v>
      </c>
      <c r="D1919" s="2" t="s">
        <v>39</v>
      </c>
      <c r="E1919" s="3">
        <v>100</v>
      </c>
      <c r="F1919" s="3">
        <f>60/4</f>
        <v>15</v>
      </c>
      <c r="G1919" s="4">
        <v>44025</v>
      </c>
    </row>
    <row r="1920" spans="2:18" x14ac:dyDescent="0.2">
      <c r="C1920" s="2" t="s">
        <v>7</v>
      </c>
      <c r="D1920" s="2" t="s">
        <v>39</v>
      </c>
      <c r="E1920" s="3">
        <f>42</f>
        <v>42</v>
      </c>
      <c r="F1920" s="3">
        <v>10</v>
      </c>
      <c r="G1920" s="4">
        <v>43144</v>
      </c>
    </row>
    <row r="1922" spans="2:18" x14ac:dyDescent="0.2">
      <c r="B1922" s="12" t="s">
        <v>5023</v>
      </c>
      <c r="C1922" s="13" t="s">
        <v>969</v>
      </c>
      <c r="D1922" s="13" t="s">
        <v>968</v>
      </c>
      <c r="F1922" s="15">
        <f>SUM(F1923:F1931)</f>
        <v>35.43333333333333</v>
      </c>
      <c r="G1922" s="14">
        <f>G1926</f>
        <v>45062</v>
      </c>
      <c r="M1922" s="93" t="s">
        <v>5432</v>
      </c>
    </row>
    <row r="1923" spans="2:18" x14ac:dyDescent="0.2">
      <c r="C1923" s="2" t="s">
        <v>7</v>
      </c>
      <c r="D1923" s="2" t="s">
        <v>1011</v>
      </c>
      <c r="E1923" s="3">
        <v>43</v>
      </c>
      <c r="F1923" s="3">
        <v>6</v>
      </c>
      <c r="G1923" s="4">
        <v>44978</v>
      </c>
    </row>
    <row r="1924" spans="2:18" x14ac:dyDescent="0.2">
      <c r="C1924" s="2" t="s">
        <v>4</v>
      </c>
      <c r="D1924" s="2" t="s">
        <v>771</v>
      </c>
      <c r="E1924" s="3">
        <v>10</v>
      </c>
      <c r="F1924" s="3">
        <v>1</v>
      </c>
      <c r="G1924" s="4">
        <v>44858</v>
      </c>
      <c r="I1924" s="92" t="s">
        <v>6008</v>
      </c>
    </row>
    <row r="1925" spans="2:18" x14ac:dyDescent="0.2">
      <c r="C1925" s="2" t="s">
        <v>4</v>
      </c>
      <c r="D1925" s="2" t="s">
        <v>771</v>
      </c>
      <c r="E1925" s="3">
        <v>4.5999999999999996</v>
      </c>
      <c r="F1925" s="3">
        <v>2</v>
      </c>
      <c r="G1925" s="4">
        <v>44530</v>
      </c>
    </row>
    <row r="1926" spans="2:18" x14ac:dyDescent="0.2">
      <c r="C1926" s="2" t="s">
        <v>4</v>
      </c>
      <c r="D1926" s="2" t="s">
        <v>807</v>
      </c>
      <c r="E1926" s="3">
        <v>5</v>
      </c>
      <c r="F1926" s="3">
        <f>5/3</f>
        <v>1.6666666666666667</v>
      </c>
      <c r="G1926" s="4">
        <v>45062</v>
      </c>
    </row>
    <row r="1927" spans="2:18" x14ac:dyDescent="0.2">
      <c r="C1927" s="2" t="s">
        <v>5</v>
      </c>
      <c r="D1927" s="2" t="s">
        <v>1017</v>
      </c>
      <c r="E1927" s="3">
        <v>10.6</v>
      </c>
      <c r="F1927" s="3">
        <v>3</v>
      </c>
      <c r="G1927" s="4">
        <v>44819</v>
      </c>
    </row>
    <row r="1928" spans="2:18" x14ac:dyDescent="0.2">
      <c r="C1928" s="93" t="s">
        <v>7</v>
      </c>
      <c r="D1928" s="93" t="s">
        <v>5426</v>
      </c>
      <c r="E1928" s="3">
        <v>13.5</v>
      </c>
      <c r="F1928" s="3">
        <f>8/3</f>
        <v>2.6666666666666665</v>
      </c>
      <c r="G1928" s="4">
        <v>43320</v>
      </c>
      <c r="J1928" s="1">
        <v>2000</v>
      </c>
    </row>
    <row r="1929" spans="2:18" x14ac:dyDescent="0.2">
      <c r="C1929" s="93" t="s">
        <v>5</v>
      </c>
      <c r="D1929" s="93" t="s">
        <v>5426</v>
      </c>
      <c r="E1929" s="3">
        <v>18.100000000000001</v>
      </c>
      <c r="F1929" s="3">
        <v>8.1</v>
      </c>
      <c r="G1929" s="4">
        <v>42719</v>
      </c>
      <c r="J1929" s="1">
        <v>2000</v>
      </c>
    </row>
    <row r="1930" spans="2:18" x14ac:dyDescent="0.2">
      <c r="C1930" s="93" t="s">
        <v>7</v>
      </c>
      <c r="D1930" s="93" t="s">
        <v>6010</v>
      </c>
      <c r="E1930" s="3">
        <v>50</v>
      </c>
      <c r="F1930" s="3">
        <v>7</v>
      </c>
      <c r="G1930" s="4">
        <v>44670</v>
      </c>
      <c r="J1930" s="1">
        <v>250</v>
      </c>
    </row>
    <row r="1931" spans="2:18" x14ac:dyDescent="0.2">
      <c r="C1931" s="93" t="s">
        <v>5</v>
      </c>
      <c r="D1931" s="93" t="s">
        <v>6010</v>
      </c>
      <c r="E1931" s="3">
        <v>12</v>
      </c>
      <c r="F1931" s="3">
        <v>4</v>
      </c>
      <c r="G1931" s="4">
        <v>43941</v>
      </c>
      <c r="J1931" s="1">
        <v>250</v>
      </c>
    </row>
    <row r="1932" spans="2:18" x14ac:dyDescent="0.2">
      <c r="G1932" s="4"/>
    </row>
    <row r="1933" spans="2:18" s="12" customFormat="1" x14ac:dyDescent="0.2">
      <c r="B1933" s="12" t="s">
        <v>69</v>
      </c>
      <c r="C1933" s="13" t="s">
        <v>969</v>
      </c>
      <c r="D1933" s="13" t="s">
        <v>968</v>
      </c>
      <c r="E1933" s="15"/>
      <c r="F1933" s="15">
        <f>SUM(F1934:F1935)</f>
        <v>35</v>
      </c>
      <c r="G1933" s="14">
        <f>G1934</f>
        <v>44550</v>
      </c>
      <c r="M1933" s="13"/>
      <c r="N1933" s="13"/>
      <c r="O1933" s="13"/>
      <c r="P1933" s="13"/>
      <c r="Q1933" s="13"/>
      <c r="R1933" s="13"/>
    </row>
    <row r="1934" spans="2:18" x14ac:dyDescent="0.2">
      <c r="C1934" s="2" t="s">
        <v>7</v>
      </c>
      <c r="D1934" s="2" t="s">
        <v>64</v>
      </c>
      <c r="E1934" s="3">
        <f>1600/7</f>
        <v>228.57142857142858</v>
      </c>
      <c r="F1934" s="3">
        <v>30</v>
      </c>
      <c r="G1934" s="4">
        <v>44550</v>
      </c>
    </row>
    <row r="1935" spans="2:18" x14ac:dyDescent="0.2">
      <c r="D1935" s="2" t="s">
        <v>64</v>
      </c>
      <c r="E1935" s="3">
        <v>50</v>
      </c>
      <c r="F1935" s="3">
        <f>20/4</f>
        <v>5</v>
      </c>
      <c r="G1935" s="4">
        <v>44165</v>
      </c>
    </row>
    <row r="1936" spans="2:18" x14ac:dyDescent="0.2">
      <c r="G1936" s="4"/>
    </row>
    <row r="1937" spans="2:18" s="12" customFormat="1" x14ac:dyDescent="0.2">
      <c r="B1937" s="12" t="s">
        <v>129</v>
      </c>
      <c r="C1937" s="13" t="s">
        <v>969</v>
      </c>
      <c r="D1937" s="13" t="s">
        <v>968</v>
      </c>
      <c r="E1937" s="15"/>
      <c r="F1937" s="15">
        <f>SUM(F1938:F1940)</f>
        <v>34.5</v>
      </c>
      <c r="G1937" s="14">
        <f>G1938</f>
        <v>45008</v>
      </c>
      <c r="M1937" s="13"/>
      <c r="N1937" s="13"/>
      <c r="O1937" s="13"/>
      <c r="P1937" s="13"/>
      <c r="Q1937" s="13"/>
      <c r="R1937" s="13"/>
    </row>
    <row r="1938" spans="2:18" x14ac:dyDescent="0.2">
      <c r="C1938" s="2" t="s">
        <v>7</v>
      </c>
      <c r="D1938" s="2" t="s">
        <v>128</v>
      </c>
      <c r="E1938" s="3">
        <v>23.5</v>
      </c>
      <c r="F1938" s="3">
        <f>14/4</f>
        <v>3.5</v>
      </c>
      <c r="G1938" s="4">
        <v>45008</v>
      </c>
    </row>
    <row r="1939" spans="2:18" x14ac:dyDescent="0.2">
      <c r="C1939" s="2" t="s">
        <v>504</v>
      </c>
      <c r="D1939" s="2" t="s">
        <v>3938</v>
      </c>
      <c r="E1939" s="3">
        <v>56</v>
      </c>
      <c r="F1939" s="3">
        <f>E1939/2</f>
        <v>28</v>
      </c>
      <c r="G1939" s="4">
        <v>41183</v>
      </c>
    </row>
    <row r="1940" spans="2:18" x14ac:dyDescent="0.2">
      <c r="C1940" s="52" t="s">
        <v>7</v>
      </c>
      <c r="D1940" s="52" t="s">
        <v>2119</v>
      </c>
      <c r="E1940" s="3">
        <v>40</v>
      </c>
      <c r="F1940" s="3">
        <v>3</v>
      </c>
      <c r="G1940" s="4">
        <v>43720</v>
      </c>
      <c r="J1940" s="1">
        <v>3400</v>
      </c>
    </row>
    <row r="1941" spans="2:18" x14ac:dyDescent="0.2">
      <c r="G1941" s="4"/>
    </row>
    <row r="1942" spans="2:18" s="12" customFormat="1" x14ac:dyDescent="0.2">
      <c r="B1942" s="12" t="s">
        <v>497</v>
      </c>
      <c r="C1942" s="13" t="s">
        <v>969</v>
      </c>
      <c r="D1942" s="13" t="s">
        <v>968</v>
      </c>
      <c r="E1942" s="15"/>
      <c r="F1942" s="15">
        <f>SUM(F1943:F1944)</f>
        <v>34</v>
      </c>
      <c r="G1942" s="14">
        <f>G1943</f>
        <v>43725</v>
      </c>
    </row>
    <row r="1943" spans="2:18" x14ac:dyDescent="0.2">
      <c r="C1943" s="2" t="s">
        <v>9</v>
      </c>
      <c r="D1943" s="2" t="s">
        <v>489</v>
      </c>
      <c r="E1943" s="3">
        <v>206</v>
      </c>
      <c r="F1943" s="3">
        <v>14</v>
      </c>
      <c r="G1943" s="4">
        <v>43725</v>
      </c>
      <c r="M1943" s="1"/>
      <c r="N1943" s="1"/>
      <c r="O1943" s="1"/>
      <c r="P1943" s="1"/>
      <c r="Q1943" s="1"/>
      <c r="R1943" s="1"/>
    </row>
    <row r="1944" spans="2:18" x14ac:dyDescent="0.2">
      <c r="C1944" s="2" t="s">
        <v>8</v>
      </c>
      <c r="D1944" s="2" t="s">
        <v>489</v>
      </c>
      <c r="E1944" s="3">
        <v>100</v>
      </c>
      <c r="F1944" s="3">
        <v>20</v>
      </c>
      <c r="G1944" s="4">
        <v>43397</v>
      </c>
      <c r="M1944" s="1"/>
      <c r="N1944" s="1"/>
      <c r="O1944" s="1"/>
      <c r="P1944" s="1"/>
      <c r="Q1944" s="1"/>
      <c r="R1944" s="1"/>
    </row>
    <row r="1945" spans="2:18" x14ac:dyDescent="0.2">
      <c r="G1945" s="4"/>
      <c r="M1945" s="1"/>
      <c r="N1945" s="1"/>
      <c r="O1945" s="1"/>
      <c r="P1945" s="1"/>
      <c r="Q1945" s="1"/>
      <c r="R1945" s="1"/>
    </row>
    <row r="1946" spans="2:18" s="12" customFormat="1" x14ac:dyDescent="0.2">
      <c r="B1946" s="12" t="s">
        <v>5018</v>
      </c>
      <c r="C1946" s="13" t="s">
        <v>969</v>
      </c>
      <c r="D1946" s="13" t="s">
        <v>968</v>
      </c>
      <c r="E1946" s="15"/>
      <c r="F1946" s="15">
        <f>SUM(F1947:F1948)</f>
        <v>34</v>
      </c>
      <c r="G1946" s="14">
        <f>G1947</f>
        <v>44474</v>
      </c>
      <c r="M1946" s="13"/>
      <c r="N1946" s="13"/>
      <c r="O1946" s="13"/>
      <c r="P1946" s="13"/>
      <c r="Q1946" s="13"/>
      <c r="R1946" s="13"/>
    </row>
    <row r="1947" spans="2:18" x14ac:dyDescent="0.2">
      <c r="B1947" s="54"/>
      <c r="C1947" s="55" t="s">
        <v>53</v>
      </c>
      <c r="D1947" s="55" t="s">
        <v>5013</v>
      </c>
      <c r="E1947" s="3">
        <v>100</v>
      </c>
      <c r="F1947" s="3">
        <v>14</v>
      </c>
      <c r="G1947" s="4">
        <v>44474</v>
      </c>
    </row>
    <row r="1948" spans="2:18" x14ac:dyDescent="0.2">
      <c r="C1948" s="55" t="s">
        <v>9</v>
      </c>
      <c r="D1948" s="55" t="s">
        <v>5013</v>
      </c>
      <c r="E1948" s="3">
        <v>43</v>
      </c>
      <c r="F1948" s="3">
        <v>20</v>
      </c>
      <c r="G1948" s="4">
        <v>43992</v>
      </c>
    </row>
    <row r="1949" spans="2:18" x14ac:dyDescent="0.2">
      <c r="C1949" s="55"/>
      <c r="D1949" s="55"/>
      <c r="G1949" s="4"/>
    </row>
    <row r="1950" spans="2:18" s="12" customFormat="1" x14ac:dyDescent="0.2">
      <c r="B1950" s="12" t="s">
        <v>322</v>
      </c>
      <c r="C1950" s="13" t="s">
        <v>969</v>
      </c>
      <c r="D1950" s="13" t="s">
        <v>968</v>
      </c>
      <c r="E1950" s="15"/>
      <c r="F1950" s="15">
        <f>SUM(F1951:F1952)</f>
        <v>33.75</v>
      </c>
      <c r="G1950" s="14">
        <f>G1952</f>
        <v>44867</v>
      </c>
    </row>
    <row r="1951" spans="2:18" x14ac:dyDescent="0.2">
      <c r="C1951" s="2" t="s">
        <v>7</v>
      </c>
      <c r="D1951" s="2" t="s">
        <v>318</v>
      </c>
      <c r="E1951" s="3">
        <v>55</v>
      </c>
      <c r="F1951" s="3">
        <v>25</v>
      </c>
      <c r="G1951" s="4">
        <v>44200</v>
      </c>
      <c r="L1951" s="1">
        <f>+F1951*5</f>
        <v>125</v>
      </c>
      <c r="M1951" s="1"/>
      <c r="N1951" s="1"/>
      <c r="O1951" s="1"/>
      <c r="P1951" s="1"/>
      <c r="Q1951" s="1"/>
      <c r="R1951" s="1"/>
    </row>
    <row r="1952" spans="2:18" x14ac:dyDescent="0.2">
      <c r="C1952" s="2" t="s">
        <v>18</v>
      </c>
      <c r="D1952" s="2" t="s">
        <v>318</v>
      </c>
      <c r="E1952" s="3">
        <v>91</v>
      </c>
      <c r="F1952" s="3">
        <f>70/8</f>
        <v>8.75</v>
      </c>
      <c r="G1952" s="4">
        <v>44867</v>
      </c>
      <c r="M1952" s="1"/>
      <c r="N1952" s="1"/>
      <c r="O1952" s="1"/>
      <c r="P1952" s="1"/>
      <c r="Q1952" s="1"/>
      <c r="R1952" s="1"/>
    </row>
    <row r="1953" spans="2:18" x14ac:dyDescent="0.2">
      <c r="C1953" s="52" t="s">
        <v>18</v>
      </c>
      <c r="D1953" s="52" t="s">
        <v>2121</v>
      </c>
      <c r="E1953" s="3">
        <v>300</v>
      </c>
      <c r="F1953" s="3">
        <f>200/14</f>
        <v>14.285714285714286</v>
      </c>
      <c r="G1953" s="4">
        <v>44300</v>
      </c>
      <c r="M1953" s="1"/>
      <c r="N1953" s="1"/>
      <c r="O1953" s="1"/>
      <c r="P1953" s="1"/>
      <c r="Q1953" s="1"/>
      <c r="R1953" s="1"/>
    </row>
    <row r="1954" spans="2:18" x14ac:dyDescent="0.2">
      <c r="G1954" s="4"/>
      <c r="M1954" s="1"/>
      <c r="N1954" s="1"/>
      <c r="O1954" s="1"/>
      <c r="P1954" s="1"/>
      <c r="Q1954" s="1"/>
      <c r="R1954" s="1"/>
    </row>
    <row r="1955" spans="2:18" s="12" customFormat="1" x14ac:dyDescent="0.2">
      <c r="B1955" s="12" t="s">
        <v>955</v>
      </c>
      <c r="C1955" s="13" t="s">
        <v>969</v>
      </c>
      <c r="D1955" s="13" t="s">
        <v>968</v>
      </c>
      <c r="E1955" s="15"/>
      <c r="F1955" s="15">
        <f>SUM(F1956:F1957)</f>
        <v>33.523809523809526</v>
      </c>
      <c r="G1955" s="14">
        <f>G1956</f>
        <v>45048</v>
      </c>
      <c r="M1955" s="13"/>
      <c r="N1955" s="13"/>
      <c r="O1955" s="13"/>
      <c r="P1955" s="13"/>
      <c r="Q1955" s="13"/>
      <c r="R1955" s="13"/>
    </row>
    <row r="1956" spans="2:18" x14ac:dyDescent="0.2">
      <c r="C1956" s="2" t="s">
        <v>18</v>
      </c>
      <c r="D1956" s="2" t="s">
        <v>952</v>
      </c>
      <c r="E1956" s="3">
        <v>270</v>
      </c>
      <c r="F1956" s="3">
        <v>24</v>
      </c>
      <c r="G1956" s="4">
        <v>45048</v>
      </c>
    </row>
    <row r="1957" spans="2:18" x14ac:dyDescent="0.2">
      <c r="C1957" s="2" t="s">
        <v>9</v>
      </c>
      <c r="D1957" s="2" t="s">
        <v>22</v>
      </c>
      <c r="E1957" s="3">
        <v>222</v>
      </c>
      <c r="F1957" s="3">
        <f>200/21</f>
        <v>9.5238095238095237</v>
      </c>
      <c r="G1957" s="4">
        <v>44194</v>
      </c>
      <c r="I1957" s="1">
        <v>2500</v>
      </c>
      <c r="J1957" s="1">
        <v>2500</v>
      </c>
    </row>
    <row r="1958" spans="2:18" x14ac:dyDescent="0.2">
      <c r="G1958" s="4"/>
    </row>
    <row r="1959" spans="2:18" s="12" customFormat="1" x14ac:dyDescent="0.2">
      <c r="B1959" s="12" t="s">
        <v>56</v>
      </c>
      <c r="C1959" s="13" t="s">
        <v>969</v>
      </c>
      <c r="D1959" s="13" t="s">
        <v>968</v>
      </c>
      <c r="E1959" s="15"/>
      <c r="F1959" s="15">
        <f>SUM(F1960:F1963)</f>
        <v>33.75</v>
      </c>
      <c r="G1959" s="14">
        <f>G1960</f>
        <v>44055</v>
      </c>
      <c r="M1959" s="13"/>
      <c r="N1959" s="13"/>
      <c r="O1959" s="13"/>
      <c r="P1959" s="13"/>
      <c r="Q1959" s="13"/>
      <c r="R1959" s="13"/>
    </row>
    <row r="1960" spans="2:18" x14ac:dyDescent="0.2">
      <c r="C1960" s="2" t="s">
        <v>8</v>
      </c>
      <c r="D1960" s="2" t="s">
        <v>55</v>
      </c>
      <c r="E1960" s="3">
        <v>200</v>
      </c>
      <c r="F1960" s="3">
        <v>18.75</v>
      </c>
      <c r="G1960" s="4">
        <v>44055</v>
      </c>
      <c r="I1960" s="1">
        <v>2000</v>
      </c>
      <c r="J1960" s="1">
        <v>7000</v>
      </c>
    </row>
    <row r="1961" spans="2:18" x14ac:dyDescent="0.2">
      <c r="C1961" s="2" t="s">
        <v>18</v>
      </c>
      <c r="D1961" s="2" t="s">
        <v>55</v>
      </c>
      <c r="E1961" s="3">
        <v>65</v>
      </c>
      <c r="F1961" s="3">
        <v>8</v>
      </c>
      <c r="G1961" s="4">
        <v>43802</v>
      </c>
      <c r="I1961" s="1">
        <v>685</v>
      </c>
      <c r="J1961" s="1">
        <v>7000</v>
      </c>
    </row>
    <row r="1962" spans="2:18" x14ac:dyDescent="0.2">
      <c r="C1962" s="2" t="s">
        <v>7</v>
      </c>
      <c r="D1962" s="2" t="s">
        <v>55</v>
      </c>
      <c r="E1962" s="3">
        <v>20</v>
      </c>
      <c r="F1962" s="3">
        <v>5</v>
      </c>
      <c r="G1962" s="4">
        <v>42898</v>
      </c>
      <c r="J1962" s="1">
        <v>7000</v>
      </c>
    </row>
    <row r="1963" spans="2:18" x14ac:dyDescent="0.2">
      <c r="C1963" s="253" t="s">
        <v>4</v>
      </c>
      <c r="D1963" s="253" t="s">
        <v>2017</v>
      </c>
      <c r="E1963" s="3">
        <v>12</v>
      </c>
      <c r="F1963" s="3">
        <v>2</v>
      </c>
      <c r="G1963" s="4">
        <v>43872</v>
      </c>
    </row>
    <row r="1964" spans="2:18" x14ac:dyDescent="0.2">
      <c r="G1964" s="4"/>
    </row>
    <row r="1965" spans="2:18" s="12" customFormat="1" x14ac:dyDescent="0.2">
      <c r="B1965" s="12" t="s">
        <v>931</v>
      </c>
      <c r="C1965" s="13" t="s">
        <v>969</v>
      </c>
      <c r="D1965" s="13" t="s">
        <v>968</v>
      </c>
      <c r="E1965" s="15"/>
      <c r="F1965" s="15">
        <f>SUM(F1966:F1968)</f>
        <v>34</v>
      </c>
      <c r="G1965" s="14">
        <f>G1966</f>
        <v>44392</v>
      </c>
      <c r="M1965" s="13"/>
      <c r="N1965" s="13"/>
      <c r="O1965" s="13"/>
      <c r="P1965" s="13"/>
      <c r="Q1965" s="13"/>
      <c r="R1965" s="13"/>
    </row>
    <row r="1966" spans="2:18" x14ac:dyDescent="0.2">
      <c r="C1966" s="2" t="s">
        <v>5</v>
      </c>
      <c r="D1966" s="2" t="s">
        <v>695</v>
      </c>
      <c r="E1966" s="3">
        <v>20</v>
      </c>
      <c r="F1966" s="3">
        <v>10</v>
      </c>
      <c r="G1966" s="4">
        <v>44392</v>
      </c>
    </row>
    <row r="1967" spans="2:18" x14ac:dyDescent="0.2">
      <c r="C1967" s="2" t="s">
        <v>8</v>
      </c>
      <c r="D1967" s="2" t="s">
        <v>176</v>
      </c>
      <c r="E1967" s="3">
        <v>130</v>
      </c>
      <c r="F1967" s="3">
        <v>12</v>
      </c>
      <c r="G1967" s="4">
        <v>42080</v>
      </c>
    </row>
    <row r="1968" spans="2:18" x14ac:dyDescent="0.2">
      <c r="C1968" s="2" t="s">
        <v>18</v>
      </c>
      <c r="D1968" s="2" t="s">
        <v>102</v>
      </c>
      <c r="E1968" s="3">
        <v>24</v>
      </c>
      <c r="F1968" s="3">
        <v>12</v>
      </c>
      <c r="G1968" s="4">
        <v>41921</v>
      </c>
    </row>
    <row r="1969" spans="2:18" x14ac:dyDescent="0.2">
      <c r="G1969" s="4"/>
    </row>
    <row r="1970" spans="2:18" x14ac:dyDescent="0.2">
      <c r="B1970" s="12" t="s">
        <v>1020</v>
      </c>
      <c r="C1970" s="13" t="s">
        <v>969</v>
      </c>
      <c r="D1970" s="13" t="s">
        <v>968</v>
      </c>
      <c r="F1970" s="15">
        <f>SUM(F1971:F1975)</f>
        <v>33.142857142857139</v>
      </c>
      <c r="G1970" s="14">
        <f>G1972</f>
        <v>44650</v>
      </c>
    </row>
    <row r="1971" spans="2:18" x14ac:dyDescent="0.2">
      <c r="C1971" s="2" t="s">
        <v>7</v>
      </c>
      <c r="D1971" s="2" t="s">
        <v>864</v>
      </c>
      <c r="E1971" s="3">
        <v>50</v>
      </c>
      <c r="F1971" s="3">
        <f>E1971/7</f>
        <v>7.1428571428571432</v>
      </c>
      <c r="G1971" s="4">
        <v>44628</v>
      </c>
    </row>
    <row r="1972" spans="2:18" x14ac:dyDescent="0.2">
      <c r="C1972" s="2" t="s">
        <v>7</v>
      </c>
      <c r="D1972" s="2" t="s">
        <v>891</v>
      </c>
      <c r="E1972" s="3">
        <v>40</v>
      </c>
      <c r="F1972" s="3">
        <v>5</v>
      </c>
      <c r="G1972" s="4">
        <v>44650</v>
      </c>
    </row>
    <row r="1973" spans="2:18" x14ac:dyDescent="0.2">
      <c r="C1973" s="2" t="s">
        <v>5</v>
      </c>
      <c r="D1973" s="2" t="s">
        <v>891</v>
      </c>
      <c r="E1973" s="3">
        <v>14</v>
      </c>
      <c r="F1973" s="3">
        <v>5</v>
      </c>
      <c r="G1973" s="4">
        <v>44131</v>
      </c>
    </row>
    <row r="1974" spans="2:18" x14ac:dyDescent="0.2">
      <c r="C1974" s="2" t="s">
        <v>7</v>
      </c>
      <c r="D1974" s="2" t="s">
        <v>286</v>
      </c>
      <c r="E1974" s="3">
        <v>35</v>
      </c>
      <c r="F1974" s="3">
        <v>10</v>
      </c>
      <c r="G1974" s="4">
        <v>44309</v>
      </c>
    </row>
    <row r="1975" spans="2:18" x14ac:dyDescent="0.2">
      <c r="C1975" s="2" t="s">
        <v>7</v>
      </c>
      <c r="D1975" s="2" t="s">
        <v>197</v>
      </c>
      <c r="E1975" s="3">
        <v>46</v>
      </c>
      <c r="F1975" s="3">
        <v>6</v>
      </c>
      <c r="G1975" s="4">
        <v>42941</v>
      </c>
    </row>
    <row r="1977" spans="2:18" s="12" customFormat="1" x14ac:dyDescent="0.2">
      <c r="B1977" s="12" t="s">
        <v>1050</v>
      </c>
      <c r="C1977" s="13" t="s">
        <v>969</v>
      </c>
      <c r="D1977" s="13" t="s">
        <v>968</v>
      </c>
      <c r="E1977" s="15"/>
      <c r="F1977" s="15">
        <f>SUM(F1978:F1986)</f>
        <v>31.774999999999999</v>
      </c>
      <c r="G1977" s="14">
        <f>+G1984</f>
        <v>45008</v>
      </c>
      <c r="M1977" s="13"/>
      <c r="N1977" s="13"/>
      <c r="O1977" s="13"/>
      <c r="P1977" s="13"/>
      <c r="Q1977" s="13"/>
      <c r="R1977" s="13"/>
    </row>
    <row r="1978" spans="2:18" x14ac:dyDescent="0.2">
      <c r="C1978" s="2" t="s">
        <v>5</v>
      </c>
      <c r="D1978" s="2" t="s">
        <v>773</v>
      </c>
      <c r="E1978" s="3">
        <v>12.8</v>
      </c>
      <c r="F1978" s="3">
        <v>3</v>
      </c>
      <c r="G1978" s="4">
        <v>44698</v>
      </c>
    </row>
    <row r="1979" spans="2:18" x14ac:dyDescent="0.2">
      <c r="C1979" s="2" t="s">
        <v>4</v>
      </c>
      <c r="D1979" s="2" t="s">
        <v>773</v>
      </c>
      <c r="E1979" s="3">
        <v>5.5</v>
      </c>
      <c r="F1979" s="3">
        <v>1</v>
      </c>
      <c r="G1979" s="4">
        <v>44488</v>
      </c>
    </row>
    <row r="1980" spans="2:18" x14ac:dyDescent="0.2">
      <c r="C1980" s="2" t="s">
        <v>4</v>
      </c>
      <c r="D1980" s="2" t="s">
        <v>649</v>
      </c>
      <c r="E1980" s="3">
        <v>8</v>
      </c>
      <c r="F1980" s="3">
        <v>1</v>
      </c>
      <c r="G1980" s="4">
        <v>44677</v>
      </c>
    </row>
    <row r="1981" spans="2:18" x14ac:dyDescent="0.2">
      <c r="C1981" s="2" t="s">
        <v>7</v>
      </c>
      <c r="D1981" s="2" t="s">
        <v>475</v>
      </c>
      <c r="E1981" s="3">
        <v>90</v>
      </c>
      <c r="F1981" s="3">
        <v>6</v>
      </c>
      <c r="G1981" s="4">
        <v>44398</v>
      </c>
    </row>
    <row r="1982" spans="2:18" x14ac:dyDescent="0.2">
      <c r="C1982" s="2" t="s">
        <v>5</v>
      </c>
      <c r="D1982" s="2" t="s">
        <v>475</v>
      </c>
      <c r="E1982" s="3">
        <v>22.8</v>
      </c>
      <c r="F1982" s="3">
        <v>6.4</v>
      </c>
      <c r="G1982" s="4">
        <v>43160</v>
      </c>
    </row>
    <row r="1983" spans="2:18" x14ac:dyDescent="0.2">
      <c r="C1983" s="2" t="s">
        <v>5</v>
      </c>
      <c r="D1983" s="2" t="s">
        <v>313</v>
      </c>
      <c r="E1983" s="3">
        <v>57</v>
      </c>
      <c r="F1983" s="3">
        <v>6</v>
      </c>
      <c r="G1983" s="4">
        <v>44508</v>
      </c>
    </row>
    <row r="1984" spans="2:18" x14ac:dyDescent="0.2">
      <c r="C1984" s="2" t="s">
        <v>7</v>
      </c>
      <c r="D1984" s="2" t="s">
        <v>128</v>
      </c>
      <c r="E1984" s="3">
        <v>23.5</v>
      </c>
      <c r="F1984" s="3">
        <f>13.5/4</f>
        <v>3.375</v>
      </c>
      <c r="G1984" s="4">
        <v>45008</v>
      </c>
    </row>
    <row r="1985" spans="2:18" x14ac:dyDescent="0.2">
      <c r="C1985" s="2" t="s">
        <v>4</v>
      </c>
      <c r="D1985" s="2" t="s">
        <v>128</v>
      </c>
      <c r="E1985" s="3">
        <v>5</v>
      </c>
      <c r="F1985" s="3">
        <v>2</v>
      </c>
      <c r="G1985" s="4">
        <v>44176</v>
      </c>
    </row>
    <row r="1986" spans="2:18" x14ac:dyDescent="0.2">
      <c r="C1986" s="2" t="s">
        <v>5</v>
      </c>
      <c r="D1986" s="2" t="s">
        <v>2020</v>
      </c>
      <c r="E1986" s="3">
        <v>10</v>
      </c>
      <c r="F1986" s="3">
        <v>3</v>
      </c>
      <c r="G1986" s="4">
        <v>44504</v>
      </c>
    </row>
    <row r="1987" spans="2:18" x14ac:dyDescent="0.2">
      <c r="G1987" s="4"/>
    </row>
    <row r="1988" spans="2:18" s="12" customFormat="1" x14ac:dyDescent="0.2">
      <c r="B1988" s="12" t="s">
        <v>5007</v>
      </c>
      <c r="C1988" s="13" t="s">
        <v>969</v>
      </c>
      <c r="D1988" s="13" t="s">
        <v>968</v>
      </c>
      <c r="E1988" s="15"/>
      <c r="F1988" s="15">
        <f>SUM(F1989:F1991)</f>
        <v>31.964285714285715</v>
      </c>
      <c r="G1988" s="14">
        <f>G1989</f>
        <v>44507</v>
      </c>
      <c r="M1988" s="13"/>
      <c r="N1988" s="13"/>
      <c r="O1988" s="13"/>
      <c r="P1988" s="13"/>
      <c r="Q1988" s="13"/>
      <c r="R1988" s="13"/>
    </row>
    <row r="1989" spans="2:18" s="54" customFormat="1" x14ac:dyDescent="0.2">
      <c r="B1989" s="266" t="s">
        <v>7663</v>
      </c>
      <c r="C1989" s="55" t="s">
        <v>9</v>
      </c>
      <c r="D1989" s="55" t="s">
        <v>2115</v>
      </c>
      <c r="E1989" s="57">
        <v>100</v>
      </c>
      <c r="F1989" s="57">
        <v>10.714285714285714</v>
      </c>
      <c r="G1989" s="56">
        <v>44507</v>
      </c>
      <c r="I1989" s="54">
        <v>1600</v>
      </c>
      <c r="J1989" s="54">
        <v>1600</v>
      </c>
      <c r="M1989" s="55"/>
      <c r="N1989" s="55"/>
      <c r="O1989" s="55"/>
      <c r="P1989" s="55"/>
      <c r="Q1989" s="55"/>
      <c r="R1989" s="55"/>
    </row>
    <row r="1990" spans="2:18" x14ac:dyDescent="0.2">
      <c r="C1990" s="55" t="s">
        <v>8</v>
      </c>
      <c r="D1990" s="55" t="s">
        <v>2115</v>
      </c>
      <c r="E1990" s="3">
        <v>72.5</v>
      </c>
      <c r="F1990" s="3">
        <f>22.5/2</f>
        <v>11.25</v>
      </c>
      <c r="G1990" s="4">
        <v>43697</v>
      </c>
      <c r="J1990" s="1">
        <v>1600</v>
      </c>
    </row>
    <row r="1991" spans="2:18" x14ac:dyDescent="0.2">
      <c r="C1991" s="55" t="s">
        <v>18</v>
      </c>
      <c r="D1991" s="55" t="s">
        <v>2115</v>
      </c>
      <c r="E1991" s="3">
        <v>40</v>
      </c>
      <c r="F1991" s="3">
        <v>10</v>
      </c>
      <c r="G1991" s="4">
        <v>43069</v>
      </c>
      <c r="J1991" s="1">
        <v>1600</v>
      </c>
    </row>
    <row r="1992" spans="2:18" x14ac:dyDescent="0.2">
      <c r="C1992" s="55"/>
      <c r="D1992" s="55"/>
      <c r="G1992" s="4"/>
    </row>
    <row r="1993" spans="2:18" s="12" customFormat="1" x14ac:dyDescent="0.2">
      <c r="B1993" s="12" t="s">
        <v>1010</v>
      </c>
      <c r="C1993" s="13" t="s">
        <v>969</v>
      </c>
      <c r="D1993" s="13" t="s">
        <v>968</v>
      </c>
      <c r="E1993" s="15"/>
      <c r="F1993" s="15">
        <f>SUM(F1994:F2003)</f>
        <v>32.299999999999997</v>
      </c>
      <c r="G1993" s="14">
        <f>G1995</f>
        <v>44705</v>
      </c>
      <c r="M1993" s="13"/>
      <c r="N1993" s="13"/>
      <c r="O1993" s="13"/>
      <c r="P1993" s="13"/>
      <c r="Q1993" s="13"/>
      <c r="R1993" s="13"/>
    </row>
    <row r="1994" spans="2:18" x14ac:dyDescent="0.2">
      <c r="C1994" s="2" t="s">
        <v>5</v>
      </c>
      <c r="D1994" s="2" t="s">
        <v>871</v>
      </c>
      <c r="E1994" s="3">
        <v>21.4</v>
      </c>
      <c r="F1994" s="3">
        <f>11.4/3</f>
        <v>3.8000000000000003</v>
      </c>
      <c r="G1994" s="4">
        <v>44232</v>
      </c>
    </row>
    <row r="1995" spans="2:18" x14ac:dyDescent="0.2">
      <c r="C1995" s="2" t="s">
        <v>5</v>
      </c>
      <c r="D1995" s="2" t="s">
        <v>669</v>
      </c>
      <c r="E1995" s="3">
        <v>14</v>
      </c>
      <c r="F1995" s="3">
        <v>3</v>
      </c>
      <c r="G1995" s="4">
        <v>44705</v>
      </c>
    </row>
    <row r="1996" spans="2:18" x14ac:dyDescent="0.2">
      <c r="C1996" s="2" t="s">
        <v>4</v>
      </c>
      <c r="D1996" s="2" t="s">
        <v>669</v>
      </c>
      <c r="E1996" s="3">
        <v>5</v>
      </c>
      <c r="F1996" s="3">
        <v>2</v>
      </c>
      <c r="G1996" s="4">
        <v>44578</v>
      </c>
    </row>
    <row r="1997" spans="2:18" x14ac:dyDescent="0.2">
      <c r="C1997" s="2" t="s">
        <v>5</v>
      </c>
      <c r="D1997" s="2" t="s">
        <v>110</v>
      </c>
      <c r="E1997" s="3">
        <v>25</v>
      </c>
      <c r="F1997" s="3">
        <v>3</v>
      </c>
      <c r="G1997" s="4">
        <v>44510</v>
      </c>
    </row>
    <row r="1998" spans="2:18" x14ac:dyDescent="0.2">
      <c r="C1998" s="2" t="s">
        <v>4</v>
      </c>
      <c r="D1998" s="2" t="s">
        <v>110</v>
      </c>
      <c r="E1998" s="3">
        <v>8</v>
      </c>
      <c r="F1998" s="3">
        <v>1.5</v>
      </c>
      <c r="G1998" s="4">
        <v>44063</v>
      </c>
    </row>
    <row r="1999" spans="2:18" x14ac:dyDescent="0.2">
      <c r="C1999" s="55" t="s">
        <v>18</v>
      </c>
      <c r="D1999" s="55" t="s">
        <v>2112</v>
      </c>
      <c r="E1999" s="3">
        <v>40</v>
      </c>
      <c r="F1999" s="3">
        <v>5</v>
      </c>
      <c r="G1999" s="4">
        <v>44238</v>
      </c>
      <c r="J1999" s="1">
        <v>790</v>
      </c>
    </row>
    <row r="2000" spans="2:18" x14ac:dyDescent="0.2">
      <c r="C2000" s="55" t="s">
        <v>7</v>
      </c>
      <c r="D2000" s="55" t="s">
        <v>2112</v>
      </c>
      <c r="E2000" s="3">
        <v>25</v>
      </c>
      <c r="F2000" s="3">
        <v>5</v>
      </c>
      <c r="G2000" s="4">
        <v>43865</v>
      </c>
      <c r="J2000" s="1">
        <v>790</v>
      </c>
    </row>
    <row r="2001" spans="2:18" x14ac:dyDescent="0.2">
      <c r="C2001" s="55" t="s">
        <v>5</v>
      </c>
      <c r="D2001" s="55" t="s">
        <v>2112</v>
      </c>
      <c r="E2001" s="3">
        <v>10</v>
      </c>
      <c r="F2001" s="3">
        <v>5</v>
      </c>
      <c r="G2001" s="4">
        <v>43564</v>
      </c>
      <c r="J2001" s="1">
        <v>790</v>
      </c>
    </row>
    <row r="2002" spans="2:18" x14ac:dyDescent="0.2">
      <c r="C2002" s="55" t="s">
        <v>4</v>
      </c>
      <c r="D2002" s="55" t="s">
        <v>2112</v>
      </c>
      <c r="E2002" s="3">
        <v>3.9</v>
      </c>
      <c r="F2002" s="3">
        <v>1</v>
      </c>
      <c r="G2002" s="4">
        <v>43311</v>
      </c>
      <c r="J2002" s="1">
        <v>790</v>
      </c>
    </row>
    <row r="2003" spans="2:18" x14ac:dyDescent="0.2">
      <c r="C2003" s="185" t="s">
        <v>5</v>
      </c>
      <c r="D2003" s="185" t="s">
        <v>6708</v>
      </c>
      <c r="E2003" s="3">
        <v>21</v>
      </c>
      <c r="F2003" s="3">
        <v>3</v>
      </c>
      <c r="G2003" s="4">
        <v>44515</v>
      </c>
    </row>
    <row r="2004" spans="2:18" x14ac:dyDescent="0.2">
      <c r="G2004" s="4"/>
    </row>
    <row r="2005" spans="2:18" s="12" customFormat="1" x14ac:dyDescent="0.2">
      <c r="B2005" s="12" t="s">
        <v>5008</v>
      </c>
      <c r="C2005" s="13" t="s">
        <v>969</v>
      </c>
      <c r="D2005" s="13" t="s">
        <v>968</v>
      </c>
      <c r="E2005" s="15"/>
      <c r="F2005" s="15">
        <f>SUM(F2006:F2007)</f>
        <v>32.222222222222221</v>
      </c>
      <c r="G2005" s="14">
        <f>G2006</f>
        <v>44999</v>
      </c>
      <c r="M2005" s="13"/>
      <c r="N2005" s="13"/>
      <c r="O2005" s="13"/>
      <c r="P2005" s="13"/>
      <c r="Q2005" s="13"/>
      <c r="R2005" s="13"/>
    </row>
    <row r="2006" spans="2:18" x14ac:dyDescent="0.2">
      <c r="C2006" s="2" t="s">
        <v>7</v>
      </c>
      <c r="D2006" s="2" t="s">
        <v>949</v>
      </c>
      <c r="E2006" s="3">
        <v>350</v>
      </c>
      <c r="F2006" s="3">
        <v>20</v>
      </c>
      <c r="G2006" s="4">
        <v>44999</v>
      </c>
    </row>
    <row r="2007" spans="2:18" x14ac:dyDescent="0.2">
      <c r="C2007" s="2" t="s">
        <v>18</v>
      </c>
      <c r="D2007" s="2" t="s">
        <v>2130</v>
      </c>
      <c r="E2007" s="3">
        <v>200</v>
      </c>
      <c r="F2007" s="3">
        <f>110/9</f>
        <v>12.222222222222221</v>
      </c>
      <c r="G2007" s="4">
        <v>44557</v>
      </c>
      <c r="I2007" s="1">
        <v>1300</v>
      </c>
      <c r="J2007" s="1">
        <v>1300</v>
      </c>
    </row>
    <row r="2008" spans="2:18" x14ac:dyDescent="0.2">
      <c r="G2008" s="4"/>
    </row>
    <row r="2009" spans="2:18" s="12" customFormat="1" x14ac:dyDescent="0.2">
      <c r="B2009" s="12" t="s">
        <v>6444</v>
      </c>
      <c r="C2009" s="13" t="s">
        <v>969</v>
      </c>
      <c r="D2009" s="13" t="s">
        <v>968</v>
      </c>
      <c r="E2009" s="15"/>
      <c r="F2009" s="15">
        <f>SUM(F2010:F2012)</f>
        <v>31.166666666666664</v>
      </c>
      <c r="G2009" s="14">
        <f>G2010</f>
        <v>43682</v>
      </c>
      <c r="M2009" s="13"/>
      <c r="N2009" s="13"/>
      <c r="O2009" s="13"/>
      <c r="P2009" s="13"/>
      <c r="Q2009" s="13"/>
      <c r="R2009" s="13"/>
    </row>
    <row r="2010" spans="2:18" x14ac:dyDescent="0.2">
      <c r="C2010" s="2" t="s">
        <v>18</v>
      </c>
      <c r="D2010" s="2" t="s">
        <v>803</v>
      </c>
      <c r="E2010" s="3">
        <v>100</v>
      </c>
      <c r="F2010" s="3">
        <v>13</v>
      </c>
      <c r="G2010" s="4">
        <v>43682</v>
      </c>
    </row>
    <row r="2011" spans="2:18" x14ac:dyDescent="0.2">
      <c r="C2011" s="2" t="s">
        <v>8</v>
      </c>
      <c r="D2011" s="2" t="s">
        <v>47</v>
      </c>
      <c r="E2011" s="3">
        <v>145</v>
      </c>
      <c r="F2011" s="3">
        <f>85/6</f>
        <v>14.166666666666666</v>
      </c>
      <c r="G2011" s="4">
        <v>43228</v>
      </c>
      <c r="I2011" s="1">
        <v>855</v>
      </c>
      <c r="J2011" s="1">
        <v>4100</v>
      </c>
    </row>
    <row r="2012" spans="2:18" x14ac:dyDescent="0.2">
      <c r="C2012" s="161" t="s">
        <v>7</v>
      </c>
      <c r="D2012" s="161" t="s">
        <v>2039</v>
      </c>
      <c r="E2012" s="3">
        <v>25</v>
      </c>
      <c r="F2012" s="3">
        <v>4</v>
      </c>
      <c r="G2012" s="4">
        <v>43528</v>
      </c>
    </row>
    <row r="2013" spans="2:18" x14ac:dyDescent="0.2">
      <c r="G2013" s="4"/>
    </row>
    <row r="2014" spans="2:18" s="12" customFormat="1" x14ac:dyDescent="0.2">
      <c r="B2014" s="12" t="s">
        <v>23</v>
      </c>
      <c r="C2014" s="13" t="s">
        <v>969</v>
      </c>
      <c r="D2014" s="13" t="s">
        <v>968</v>
      </c>
      <c r="E2014" s="15"/>
      <c r="F2014" s="15">
        <f>SUM(F2015:F2018)</f>
        <v>30.523809523809526</v>
      </c>
      <c r="G2014" s="14">
        <f>G2015</f>
        <v>44194</v>
      </c>
      <c r="M2014" s="13"/>
      <c r="N2014" s="13"/>
      <c r="O2014" s="13"/>
      <c r="P2014" s="13"/>
      <c r="Q2014" s="13"/>
      <c r="R2014" s="13"/>
    </row>
    <row r="2015" spans="2:18" x14ac:dyDescent="0.2">
      <c r="C2015" s="2" t="s">
        <v>9</v>
      </c>
      <c r="D2015" s="2" t="s">
        <v>22</v>
      </c>
      <c r="E2015" s="3">
        <v>222</v>
      </c>
      <c r="F2015" s="3">
        <f>200/21</f>
        <v>9.5238095238095237</v>
      </c>
      <c r="G2015" s="4">
        <v>44194</v>
      </c>
      <c r="I2015" s="1">
        <v>2500</v>
      </c>
      <c r="J2015" s="1">
        <v>2500</v>
      </c>
    </row>
    <row r="2016" spans="2:18" x14ac:dyDescent="0.2">
      <c r="C2016" s="2" t="s">
        <v>8</v>
      </c>
      <c r="D2016" s="2" t="s">
        <v>22</v>
      </c>
      <c r="E2016" s="3">
        <v>200</v>
      </c>
      <c r="F2016" s="3">
        <v>13</v>
      </c>
      <c r="G2016" s="4">
        <v>43452</v>
      </c>
      <c r="I2016" s="1">
        <v>1500</v>
      </c>
      <c r="J2016" s="1">
        <v>2500</v>
      </c>
    </row>
    <row r="2017" spans="2:18" x14ac:dyDescent="0.2">
      <c r="C2017" s="2" t="s">
        <v>18</v>
      </c>
      <c r="D2017" s="2" t="s">
        <v>22</v>
      </c>
      <c r="E2017" s="3">
        <v>50</v>
      </c>
      <c r="F2017" s="3">
        <v>5</v>
      </c>
      <c r="G2017" s="4">
        <v>43051</v>
      </c>
      <c r="J2017" s="1">
        <v>2500</v>
      </c>
    </row>
    <row r="2018" spans="2:18" x14ac:dyDescent="0.2">
      <c r="C2018" s="2" t="s">
        <v>7</v>
      </c>
      <c r="D2018" s="2" t="s">
        <v>22</v>
      </c>
      <c r="E2018" s="3">
        <v>30</v>
      </c>
      <c r="F2018" s="3">
        <v>3</v>
      </c>
      <c r="G2018" s="4">
        <v>42936</v>
      </c>
      <c r="J2018" s="1">
        <v>2500</v>
      </c>
    </row>
    <row r="2019" spans="2:18" x14ac:dyDescent="0.2">
      <c r="G2019" s="4"/>
    </row>
    <row r="2020" spans="2:18" s="12" customFormat="1" x14ac:dyDescent="0.2">
      <c r="B2020" s="12" t="s">
        <v>5009</v>
      </c>
      <c r="C2020" s="13" t="s">
        <v>969</v>
      </c>
      <c r="D2020" s="13" t="s">
        <v>968</v>
      </c>
      <c r="E2020" s="15"/>
      <c r="F2020" s="15">
        <f>SUM(F2021:F2028)</f>
        <v>30.549999999999997</v>
      </c>
      <c r="G2020" s="14">
        <f>G2021</f>
        <v>44952</v>
      </c>
    </row>
    <row r="2021" spans="2:18" x14ac:dyDescent="0.2">
      <c r="C2021" s="2" t="s">
        <v>5</v>
      </c>
      <c r="D2021" s="2" t="s">
        <v>666</v>
      </c>
      <c r="E2021" s="3">
        <v>12.7</v>
      </c>
      <c r="F2021" s="3">
        <f>8/5</f>
        <v>1.6</v>
      </c>
      <c r="G2021" s="4">
        <v>44952</v>
      </c>
      <c r="M2021" s="1"/>
      <c r="N2021" s="1"/>
      <c r="O2021" s="1"/>
      <c r="P2021" s="1"/>
      <c r="Q2021" s="1"/>
      <c r="R2021" s="1"/>
    </row>
    <row r="2022" spans="2:18" x14ac:dyDescent="0.2">
      <c r="C2022" s="2" t="s">
        <v>18</v>
      </c>
      <c r="D2022" s="2" t="s">
        <v>606</v>
      </c>
      <c r="E2022" s="3">
        <v>48</v>
      </c>
      <c r="F2022" s="3">
        <v>4</v>
      </c>
      <c r="G2022" s="4">
        <v>43888</v>
      </c>
      <c r="J2022" s="1">
        <v>1200</v>
      </c>
      <c r="M2022" s="1"/>
      <c r="N2022" s="1"/>
      <c r="O2022" s="1"/>
      <c r="P2022" s="1"/>
      <c r="Q2022" s="1"/>
      <c r="R2022" s="1"/>
    </row>
    <row r="2023" spans="2:18" x14ac:dyDescent="0.2">
      <c r="C2023" s="2" t="s">
        <v>7</v>
      </c>
      <c r="D2023" s="2" t="s">
        <v>606</v>
      </c>
      <c r="E2023" s="3">
        <v>25</v>
      </c>
      <c r="F2023" s="3">
        <v>5</v>
      </c>
      <c r="G2023" s="4">
        <v>43440</v>
      </c>
      <c r="J2023" s="1">
        <v>1200</v>
      </c>
      <c r="M2023" s="1"/>
      <c r="N2023" s="1"/>
      <c r="O2023" s="1"/>
      <c r="P2023" s="1"/>
      <c r="Q2023" s="1"/>
      <c r="R2023" s="1"/>
    </row>
    <row r="2024" spans="2:18" x14ac:dyDescent="0.2">
      <c r="C2024" s="2" t="s">
        <v>5</v>
      </c>
      <c r="D2024" s="2" t="s">
        <v>606</v>
      </c>
      <c r="E2024" s="3">
        <v>5.8</v>
      </c>
      <c r="F2024" s="3">
        <f>E2024/4</f>
        <v>1.45</v>
      </c>
      <c r="G2024" s="4">
        <v>43117</v>
      </c>
      <c r="J2024" s="1">
        <v>1200</v>
      </c>
      <c r="M2024" s="1"/>
      <c r="N2024" s="1"/>
      <c r="O2024" s="1"/>
      <c r="P2024" s="1"/>
      <c r="Q2024" s="1"/>
      <c r="R2024" s="1"/>
    </row>
    <row r="2025" spans="2:18" x14ac:dyDescent="0.2">
      <c r="C2025" s="2" t="s">
        <v>4</v>
      </c>
      <c r="D2025" s="2" t="s">
        <v>606</v>
      </c>
      <c r="E2025" s="3">
        <v>3.3</v>
      </c>
      <c r="F2025" s="3">
        <v>0.5</v>
      </c>
      <c r="G2025" s="4">
        <v>42678</v>
      </c>
      <c r="J2025" s="1">
        <v>1200</v>
      </c>
      <c r="M2025" s="1"/>
      <c r="N2025" s="1"/>
      <c r="O2025" s="1"/>
      <c r="P2025" s="1"/>
      <c r="Q2025" s="1"/>
      <c r="R2025" s="1"/>
    </row>
    <row r="2026" spans="2:18" x14ac:dyDescent="0.2">
      <c r="C2026" s="2" t="s">
        <v>5</v>
      </c>
      <c r="D2026" s="2" t="s">
        <v>289</v>
      </c>
      <c r="E2026" s="3">
        <v>30</v>
      </c>
      <c r="F2026" s="3">
        <f>20/5</f>
        <v>4</v>
      </c>
      <c r="G2026" s="4">
        <v>44474</v>
      </c>
      <c r="M2026" s="1"/>
      <c r="N2026" s="1"/>
      <c r="O2026" s="1"/>
      <c r="P2026" s="1"/>
      <c r="Q2026" s="1"/>
      <c r="R2026" s="1"/>
    </row>
    <row r="2027" spans="2:18" x14ac:dyDescent="0.2">
      <c r="C2027" s="2" t="s">
        <v>4</v>
      </c>
      <c r="D2027" s="2" t="s">
        <v>289</v>
      </c>
      <c r="E2027" s="3">
        <v>15</v>
      </c>
      <c r="F2027" s="3">
        <v>5</v>
      </c>
      <c r="G2027" s="4">
        <v>43775</v>
      </c>
      <c r="M2027" s="1"/>
      <c r="N2027" s="1"/>
      <c r="O2027" s="1"/>
      <c r="P2027" s="1"/>
      <c r="Q2027" s="1"/>
      <c r="R2027" s="1"/>
    </row>
    <row r="2028" spans="2:18" x14ac:dyDescent="0.2">
      <c r="C2028" s="2" t="s">
        <v>5</v>
      </c>
      <c r="D2028" s="2" t="s">
        <v>161</v>
      </c>
      <c r="E2028" s="3">
        <v>112</v>
      </c>
      <c r="F2028" s="3">
        <v>9</v>
      </c>
      <c r="G2028" s="4">
        <v>43115</v>
      </c>
      <c r="J2028" s="1">
        <v>8400</v>
      </c>
      <c r="M2028" s="1"/>
      <c r="N2028" s="1"/>
      <c r="O2028" s="1"/>
      <c r="P2028" s="1"/>
      <c r="Q2028" s="1"/>
      <c r="R2028" s="1"/>
    </row>
    <row r="2029" spans="2:18" x14ac:dyDescent="0.2">
      <c r="G2029" s="4"/>
      <c r="M2029" s="1"/>
      <c r="N2029" s="1"/>
      <c r="O2029" s="1"/>
      <c r="P2029" s="1"/>
      <c r="Q2029" s="1"/>
      <c r="R2029" s="1"/>
    </row>
    <row r="2030" spans="2:18" s="12" customFormat="1" x14ac:dyDescent="0.2">
      <c r="B2030" s="12" t="s">
        <v>611</v>
      </c>
      <c r="C2030" s="13" t="s">
        <v>969</v>
      </c>
      <c r="D2030" s="13" t="s">
        <v>968</v>
      </c>
      <c r="E2030" s="15"/>
      <c r="F2030" s="15">
        <f>SUM(F2031:F2037)</f>
        <v>36.244444444444447</v>
      </c>
      <c r="G2030" s="14">
        <f>+G2034</f>
        <v>45124</v>
      </c>
    </row>
    <row r="2031" spans="2:18" x14ac:dyDescent="0.2">
      <c r="C2031" s="2" t="s">
        <v>9</v>
      </c>
      <c r="D2031" s="2" t="s">
        <v>606</v>
      </c>
      <c r="E2031" s="3">
        <v>132</v>
      </c>
      <c r="F2031" s="3">
        <f>72/10</f>
        <v>7.2</v>
      </c>
      <c r="G2031" s="4">
        <v>44215</v>
      </c>
      <c r="I2031" s="1">
        <v>1400</v>
      </c>
      <c r="J2031" s="1">
        <v>1200</v>
      </c>
      <c r="M2031" s="1"/>
      <c r="N2031" s="1"/>
      <c r="O2031" s="1"/>
      <c r="P2031" s="1"/>
      <c r="Q2031" s="1"/>
      <c r="R2031" s="1"/>
    </row>
    <row r="2032" spans="2:18" x14ac:dyDescent="0.2">
      <c r="C2032" s="2" t="s">
        <v>18</v>
      </c>
      <c r="D2032" s="2" t="s">
        <v>606</v>
      </c>
      <c r="E2032" s="3">
        <v>48</v>
      </c>
      <c r="F2032" s="3">
        <v>4</v>
      </c>
      <c r="G2032" s="4">
        <v>43888</v>
      </c>
      <c r="J2032" s="1">
        <v>1200</v>
      </c>
      <c r="M2032" s="1"/>
      <c r="N2032" s="1"/>
      <c r="O2032" s="1"/>
      <c r="P2032" s="1"/>
      <c r="Q2032" s="1"/>
      <c r="R2032" s="1"/>
    </row>
    <row r="2033" spans="2:18" x14ac:dyDescent="0.2">
      <c r="C2033" s="2" t="s">
        <v>7</v>
      </c>
      <c r="D2033" s="2" t="s">
        <v>606</v>
      </c>
      <c r="E2033" s="3">
        <v>25</v>
      </c>
      <c r="F2033" s="3">
        <v>5</v>
      </c>
      <c r="G2033" s="4">
        <v>43440</v>
      </c>
      <c r="J2033" s="1">
        <v>1200</v>
      </c>
      <c r="M2033" s="1"/>
      <c r="N2033" s="1"/>
      <c r="O2033" s="1"/>
      <c r="P2033" s="1"/>
      <c r="Q2033" s="1"/>
      <c r="R2033" s="1"/>
    </row>
    <row r="2034" spans="2:18" x14ac:dyDescent="0.2">
      <c r="C2034" s="282" t="s">
        <v>7978</v>
      </c>
      <c r="D2034" s="2" t="s">
        <v>606</v>
      </c>
      <c r="E2034" s="3">
        <v>59</v>
      </c>
      <c r="F2034" s="3">
        <f>59/9</f>
        <v>6.5555555555555554</v>
      </c>
      <c r="G2034" s="4">
        <v>45124</v>
      </c>
      <c r="I2034" s="1">
        <v>1200</v>
      </c>
      <c r="J2034" s="1">
        <v>1200</v>
      </c>
      <c r="M2034" s="1"/>
      <c r="N2034" s="1"/>
      <c r="O2034" s="1"/>
      <c r="P2034" s="1"/>
      <c r="Q2034" s="1"/>
      <c r="R2034" s="1"/>
    </row>
    <row r="2035" spans="2:18" x14ac:dyDescent="0.2">
      <c r="C2035" s="2" t="s">
        <v>5</v>
      </c>
      <c r="D2035" s="2" t="s">
        <v>258</v>
      </c>
      <c r="E2035" s="3">
        <v>3.5</v>
      </c>
      <c r="F2035" s="3">
        <f>+E2035/9</f>
        <v>0.3888888888888889</v>
      </c>
      <c r="G2035" s="4">
        <v>42979</v>
      </c>
      <c r="M2035" s="1"/>
      <c r="N2035" s="1"/>
      <c r="O2035" s="1"/>
      <c r="P2035" s="1"/>
      <c r="Q2035" s="1"/>
      <c r="R2035" s="1"/>
    </row>
    <row r="2036" spans="2:18" x14ac:dyDescent="0.2">
      <c r="C2036" s="2" t="s">
        <v>8</v>
      </c>
      <c r="D2036" s="2" t="s">
        <v>176</v>
      </c>
      <c r="E2036" s="3">
        <v>130</v>
      </c>
      <c r="F2036" s="3">
        <v>12</v>
      </c>
      <c r="G2036" s="4">
        <v>42080</v>
      </c>
      <c r="M2036" s="1"/>
      <c r="N2036" s="1"/>
      <c r="O2036" s="1"/>
      <c r="P2036" s="1"/>
      <c r="Q2036" s="1"/>
      <c r="R2036" s="1"/>
    </row>
    <row r="2037" spans="2:18" x14ac:dyDescent="0.2">
      <c r="C2037" s="2" t="s">
        <v>5</v>
      </c>
      <c r="D2037" s="2" t="s">
        <v>176</v>
      </c>
      <c r="E2037" s="3">
        <v>1.1000000000000001</v>
      </c>
      <c r="F2037" s="3">
        <v>1.1000000000000001</v>
      </c>
      <c r="G2037" s="4">
        <v>40750</v>
      </c>
      <c r="M2037" s="1"/>
      <c r="N2037" s="1"/>
      <c r="O2037" s="1"/>
      <c r="P2037" s="1"/>
      <c r="Q2037" s="1"/>
      <c r="R2037" s="1"/>
    </row>
    <row r="2038" spans="2:18" x14ac:dyDescent="0.2">
      <c r="G2038" s="4"/>
      <c r="M2038" s="1"/>
      <c r="N2038" s="1"/>
      <c r="O2038" s="1"/>
      <c r="P2038" s="1"/>
      <c r="Q2038" s="1"/>
      <c r="R2038" s="1"/>
    </row>
    <row r="2039" spans="2:18" s="12" customFormat="1" x14ac:dyDescent="0.2">
      <c r="B2039" s="12" t="s">
        <v>449</v>
      </c>
      <c r="C2039" s="13" t="s">
        <v>969</v>
      </c>
      <c r="D2039" s="13" t="s">
        <v>968</v>
      </c>
      <c r="E2039" s="15"/>
      <c r="F2039" s="15">
        <f>SUM(F2040:F2049)</f>
        <v>30.655454545454546</v>
      </c>
      <c r="G2039" s="14">
        <f>G2049</f>
        <v>44866</v>
      </c>
    </row>
    <row r="2040" spans="2:18" x14ac:dyDescent="0.2">
      <c r="C2040" s="2" t="s">
        <v>8</v>
      </c>
      <c r="D2040" s="2" t="s">
        <v>448</v>
      </c>
      <c r="E2040" s="3">
        <v>90</v>
      </c>
      <c r="F2040" s="3">
        <f>50/11</f>
        <v>4.5454545454545459</v>
      </c>
      <c r="G2040" s="4">
        <v>44776</v>
      </c>
      <c r="M2040" s="1"/>
      <c r="N2040" s="1"/>
      <c r="O2040" s="1"/>
      <c r="P2040" s="1"/>
      <c r="Q2040" s="1"/>
      <c r="R2040" s="1"/>
    </row>
    <row r="2041" spans="2:18" x14ac:dyDescent="0.2">
      <c r="C2041" s="2" t="s">
        <v>18</v>
      </c>
      <c r="D2041" s="2" t="s">
        <v>448</v>
      </c>
      <c r="E2041" s="3">
        <v>40</v>
      </c>
      <c r="F2041" s="3">
        <v>3.75</v>
      </c>
      <c r="G2041" s="4">
        <v>44176</v>
      </c>
      <c r="M2041" s="1"/>
      <c r="N2041" s="1"/>
      <c r="O2041" s="1"/>
      <c r="P2041" s="1"/>
      <c r="Q2041" s="1"/>
      <c r="R2041" s="1"/>
    </row>
    <row r="2042" spans="2:18" x14ac:dyDescent="0.2">
      <c r="C2042" s="2" t="s">
        <v>7</v>
      </c>
      <c r="D2042" s="2" t="s">
        <v>448</v>
      </c>
      <c r="E2042" s="3">
        <v>20</v>
      </c>
      <c r="F2042" s="3">
        <v>3</v>
      </c>
      <c r="G2042" s="4">
        <v>43879</v>
      </c>
      <c r="M2042" s="1"/>
      <c r="N2042" s="1"/>
      <c r="O2042" s="1"/>
      <c r="P2042" s="1"/>
      <c r="Q2042" s="1"/>
      <c r="R2042" s="1"/>
    </row>
    <row r="2043" spans="2:18" x14ac:dyDescent="0.2">
      <c r="C2043" s="55" t="s">
        <v>18</v>
      </c>
      <c r="D2043" s="55" t="s">
        <v>2112</v>
      </c>
      <c r="E2043" s="3">
        <v>40</v>
      </c>
      <c r="F2043" s="3">
        <v>5</v>
      </c>
      <c r="G2043" s="4">
        <v>44238</v>
      </c>
      <c r="J2043" s="1">
        <v>790</v>
      </c>
      <c r="M2043" s="1"/>
      <c r="N2043" s="1"/>
      <c r="O2043" s="1"/>
      <c r="P2043" s="1"/>
      <c r="Q2043" s="1"/>
      <c r="R2043" s="1"/>
    </row>
    <row r="2044" spans="2:18" x14ac:dyDescent="0.2">
      <c r="C2044" s="55" t="s">
        <v>7</v>
      </c>
      <c r="D2044" s="55" t="s">
        <v>2112</v>
      </c>
      <c r="E2044" s="3">
        <v>25</v>
      </c>
      <c r="F2044" s="3">
        <v>5</v>
      </c>
      <c r="G2044" s="4">
        <v>43865</v>
      </c>
      <c r="J2044" s="1">
        <v>790</v>
      </c>
      <c r="M2044" s="1"/>
      <c r="N2044" s="1"/>
      <c r="O2044" s="1"/>
      <c r="P2044" s="1"/>
      <c r="Q2044" s="1"/>
      <c r="R2044" s="1"/>
    </row>
    <row r="2045" spans="2:18" x14ac:dyDescent="0.2">
      <c r="C2045" s="55" t="s">
        <v>5</v>
      </c>
      <c r="D2045" s="55" t="s">
        <v>2112</v>
      </c>
      <c r="E2045" s="3">
        <v>10</v>
      </c>
      <c r="F2045" s="3">
        <v>2.5</v>
      </c>
      <c r="G2045" s="4">
        <v>43564</v>
      </c>
      <c r="J2045" s="1">
        <v>790</v>
      </c>
      <c r="M2045" s="1"/>
      <c r="N2045" s="1"/>
      <c r="O2045" s="1"/>
      <c r="P2045" s="1"/>
      <c r="Q2045" s="1"/>
      <c r="R2045" s="1"/>
    </row>
    <row r="2046" spans="2:18" x14ac:dyDescent="0.2">
      <c r="C2046" s="55" t="s">
        <v>4</v>
      </c>
      <c r="D2046" s="55" t="s">
        <v>2112</v>
      </c>
      <c r="E2046" s="3">
        <v>3.9</v>
      </c>
      <c r="F2046" s="3">
        <v>1</v>
      </c>
      <c r="G2046" s="4">
        <v>43220</v>
      </c>
      <c r="M2046" s="1"/>
      <c r="N2046" s="1"/>
      <c r="O2046" s="1"/>
      <c r="P2046" s="1"/>
      <c r="Q2046" s="1"/>
      <c r="R2046" s="1"/>
    </row>
    <row r="2047" spans="2:18" x14ac:dyDescent="0.2">
      <c r="C2047" s="161" t="s">
        <v>5</v>
      </c>
      <c r="D2047" s="161" t="s">
        <v>2042</v>
      </c>
      <c r="E2047" s="3">
        <v>18</v>
      </c>
      <c r="F2047" s="3">
        <v>4</v>
      </c>
      <c r="G2047" s="4">
        <v>43445</v>
      </c>
      <c r="M2047" s="1"/>
      <c r="N2047" s="1"/>
      <c r="O2047" s="1"/>
      <c r="P2047" s="1"/>
      <c r="Q2047" s="1"/>
      <c r="R2047" s="1"/>
    </row>
    <row r="2048" spans="2:18" x14ac:dyDescent="0.2">
      <c r="C2048" s="161" t="s">
        <v>4</v>
      </c>
      <c r="D2048" s="161" t="s">
        <v>2042</v>
      </c>
      <c r="E2048" s="3">
        <v>4.3</v>
      </c>
      <c r="F2048" s="3">
        <f>E2048/5</f>
        <v>0.86</v>
      </c>
      <c r="G2048" s="4">
        <v>43157</v>
      </c>
      <c r="M2048" s="1"/>
      <c r="N2048" s="1"/>
      <c r="O2048" s="1"/>
      <c r="P2048" s="1"/>
      <c r="Q2048" s="1"/>
      <c r="R2048" s="1"/>
    </row>
    <row r="2049" spans="2:18" x14ac:dyDescent="0.2">
      <c r="C2049" s="185" t="s">
        <v>4</v>
      </c>
      <c r="D2049" s="185" t="s">
        <v>6786</v>
      </c>
      <c r="E2049" s="3">
        <v>10</v>
      </c>
      <c r="F2049" s="3">
        <v>1</v>
      </c>
      <c r="G2049" s="4">
        <v>44866</v>
      </c>
      <c r="I2049" s="1">
        <v>65</v>
      </c>
      <c r="J2049" s="1">
        <v>350</v>
      </c>
      <c r="M2049" s="1"/>
      <c r="N2049" s="1"/>
      <c r="O2049" s="1"/>
      <c r="P2049" s="1"/>
      <c r="Q2049" s="1"/>
      <c r="R2049" s="1"/>
    </row>
    <row r="2050" spans="2:18" x14ac:dyDescent="0.2">
      <c r="G2050" s="4"/>
      <c r="M2050" s="1"/>
      <c r="N2050" s="1"/>
      <c r="O2050" s="1"/>
      <c r="P2050" s="1"/>
      <c r="Q2050" s="1"/>
      <c r="R2050" s="1"/>
    </row>
    <row r="2051" spans="2:18" s="12" customFormat="1" x14ac:dyDescent="0.2">
      <c r="B2051" s="12" t="s">
        <v>7940</v>
      </c>
      <c r="C2051" s="13" t="s">
        <v>969</v>
      </c>
      <c r="D2051" s="13" t="s">
        <v>968</v>
      </c>
      <c r="E2051" s="15"/>
      <c r="F2051" s="15">
        <f>SUM(F2052:F2054)</f>
        <v>69.968530020703938</v>
      </c>
      <c r="G2051" s="14">
        <f>G2053</f>
        <v>45183</v>
      </c>
      <c r="M2051" s="13"/>
      <c r="N2051" s="13"/>
      <c r="O2051" s="13"/>
      <c r="P2051" s="13"/>
      <c r="Q2051" s="13"/>
      <c r="R2051" s="13"/>
    </row>
    <row r="2052" spans="2:18" x14ac:dyDescent="0.2">
      <c r="B2052" s="281"/>
      <c r="C2052" s="2" t="s">
        <v>7</v>
      </c>
      <c r="D2052" s="2" t="s">
        <v>525</v>
      </c>
      <c r="E2052" s="3">
        <v>32</v>
      </c>
      <c r="F2052" s="3">
        <v>3</v>
      </c>
      <c r="G2052" s="4">
        <v>44364</v>
      </c>
    </row>
    <row r="2053" spans="2:18" x14ac:dyDescent="0.2">
      <c r="B2053" s="281"/>
      <c r="C2053" s="282" t="s">
        <v>7933</v>
      </c>
      <c r="D2053" s="282" t="s">
        <v>1006</v>
      </c>
      <c r="E2053" s="3">
        <v>684.6</v>
      </c>
      <c r="F2053" s="3">
        <f>584.6/21</f>
        <v>27.838095238095239</v>
      </c>
      <c r="G2053" s="4">
        <v>45183</v>
      </c>
    </row>
    <row r="2054" spans="2:18" x14ac:dyDescent="0.2">
      <c r="B2054" s="281"/>
      <c r="C2054" s="282" t="s">
        <v>504</v>
      </c>
      <c r="D2054" s="282" t="s">
        <v>1006</v>
      </c>
      <c r="E2054" s="3">
        <v>1000</v>
      </c>
      <c r="F2054" s="3">
        <f>900/23</f>
        <v>39.130434782608695</v>
      </c>
      <c r="G2054" s="4">
        <v>44228</v>
      </c>
    </row>
    <row r="2055" spans="2:18" x14ac:dyDescent="0.2">
      <c r="B2055" s="281"/>
      <c r="C2055" s="282" t="s">
        <v>8</v>
      </c>
      <c r="D2055" s="282" t="s">
        <v>3736</v>
      </c>
      <c r="E2055" s="3">
        <v>235</v>
      </c>
      <c r="F2055" s="3">
        <f>185/8</f>
        <v>23.125</v>
      </c>
      <c r="G2055" s="4">
        <v>45161</v>
      </c>
      <c r="I2055" s="1">
        <v>4300</v>
      </c>
      <c r="J2055" s="1">
        <v>4300</v>
      </c>
    </row>
    <row r="2056" spans="2:18" x14ac:dyDescent="0.2">
      <c r="B2056" s="281"/>
      <c r="G2056" s="4"/>
    </row>
    <row r="2057" spans="2:18" s="12" customFormat="1" x14ac:dyDescent="0.2">
      <c r="B2057" s="12" t="s">
        <v>37</v>
      </c>
      <c r="C2057" s="13" t="s">
        <v>969</v>
      </c>
      <c r="D2057" s="13" t="s">
        <v>968</v>
      </c>
      <c r="E2057" s="15"/>
      <c r="F2057" s="15">
        <f>SUM(F2058:F2060)</f>
        <v>29.714285714285715</v>
      </c>
      <c r="G2057" s="14">
        <f>G2058</f>
        <v>43634</v>
      </c>
      <c r="M2057" s="13"/>
      <c r="N2057" s="13"/>
      <c r="O2057" s="13"/>
      <c r="P2057" s="13"/>
      <c r="Q2057" s="13"/>
      <c r="R2057" s="13"/>
    </row>
    <row r="2058" spans="2:18" x14ac:dyDescent="0.2">
      <c r="C2058" s="2" t="s">
        <v>18</v>
      </c>
      <c r="D2058" s="2" t="s">
        <v>32</v>
      </c>
      <c r="E2058" s="3">
        <v>230</v>
      </c>
      <c r="F2058" s="3">
        <f>110/7</f>
        <v>15.714285714285714</v>
      </c>
      <c r="G2058" s="4">
        <v>43634</v>
      </c>
      <c r="I2058" s="1">
        <v>770</v>
      </c>
      <c r="J2058" s="1">
        <v>770</v>
      </c>
    </row>
    <row r="2059" spans="2:18" x14ac:dyDescent="0.2">
      <c r="C2059" s="2" t="s">
        <v>7</v>
      </c>
      <c r="D2059" s="2" t="s">
        <v>32</v>
      </c>
      <c r="E2059" s="3">
        <v>45</v>
      </c>
      <c r="F2059" s="3">
        <v>11</v>
      </c>
      <c r="G2059" s="4">
        <v>43293</v>
      </c>
      <c r="J2059" s="1">
        <v>770</v>
      </c>
    </row>
    <row r="2060" spans="2:18" x14ac:dyDescent="0.2">
      <c r="C2060" s="2" t="s">
        <v>5</v>
      </c>
      <c r="D2060" s="2" t="s">
        <v>32</v>
      </c>
      <c r="E2060" s="3">
        <v>18</v>
      </c>
      <c r="F2060" s="3">
        <v>3</v>
      </c>
      <c r="G2060" s="4">
        <v>42983</v>
      </c>
      <c r="J2060" s="1">
        <v>770</v>
      </c>
    </row>
    <row r="2061" spans="2:18" x14ac:dyDescent="0.2">
      <c r="G2061" s="4"/>
    </row>
    <row r="2062" spans="2:18" s="12" customFormat="1" x14ac:dyDescent="0.2">
      <c r="B2062" s="12" t="s">
        <v>395</v>
      </c>
      <c r="C2062" s="13" t="s">
        <v>969</v>
      </c>
      <c r="D2062" s="13" t="s">
        <v>968</v>
      </c>
      <c r="E2062" s="15"/>
      <c r="F2062" s="15">
        <f>SUM(F2063:F2064)</f>
        <v>30</v>
      </c>
      <c r="G2062" s="14">
        <f>G2063</f>
        <v>44286</v>
      </c>
    </row>
    <row r="2063" spans="2:18" x14ac:dyDescent="0.2">
      <c r="C2063" s="2" t="s">
        <v>8</v>
      </c>
      <c r="D2063" s="2" t="s">
        <v>386</v>
      </c>
      <c r="E2063" s="3">
        <v>140</v>
      </c>
      <c r="F2063" s="3">
        <v>10</v>
      </c>
      <c r="G2063" s="4">
        <v>44286</v>
      </c>
      <c r="M2063" s="1"/>
      <c r="N2063" s="1"/>
      <c r="O2063" s="1"/>
      <c r="P2063" s="1"/>
      <c r="Q2063" s="1"/>
      <c r="R2063" s="1"/>
    </row>
    <row r="2064" spans="2:18" x14ac:dyDescent="0.2">
      <c r="C2064" s="2" t="s">
        <v>18</v>
      </c>
      <c r="D2064" s="2" t="s">
        <v>386</v>
      </c>
      <c r="E2064" s="3">
        <v>110</v>
      </c>
      <c r="F2064" s="3">
        <v>20</v>
      </c>
      <c r="G2064" s="4">
        <v>43690</v>
      </c>
      <c r="M2064" s="1"/>
      <c r="N2064" s="1"/>
      <c r="O2064" s="1"/>
      <c r="P2064" s="1"/>
      <c r="Q2064" s="1"/>
      <c r="R2064" s="1"/>
    </row>
    <row r="2065" spans="2:18" x14ac:dyDescent="0.2">
      <c r="G2065" s="4"/>
      <c r="M2065" s="1"/>
      <c r="N2065" s="1"/>
      <c r="O2065" s="1"/>
      <c r="P2065" s="1"/>
      <c r="Q2065" s="1"/>
      <c r="R2065" s="1"/>
    </row>
    <row r="2066" spans="2:18" s="12" customFormat="1" x14ac:dyDescent="0.2">
      <c r="B2066" s="12" t="s">
        <v>394</v>
      </c>
      <c r="C2066" s="13" t="s">
        <v>969</v>
      </c>
      <c r="D2066" s="13" t="s">
        <v>968</v>
      </c>
      <c r="E2066" s="15"/>
      <c r="F2066" s="15">
        <f>SUM(F2067:F2068)</f>
        <v>30</v>
      </c>
      <c r="G2066" s="14">
        <f>G2067</f>
        <v>44286</v>
      </c>
    </row>
    <row r="2067" spans="2:18" x14ac:dyDescent="0.2">
      <c r="C2067" s="2" t="s">
        <v>8</v>
      </c>
      <c r="D2067" s="2" t="s">
        <v>386</v>
      </c>
      <c r="E2067" s="3">
        <v>140</v>
      </c>
      <c r="F2067" s="3">
        <v>10</v>
      </c>
      <c r="G2067" s="4">
        <v>44286</v>
      </c>
      <c r="M2067" s="1"/>
      <c r="N2067" s="1"/>
      <c r="O2067" s="1"/>
      <c r="P2067" s="1"/>
      <c r="Q2067" s="1"/>
      <c r="R2067" s="1"/>
    </row>
    <row r="2068" spans="2:18" x14ac:dyDescent="0.2">
      <c r="C2068" s="2" t="s">
        <v>18</v>
      </c>
      <c r="D2068" s="2" t="s">
        <v>386</v>
      </c>
      <c r="E2068" s="3">
        <v>110</v>
      </c>
      <c r="F2068" s="3">
        <v>20</v>
      </c>
      <c r="G2068" s="4">
        <v>43690</v>
      </c>
      <c r="M2068" s="1"/>
      <c r="N2068" s="1"/>
      <c r="O2068" s="1"/>
      <c r="P2068" s="1"/>
      <c r="Q2068" s="1"/>
      <c r="R2068" s="1"/>
    </row>
    <row r="2069" spans="2:18" x14ac:dyDescent="0.2">
      <c r="G2069" s="4"/>
      <c r="M2069" s="1"/>
      <c r="N2069" s="1"/>
      <c r="O2069" s="1"/>
      <c r="P2069" s="1"/>
      <c r="Q2069" s="1"/>
      <c r="R2069" s="1"/>
    </row>
    <row r="2070" spans="2:18" x14ac:dyDescent="0.2">
      <c r="B2070" s="12" t="s">
        <v>7327</v>
      </c>
      <c r="C2070" s="13" t="s">
        <v>969</v>
      </c>
      <c r="D2070" s="13" t="s">
        <v>968</v>
      </c>
      <c r="F2070" s="15">
        <f>SUM(F2071:F2073)</f>
        <v>29.5</v>
      </c>
      <c r="G2070" s="14">
        <f>+G2072</f>
        <v>45013</v>
      </c>
    </row>
    <row r="2071" spans="2:18" x14ac:dyDescent="0.2">
      <c r="C2071" s="2" t="s">
        <v>18</v>
      </c>
      <c r="D2071" s="2" t="s">
        <v>1005</v>
      </c>
      <c r="E2071" s="3">
        <v>100</v>
      </c>
      <c r="F2071" s="3">
        <v>10</v>
      </c>
      <c r="G2071" s="4">
        <v>44754</v>
      </c>
    </row>
    <row r="2072" spans="2:18" x14ac:dyDescent="0.2">
      <c r="C2072" s="2" t="s">
        <v>5</v>
      </c>
      <c r="D2072" s="2" t="s">
        <v>1004</v>
      </c>
      <c r="E2072" s="3">
        <v>25.6</v>
      </c>
      <c r="F2072" s="3">
        <v>2</v>
      </c>
      <c r="G2072" s="4">
        <v>45013</v>
      </c>
    </row>
    <row r="2073" spans="2:18" x14ac:dyDescent="0.2">
      <c r="C2073" s="55" t="s">
        <v>8</v>
      </c>
      <c r="D2073" s="55" t="s">
        <v>2112</v>
      </c>
      <c r="E2073" s="3">
        <v>110</v>
      </c>
      <c r="F2073" s="3">
        <f>70/4</f>
        <v>17.5</v>
      </c>
      <c r="G2073" s="4">
        <v>44567</v>
      </c>
      <c r="I2073" s="1">
        <v>790</v>
      </c>
      <c r="J2073" s="1">
        <v>790</v>
      </c>
    </row>
    <row r="2074" spans="2:18" x14ac:dyDescent="0.2">
      <c r="G2074" s="4"/>
    </row>
    <row r="2075" spans="2:18" s="12" customFormat="1" x14ac:dyDescent="0.2">
      <c r="B2075" s="12" t="s">
        <v>925</v>
      </c>
      <c r="C2075" s="13" t="s">
        <v>969</v>
      </c>
      <c r="D2075" s="13" t="s">
        <v>968</v>
      </c>
      <c r="E2075" s="15"/>
      <c r="F2075" s="15">
        <f>SUM(F2076:F2078)</f>
        <v>29.75</v>
      </c>
      <c r="G2075" s="14">
        <f>G2076</f>
        <v>45090</v>
      </c>
      <c r="M2075" s="13"/>
      <c r="N2075" s="13"/>
      <c r="O2075" s="13"/>
      <c r="P2075" s="13"/>
      <c r="Q2075" s="13"/>
      <c r="R2075" s="13"/>
    </row>
    <row r="2076" spans="2:18" x14ac:dyDescent="0.2">
      <c r="C2076" s="2" t="s">
        <v>4</v>
      </c>
      <c r="D2076" s="2" t="s">
        <v>705</v>
      </c>
      <c r="E2076" s="3">
        <v>113</v>
      </c>
      <c r="F2076" s="3">
        <v>8</v>
      </c>
      <c r="G2076" s="4">
        <v>45090</v>
      </c>
    </row>
    <row r="2077" spans="2:18" x14ac:dyDescent="0.2">
      <c r="C2077" s="52" t="s">
        <v>8</v>
      </c>
      <c r="D2077" s="52" t="s">
        <v>2119</v>
      </c>
      <c r="E2077" s="3">
        <v>175</v>
      </c>
      <c r="F2077" s="3">
        <f>75/4</f>
        <v>18.75</v>
      </c>
      <c r="G2077" s="4">
        <v>44511</v>
      </c>
      <c r="I2077" s="1">
        <v>3400</v>
      </c>
      <c r="J2077" s="1">
        <v>3400</v>
      </c>
    </row>
    <row r="2078" spans="2:18" x14ac:dyDescent="0.2">
      <c r="C2078" s="52" t="s">
        <v>7</v>
      </c>
      <c r="D2078" s="52" t="s">
        <v>2119</v>
      </c>
      <c r="E2078" s="3">
        <v>40</v>
      </c>
      <c r="F2078" s="3">
        <v>3</v>
      </c>
      <c r="G2078" s="4">
        <v>43720</v>
      </c>
      <c r="J2078" s="1">
        <v>3400</v>
      </c>
    </row>
    <row r="2079" spans="2:18" x14ac:dyDescent="0.2">
      <c r="G2079" s="4"/>
    </row>
    <row r="2080" spans="2:18" s="12" customFormat="1" x14ac:dyDescent="0.2">
      <c r="B2080" s="12" t="s">
        <v>233</v>
      </c>
      <c r="C2080" s="13" t="s">
        <v>969</v>
      </c>
      <c r="D2080" s="13" t="s">
        <v>968</v>
      </c>
      <c r="E2080" s="15"/>
      <c r="F2080" s="15">
        <f>SUM(F2081:F2082)</f>
        <v>30</v>
      </c>
      <c r="G2080" s="14">
        <f>G2082</f>
        <v>43391</v>
      </c>
      <c r="M2080" s="13"/>
      <c r="N2080" s="13"/>
      <c r="O2080" s="13"/>
      <c r="P2080" s="13"/>
      <c r="Q2080" s="13"/>
      <c r="R2080" s="13"/>
    </row>
    <row r="2081" spans="2:18" x14ac:dyDescent="0.2">
      <c r="C2081" s="2" t="s">
        <v>18</v>
      </c>
      <c r="D2081" s="2" t="s">
        <v>232</v>
      </c>
      <c r="E2081" s="3">
        <v>100</v>
      </c>
      <c r="F2081" s="3">
        <v>20</v>
      </c>
      <c r="G2081" s="4">
        <v>42735</v>
      </c>
    </row>
    <row r="2082" spans="2:18" x14ac:dyDescent="0.2">
      <c r="C2082" s="2" t="s">
        <v>7</v>
      </c>
      <c r="D2082" s="2" t="s">
        <v>197</v>
      </c>
      <c r="E2082" s="3">
        <v>120</v>
      </c>
      <c r="F2082" s="3">
        <v>10</v>
      </c>
      <c r="G2082" s="4">
        <v>43391</v>
      </c>
    </row>
    <row r="2083" spans="2:18" x14ac:dyDescent="0.2">
      <c r="G2083" s="4"/>
    </row>
    <row r="2084" spans="2:18" s="12" customFormat="1" x14ac:dyDescent="0.2">
      <c r="B2084" s="12" t="s">
        <v>499</v>
      </c>
      <c r="C2084" s="13" t="s">
        <v>969</v>
      </c>
      <c r="D2084" s="13" t="s">
        <v>968</v>
      </c>
      <c r="E2084" s="15"/>
      <c r="F2084" s="15">
        <f>SUM(F2085:F2088)</f>
        <v>30.071428571428569</v>
      </c>
      <c r="G2084" s="14">
        <f>G2086</f>
        <v>44880</v>
      </c>
    </row>
    <row r="2085" spans="2:18" x14ac:dyDescent="0.2">
      <c r="C2085" s="2" t="s">
        <v>53</v>
      </c>
      <c r="D2085" s="2" t="s">
        <v>489</v>
      </c>
      <c r="E2085" s="3">
        <v>50</v>
      </c>
      <c r="F2085" s="3">
        <v>10</v>
      </c>
      <c r="G2085" s="4">
        <v>44174</v>
      </c>
      <c r="M2085" s="1"/>
      <c r="N2085" s="1"/>
      <c r="O2085" s="1"/>
      <c r="P2085" s="1"/>
      <c r="Q2085" s="1"/>
      <c r="R2085" s="1"/>
    </row>
    <row r="2086" spans="2:18" x14ac:dyDescent="0.2">
      <c r="C2086" s="2" t="s">
        <v>8</v>
      </c>
      <c r="D2086" s="2" t="s">
        <v>131</v>
      </c>
      <c r="E2086" s="3">
        <v>135</v>
      </c>
      <c r="F2086" s="3">
        <v>8</v>
      </c>
      <c r="G2086" s="4">
        <v>44880</v>
      </c>
      <c r="M2086" s="1"/>
      <c r="N2086" s="1"/>
      <c r="O2086" s="1"/>
      <c r="P2086" s="1"/>
      <c r="Q2086" s="1"/>
      <c r="R2086" s="1"/>
    </row>
    <row r="2087" spans="2:18" x14ac:dyDescent="0.2">
      <c r="C2087" s="2" t="s">
        <v>18</v>
      </c>
      <c r="D2087" s="2" t="s">
        <v>131</v>
      </c>
      <c r="E2087" s="3">
        <v>73</v>
      </c>
      <c r="F2087" s="3">
        <f>53/7</f>
        <v>7.5714285714285712</v>
      </c>
      <c r="G2087" s="4">
        <v>44565</v>
      </c>
      <c r="M2087" s="1"/>
      <c r="N2087" s="1"/>
      <c r="O2087" s="1"/>
      <c r="P2087" s="1"/>
      <c r="Q2087" s="1"/>
      <c r="R2087" s="1"/>
    </row>
    <row r="2088" spans="2:18" x14ac:dyDescent="0.2">
      <c r="C2088" s="2" t="s">
        <v>18</v>
      </c>
      <c r="D2088" s="2" t="s">
        <v>131</v>
      </c>
      <c r="E2088" s="3">
        <v>31.7</v>
      </c>
      <c r="F2088" s="3">
        <f>18/4</f>
        <v>4.5</v>
      </c>
      <c r="G2088" s="4">
        <v>43599</v>
      </c>
      <c r="M2088" s="1"/>
      <c r="N2088" s="1"/>
      <c r="O2088" s="1"/>
      <c r="P2088" s="1"/>
      <c r="Q2088" s="1"/>
      <c r="R2088" s="1"/>
    </row>
    <row r="2089" spans="2:18" x14ac:dyDescent="0.2">
      <c r="G2089" s="4"/>
      <c r="M2089" s="1"/>
      <c r="N2089" s="1"/>
      <c r="O2089" s="1"/>
      <c r="P2089" s="1"/>
      <c r="Q2089" s="1"/>
      <c r="R2089" s="1"/>
    </row>
    <row r="2090" spans="2:18" x14ac:dyDescent="0.2">
      <c r="B2090" s="12" t="s">
        <v>1052</v>
      </c>
      <c r="C2090" s="13" t="s">
        <v>969</v>
      </c>
      <c r="D2090" s="13" t="s">
        <v>968</v>
      </c>
      <c r="E2090" s="15"/>
      <c r="F2090" s="15">
        <f>SUM(F2091:F2099)</f>
        <v>28.683333333333334</v>
      </c>
      <c r="G2090" s="14">
        <f>G2094</f>
        <v>44861</v>
      </c>
    </row>
    <row r="2091" spans="2:18" x14ac:dyDescent="0.2">
      <c r="C2091" s="2" t="s">
        <v>5</v>
      </c>
      <c r="D2091" s="2" t="s">
        <v>986</v>
      </c>
      <c r="E2091" s="3">
        <v>25</v>
      </c>
      <c r="F2091" s="3">
        <f>15/4</f>
        <v>3.75</v>
      </c>
      <c r="G2091" s="4">
        <v>44615</v>
      </c>
    </row>
    <row r="2092" spans="2:18" x14ac:dyDescent="0.2">
      <c r="C2092" s="2" t="s">
        <v>4</v>
      </c>
      <c r="D2092" s="2" t="s">
        <v>986</v>
      </c>
      <c r="E2092" s="3">
        <v>5</v>
      </c>
      <c r="F2092" s="3">
        <v>2</v>
      </c>
      <c r="G2092" s="4">
        <v>44292</v>
      </c>
    </row>
    <row r="2093" spans="2:18" x14ac:dyDescent="0.2">
      <c r="C2093" s="2" t="s">
        <v>4</v>
      </c>
      <c r="D2093" s="2" t="s">
        <v>565</v>
      </c>
      <c r="E2093" s="3">
        <v>9</v>
      </c>
      <c r="F2093" s="3">
        <v>2</v>
      </c>
      <c r="G2093" s="4">
        <v>44859</v>
      </c>
    </row>
    <row r="2094" spans="2:18" x14ac:dyDescent="0.2">
      <c r="C2094" s="2" t="s">
        <v>7</v>
      </c>
      <c r="D2094" s="2" t="s">
        <v>351</v>
      </c>
      <c r="E2094" s="3">
        <v>22</v>
      </c>
      <c r="F2094" s="3">
        <v>5</v>
      </c>
      <c r="G2094" s="4">
        <v>44861</v>
      </c>
    </row>
    <row r="2095" spans="2:18" x14ac:dyDescent="0.2">
      <c r="C2095" s="2" t="s">
        <v>5</v>
      </c>
      <c r="D2095" s="2" t="s">
        <v>351</v>
      </c>
      <c r="E2095" s="3">
        <v>15</v>
      </c>
      <c r="F2095" s="3">
        <v>9</v>
      </c>
      <c r="G2095" s="4">
        <v>44487</v>
      </c>
    </row>
    <row r="2096" spans="2:18" x14ac:dyDescent="0.2">
      <c r="C2096" s="2" t="s">
        <v>5</v>
      </c>
      <c r="D2096" s="2" t="s">
        <v>281</v>
      </c>
      <c r="E2096" s="3">
        <v>13</v>
      </c>
      <c r="F2096" s="3">
        <f>+E2096/3</f>
        <v>4.333333333333333</v>
      </c>
      <c r="G2096" s="4">
        <v>44453</v>
      </c>
    </row>
    <row r="2097" spans="2:9" x14ac:dyDescent="0.2">
      <c r="C2097" s="2" t="s">
        <v>4</v>
      </c>
      <c r="D2097" s="2" t="s">
        <v>281</v>
      </c>
      <c r="E2097" s="3">
        <v>6.2</v>
      </c>
      <c r="F2097" s="3">
        <v>2.6</v>
      </c>
      <c r="G2097" s="4">
        <v>44201</v>
      </c>
    </row>
    <row r="2098" spans="2:9" x14ac:dyDescent="0.2">
      <c r="C2098" s="2" t="s">
        <v>9</v>
      </c>
      <c r="D2098" s="2" t="s">
        <v>148</v>
      </c>
      <c r="E2098" s="3">
        <v>300</v>
      </c>
      <c r="F2098" s="6" t="s">
        <v>1047</v>
      </c>
      <c r="G2098" s="4">
        <v>44271</v>
      </c>
    </row>
    <row r="2099" spans="2:9" x14ac:dyDescent="0.2">
      <c r="C2099" s="2" t="s">
        <v>5</v>
      </c>
      <c r="D2099" s="2" t="s">
        <v>148</v>
      </c>
      <c r="E2099" s="3">
        <v>3</v>
      </c>
      <c r="F2099" s="6" t="s">
        <v>1051</v>
      </c>
      <c r="G2099" s="4">
        <v>41879</v>
      </c>
      <c r="I2099" s="1">
        <v>11</v>
      </c>
    </row>
    <row r="2100" spans="2:9" x14ac:dyDescent="0.2">
      <c r="G2100" s="4"/>
    </row>
    <row r="2101" spans="2:9" s="12" customFormat="1" x14ac:dyDescent="0.2">
      <c r="B2101" s="12" t="s">
        <v>736</v>
      </c>
      <c r="C2101" s="13" t="s">
        <v>969</v>
      </c>
      <c r="D2101" s="13" t="s">
        <v>968</v>
      </c>
      <c r="E2101" s="15"/>
      <c r="F2101" s="15">
        <f>SUM(F2102:F2106)</f>
        <v>29</v>
      </c>
      <c r="G2101" s="14">
        <f>G2103</f>
        <v>44776</v>
      </c>
    </row>
    <row r="2102" spans="2:9" x14ac:dyDescent="0.2">
      <c r="C2102" s="2" t="s">
        <v>7</v>
      </c>
      <c r="D2102" s="2" t="s">
        <v>735</v>
      </c>
      <c r="E2102" s="3">
        <v>25</v>
      </c>
      <c r="F2102" s="3">
        <f>15/5</f>
        <v>3</v>
      </c>
      <c r="G2102" s="4">
        <v>44755</v>
      </c>
    </row>
    <row r="2103" spans="2:9" x14ac:dyDescent="0.2">
      <c r="C2103" s="2" t="s">
        <v>8</v>
      </c>
      <c r="D2103" s="2" t="s">
        <v>448</v>
      </c>
      <c r="E2103" s="3">
        <v>90</v>
      </c>
      <c r="F2103" s="3">
        <v>5</v>
      </c>
      <c r="G2103" s="4">
        <v>44776</v>
      </c>
    </row>
    <row r="2104" spans="2:9" x14ac:dyDescent="0.2">
      <c r="C2104" s="2" t="s">
        <v>18</v>
      </c>
      <c r="D2104" s="2" t="s">
        <v>448</v>
      </c>
      <c r="E2104" s="3">
        <v>40</v>
      </c>
      <c r="F2104" s="3">
        <v>10</v>
      </c>
      <c r="G2104" s="4">
        <v>44176</v>
      </c>
    </row>
    <row r="2105" spans="2:9" x14ac:dyDescent="0.2">
      <c r="C2105" s="2" t="s">
        <v>18</v>
      </c>
      <c r="D2105" s="2" t="s">
        <v>416</v>
      </c>
      <c r="E2105" s="3">
        <v>23</v>
      </c>
      <c r="F2105" s="3">
        <v>3</v>
      </c>
      <c r="G2105" s="4">
        <v>44328</v>
      </c>
    </row>
    <row r="2106" spans="2:9" x14ac:dyDescent="0.2">
      <c r="C2106" s="2" t="s">
        <v>7</v>
      </c>
      <c r="D2106" s="2" t="s">
        <v>416</v>
      </c>
      <c r="E2106" s="3">
        <v>16</v>
      </c>
      <c r="F2106" s="3">
        <v>8</v>
      </c>
      <c r="G2106" s="4">
        <v>42995</v>
      </c>
    </row>
    <row r="2107" spans="2:9" x14ac:dyDescent="0.2">
      <c r="G2107" s="4"/>
    </row>
    <row r="2108" spans="2:9" x14ac:dyDescent="0.2">
      <c r="B2108" s="12" t="s">
        <v>1049</v>
      </c>
      <c r="C2108" s="13" t="s">
        <v>969</v>
      </c>
      <c r="D2108" s="13" t="s">
        <v>968</v>
      </c>
      <c r="E2108" s="15"/>
      <c r="F2108" s="15">
        <f>SUM(F2109:F2115)</f>
        <v>28.566666666666666</v>
      </c>
      <c r="G2108" s="14">
        <f>G2109</f>
        <v>45069</v>
      </c>
    </row>
    <row r="2109" spans="2:9" x14ac:dyDescent="0.2">
      <c r="C2109" s="2" t="s">
        <v>4</v>
      </c>
      <c r="D2109" s="2" t="s">
        <v>680</v>
      </c>
      <c r="E2109" s="3">
        <v>5.3</v>
      </c>
      <c r="F2109" s="3">
        <v>2</v>
      </c>
      <c r="G2109" s="4">
        <v>45069</v>
      </c>
    </row>
    <row r="2110" spans="2:9" x14ac:dyDescent="0.2">
      <c r="C2110" s="2" t="s">
        <v>18</v>
      </c>
      <c r="D2110" s="2" t="s">
        <v>692</v>
      </c>
      <c r="E2110" s="3">
        <v>125</v>
      </c>
      <c r="F2110" s="3">
        <v>9</v>
      </c>
      <c r="G2110" s="4">
        <v>44663</v>
      </c>
    </row>
    <row r="2111" spans="2:9" x14ac:dyDescent="0.2">
      <c r="C2111" s="2" t="s">
        <v>7</v>
      </c>
      <c r="D2111" s="2" t="s">
        <v>692</v>
      </c>
      <c r="E2111" s="3">
        <v>54</v>
      </c>
      <c r="F2111" s="3">
        <f>40/6</f>
        <v>6.666666666666667</v>
      </c>
      <c r="G2111" s="4">
        <v>44089</v>
      </c>
    </row>
    <row r="2112" spans="2:9" x14ac:dyDescent="0.2">
      <c r="C2112" s="2" t="s">
        <v>5</v>
      </c>
      <c r="D2112" s="2" t="s">
        <v>692</v>
      </c>
      <c r="E2112" s="3">
        <v>26</v>
      </c>
      <c r="F2112" s="3">
        <v>4</v>
      </c>
      <c r="G2112" s="4">
        <v>43809</v>
      </c>
    </row>
    <row r="2113" spans="2:18" x14ac:dyDescent="0.2">
      <c r="C2113" s="2" t="s">
        <v>5</v>
      </c>
      <c r="D2113" s="2" t="s">
        <v>692</v>
      </c>
      <c r="E2113" s="3">
        <v>8</v>
      </c>
      <c r="F2113" s="3">
        <v>1</v>
      </c>
      <c r="G2113" s="4">
        <v>43249</v>
      </c>
    </row>
    <row r="2114" spans="2:18" x14ac:dyDescent="0.2">
      <c r="C2114" s="2" t="s">
        <v>5</v>
      </c>
      <c r="D2114" s="2" t="s">
        <v>692</v>
      </c>
      <c r="E2114" s="3">
        <v>0.9</v>
      </c>
      <c r="F2114" s="3">
        <v>0.9</v>
      </c>
      <c r="G2114" s="4">
        <v>42951</v>
      </c>
    </row>
    <row r="2115" spans="2:18" x14ac:dyDescent="0.2">
      <c r="C2115" s="2" t="s">
        <v>5</v>
      </c>
      <c r="D2115" s="2" t="s">
        <v>559</v>
      </c>
      <c r="E2115" s="3">
        <v>20</v>
      </c>
      <c r="F2115" s="3">
        <v>5</v>
      </c>
      <c r="G2115" s="4">
        <v>44671</v>
      </c>
    </row>
    <row r="2116" spans="2:18" x14ac:dyDescent="0.2">
      <c r="G2116" s="4"/>
    </row>
    <row r="2117" spans="2:18" x14ac:dyDescent="0.2">
      <c r="B2117" s="12" t="s">
        <v>1003</v>
      </c>
      <c r="C2117" s="13" t="s">
        <v>969</v>
      </c>
      <c r="D2117" s="13" t="s">
        <v>968</v>
      </c>
      <c r="E2117" s="15"/>
      <c r="F2117" s="15">
        <f>SUM(F2118:F2123)</f>
        <v>29</v>
      </c>
      <c r="G2117" s="14">
        <f>+G2118</f>
        <v>44900</v>
      </c>
    </row>
    <row r="2118" spans="2:18" x14ac:dyDescent="0.2">
      <c r="C2118" s="2" t="s">
        <v>18</v>
      </c>
      <c r="D2118" s="2" t="s">
        <v>957</v>
      </c>
      <c r="E2118" s="3">
        <v>50</v>
      </c>
      <c r="F2118" s="3">
        <v>6</v>
      </c>
      <c r="G2118" s="4">
        <v>44900</v>
      </c>
      <c r="I2118" s="1">
        <v>450</v>
      </c>
      <c r="J2118" s="1">
        <v>1400</v>
      </c>
    </row>
    <row r="2119" spans="2:18" x14ac:dyDescent="0.2">
      <c r="C2119" s="2" t="s">
        <v>7</v>
      </c>
      <c r="D2119" s="2" t="s">
        <v>957</v>
      </c>
      <c r="E2119" s="3">
        <v>35</v>
      </c>
      <c r="F2119" s="3">
        <v>5</v>
      </c>
      <c r="G2119" s="4">
        <v>44543</v>
      </c>
      <c r="J2119" s="1">
        <v>1400</v>
      </c>
    </row>
    <row r="2120" spans="2:18" x14ac:dyDescent="0.2">
      <c r="C2120" s="2" t="s">
        <v>5</v>
      </c>
      <c r="D2120" s="2" t="s">
        <v>957</v>
      </c>
      <c r="E2120" s="3">
        <v>8.5</v>
      </c>
      <c r="F2120" s="3">
        <v>1</v>
      </c>
      <c r="G2120" s="4">
        <v>44181</v>
      </c>
      <c r="J2120" s="1">
        <v>1400</v>
      </c>
    </row>
    <row r="2121" spans="2:18" x14ac:dyDescent="0.2">
      <c r="C2121" s="2" t="s">
        <v>7</v>
      </c>
      <c r="D2121" s="2" t="s">
        <v>2132</v>
      </c>
      <c r="E2121" s="3">
        <v>176</v>
      </c>
      <c r="F2121" s="3">
        <v>13</v>
      </c>
      <c r="G2121" s="4">
        <v>44578</v>
      </c>
    </row>
    <row r="2122" spans="2:18" x14ac:dyDescent="0.2">
      <c r="C2122" s="2" t="s">
        <v>5</v>
      </c>
      <c r="D2122" s="2" t="s">
        <v>2132</v>
      </c>
      <c r="E2122" s="3">
        <v>20</v>
      </c>
      <c r="F2122" s="3">
        <v>3</v>
      </c>
      <c r="G2122" s="4">
        <v>44044</v>
      </c>
    </row>
    <row r="2123" spans="2:18" x14ac:dyDescent="0.2">
      <c r="C2123" s="2" t="s">
        <v>4</v>
      </c>
      <c r="D2123" s="2" t="s">
        <v>2132</v>
      </c>
      <c r="E2123" s="3">
        <v>3</v>
      </c>
      <c r="F2123" s="3">
        <v>1</v>
      </c>
      <c r="G2123" s="4">
        <v>42979</v>
      </c>
    </row>
    <row r="2124" spans="2:18" x14ac:dyDescent="0.2">
      <c r="G2124" s="4"/>
    </row>
    <row r="2125" spans="2:18" s="12" customFormat="1" x14ac:dyDescent="0.2">
      <c r="B2125" s="12" t="s">
        <v>1000</v>
      </c>
      <c r="C2125" s="13" t="s">
        <v>969</v>
      </c>
      <c r="D2125" s="13" t="s">
        <v>968</v>
      </c>
      <c r="E2125" s="15"/>
      <c r="F2125" s="15">
        <f>SUM(F2126:F2129)</f>
        <v>28.5</v>
      </c>
      <c r="G2125" s="14">
        <f>G2126</f>
        <v>44699</v>
      </c>
      <c r="M2125" s="13"/>
      <c r="N2125" s="13"/>
      <c r="O2125" s="13"/>
      <c r="P2125" s="13"/>
      <c r="Q2125" s="13"/>
      <c r="R2125" s="13"/>
    </row>
    <row r="2126" spans="2:18" x14ac:dyDescent="0.2">
      <c r="C2126" s="2" t="s">
        <v>5</v>
      </c>
      <c r="D2126" s="2" t="s">
        <v>999</v>
      </c>
      <c r="E2126" s="3">
        <v>25</v>
      </c>
      <c r="F2126" s="3">
        <v>10</v>
      </c>
      <c r="G2126" s="4">
        <v>44699</v>
      </c>
    </row>
    <row r="2127" spans="2:18" x14ac:dyDescent="0.2">
      <c r="C2127" s="2" t="s">
        <v>5</v>
      </c>
      <c r="D2127" s="2" t="s">
        <v>697</v>
      </c>
      <c r="E2127" s="3">
        <v>5.6</v>
      </c>
      <c r="F2127" s="3">
        <v>1</v>
      </c>
      <c r="G2127" s="4">
        <v>44292</v>
      </c>
    </row>
    <row r="2128" spans="2:18" x14ac:dyDescent="0.2">
      <c r="C2128" s="176" t="s">
        <v>5</v>
      </c>
      <c r="D2128" s="176" t="s">
        <v>2036</v>
      </c>
      <c r="E2128" s="3">
        <v>25</v>
      </c>
      <c r="F2128" s="3">
        <v>12.5</v>
      </c>
      <c r="G2128" s="4">
        <v>44454</v>
      </c>
    </row>
    <row r="2129" spans="2:18" x14ac:dyDescent="0.2">
      <c r="C2129" s="176" t="s">
        <v>4</v>
      </c>
      <c r="D2129" s="176" t="s">
        <v>2036</v>
      </c>
      <c r="E2129" s="3">
        <v>5</v>
      </c>
      <c r="F2129" s="3">
        <v>5</v>
      </c>
      <c r="G2129" s="4">
        <v>44454</v>
      </c>
    </row>
    <row r="2130" spans="2:18" x14ac:dyDescent="0.2">
      <c r="G2130" s="4"/>
    </row>
    <row r="2131" spans="2:18" s="12" customFormat="1" x14ac:dyDescent="0.2">
      <c r="B2131" s="12" t="s">
        <v>4366</v>
      </c>
      <c r="C2131" s="13" t="s">
        <v>969</v>
      </c>
      <c r="D2131" s="13" t="s">
        <v>968</v>
      </c>
      <c r="E2131" s="15"/>
      <c r="F2131" s="15">
        <f>SUM(F2132:F2133)</f>
        <v>28.9</v>
      </c>
      <c r="G2131" s="14">
        <f>G2133</f>
        <v>39506</v>
      </c>
      <c r="M2131" s="13"/>
      <c r="N2131" s="13"/>
      <c r="O2131" s="13"/>
      <c r="P2131" s="13"/>
      <c r="Q2131" s="13"/>
      <c r="R2131" s="13"/>
    </row>
    <row r="2132" spans="2:18" x14ac:dyDescent="0.2">
      <c r="C2132" s="2" t="s">
        <v>7</v>
      </c>
      <c r="D2132" s="2" t="s">
        <v>3938</v>
      </c>
      <c r="E2132" s="3">
        <v>10.5</v>
      </c>
      <c r="F2132" s="3">
        <v>10.5</v>
      </c>
      <c r="G2132" s="4">
        <v>39044</v>
      </c>
    </row>
    <row r="2133" spans="2:18" x14ac:dyDescent="0.2">
      <c r="C2133" s="2" t="s">
        <v>18</v>
      </c>
      <c r="D2133" s="2" t="s">
        <v>3938</v>
      </c>
      <c r="E2133" s="3">
        <v>36.799999999999997</v>
      </c>
      <c r="F2133" s="3">
        <f>E2133/2</f>
        <v>18.399999999999999</v>
      </c>
      <c r="G2133" s="4">
        <v>39506</v>
      </c>
    </row>
    <row r="2134" spans="2:18" x14ac:dyDescent="0.2">
      <c r="G2134" s="4"/>
    </row>
    <row r="2135" spans="2:18" s="12" customFormat="1" x14ac:dyDescent="0.2">
      <c r="B2135" s="12" t="s">
        <v>84</v>
      </c>
      <c r="C2135" s="13" t="s">
        <v>969</v>
      </c>
      <c r="D2135" s="13" t="s">
        <v>968</v>
      </c>
      <c r="E2135" s="15"/>
      <c r="F2135" s="15">
        <f>SUM(F2136:F2137)</f>
        <v>27.5</v>
      </c>
      <c r="G2135" s="14">
        <f>G2136</f>
        <v>43958</v>
      </c>
      <c r="M2135" s="13"/>
      <c r="N2135" s="13"/>
      <c r="O2135" s="13"/>
      <c r="P2135" s="13"/>
      <c r="Q2135" s="13"/>
      <c r="R2135" s="13"/>
    </row>
    <row r="2136" spans="2:18" x14ac:dyDescent="0.2">
      <c r="C2136" s="2" t="s">
        <v>7</v>
      </c>
      <c r="D2136" s="2" t="s">
        <v>80</v>
      </c>
      <c r="E2136" s="3">
        <v>100</v>
      </c>
      <c r="F2136" s="3">
        <v>20</v>
      </c>
      <c r="G2136" s="4">
        <v>43958</v>
      </c>
      <c r="I2136" s="5">
        <f>4500/7</f>
        <v>642.85714285714289</v>
      </c>
    </row>
    <row r="2137" spans="2:18" x14ac:dyDescent="0.2">
      <c r="C2137" s="2" t="s">
        <v>4</v>
      </c>
      <c r="D2137" s="2" t="s">
        <v>80</v>
      </c>
      <c r="E2137" s="3">
        <v>49</v>
      </c>
      <c r="F2137" s="3">
        <v>7.5</v>
      </c>
      <c r="G2137" s="4">
        <v>43319</v>
      </c>
      <c r="I2137" s="5"/>
    </row>
    <row r="2138" spans="2:18" x14ac:dyDescent="0.2">
      <c r="G2138" s="4"/>
      <c r="I2138" s="5"/>
    </row>
    <row r="2139" spans="2:18" s="12" customFormat="1" x14ac:dyDescent="0.2">
      <c r="B2139" s="12" t="s">
        <v>1048</v>
      </c>
      <c r="C2139" s="13" t="s">
        <v>969</v>
      </c>
      <c r="D2139" s="13" t="s">
        <v>968</v>
      </c>
      <c r="E2139" s="15"/>
      <c r="F2139" s="15">
        <f>SUM(F2140:F2143)</f>
        <v>28.222222222222221</v>
      </c>
      <c r="G2139" s="14">
        <f>G2140</f>
        <v>44274</v>
      </c>
      <c r="M2139" s="13"/>
      <c r="N2139" s="13"/>
      <c r="O2139" s="13"/>
      <c r="P2139" s="13"/>
      <c r="Q2139" s="13"/>
      <c r="R2139" s="13"/>
    </row>
    <row r="2140" spans="2:18" x14ac:dyDescent="0.2">
      <c r="C2140" s="2" t="s">
        <v>18</v>
      </c>
      <c r="D2140" s="2" t="s">
        <v>197</v>
      </c>
      <c r="E2140" s="3">
        <v>500</v>
      </c>
      <c r="F2140" s="3">
        <f>200/9</f>
        <v>22.222222222222221</v>
      </c>
      <c r="G2140" s="4">
        <v>44274</v>
      </c>
    </row>
    <row r="2141" spans="2:18" x14ac:dyDescent="0.2">
      <c r="C2141" s="2" t="s">
        <v>7</v>
      </c>
      <c r="D2141" s="2" t="s">
        <v>197</v>
      </c>
      <c r="E2141" s="3">
        <v>46</v>
      </c>
      <c r="F2141" s="3">
        <v>6</v>
      </c>
      <c r="G2141" s="4">
        <v>42941</v>
      </c>
    </row>
    <row r="2142" spans="2:18" x14ac:dyDescent="0.2">
      <c r="C2142" s="2" t="s">
        <v>9</v>
      </c>
      <c r="D2142" s="2" t="s">
        <v>148</v>
      </c>
      <c r="E2142" s="3">
        <v>300</v>
      </c>
      <c r="F2142" s="6" t="s">
        <v>1047</v>
      </c>
      <c r="G2142" s="4">
        <v>44271</v>
      </c>
    </row>
    <row r="2143" spans="2:18" x14ac:dyDescent="0.2">
      <c r="C2143" s="2" t="s">
        <v>8</v>
      </c>
      <c r="D2143" s="2" t="s">
        <v>148</v>
      </c>
      <c r="E2143" s="3">
        <v>38</v>
      </c>
      <c r="F2143" s="6" t="s">
        <v>1046</v>
      </c>
      <c r="G2143" s="4">
        <v>43266</v>
      </c>
    </row>
    <row r="2144" spans="2:18" x14ac:dyDescent="0.2">
      <c r="G2144" s="4"/>
    </row>
    <row r="2145" spans="2:18" s="12" customFormat="1" x14ac:dyDescent="0.2">
      <c r="B2145" s="12" t="s">
        <v>140</v>
      </c>
      <c r="C2145" s="13" t="s">
        <v>969</v>
      </c>
      <c r="D2145" s="13" t="s">
        <v>968</v>
      </c>
      <c r="E2145" s="15"/>
      <c r="F2145" s="15">
        <f>SUM(F2146:F2147)</f>
        <v>28</v>
      </c>
      <c r="G2145" s="14">
        <f>G2146</f>
        <v>44880</v>
      </c>
      <c r="M2145" s="13"/>
      <c r="N2145" s="13"/>
      <c r="O2145" s="13"/>
      <c r="P2145" s="13"/>
      <c r="Q2145" s="13"/>
      <c r="R2145" s="13"/>
    </row>
    <row r="2146" spans="2:18" x14ac:dyDescent="0.2">
      <c r="C2146" s="2" t="s">
        <v>8</v>
      </c>
      <c r="D2146" s="2" t="s">
        <v>131</v>
      </c>
      <c r="E2146" s="3">
        <v>135</v>
      </c>
      <c r="F2146" s="3">
        <v>8</v>
      </c>
      <c r="G2146" s="4">
        <v>44880</v>
      </c>
    </row>
    <row r="2147" spans="2:18" x14ac:dyDescent="0.2">
      <c r="C2147" s="2" t="s">
        <v>18</v>
      </c>
      <c r="D2147" s="2" t="s">
        <v>131</v>
      </c>
      <c r="E2147" s="3">
        <v>73</v>
      </c>
      <c r="F2147" s="3">
        <v>20</v>
      </c>
      <c r="G2147" s="4">
        <v>44565</v>
      </c>
    </row>
    <row r="2148" spans="2:18" x14ac:dyDescent="0.2">
      <c r="G2148" s="4"/>
    </row>
    <row r="2149" spans="2:18" s="12" customFormat="1" x14ac:dyDescent="0.2">
      <c r="B2149" s="12" t="s">
        <v>609</v>
      </c>
      <c r="C2149" s="13" t="s">
        <v>969</v>
      </c>
      <c r="D2149" s="13" t="s">
        <v>968</v>
      </c>
      <c r="E2149" s="15"/>
      <c r="F2149" s="15">
        <f>SUM(F2150:F2153)</f>
        <v>28.2</v>
      </c>
      <c r="G2149" s="14">
        <f>G2150</f>
        <v>44215</v>
      </c>
    </row>
    <row r="2150" spans="2:18" x14ac:dyDescent="0.2">
      <c r="C2150" s="2" t="s">
        <v>9</v>
      </c>
      <c r="D2150" s="2" t="s">
        <v>606</v>
      </c>
      <c r="E2150" s="3">
        <v>132</v>
      </c>
      <c r="F2150" s="3">
        <f>72/10</f>
        <v>7.2</v>
      </c>
      <c r="G2150" s="4">
        <v>44215</v>
      </c>
      <c r="J2150" s="1">
        <v>1200</v>
      </c>
      <c r="M2150" s="1"/>
      <c r="N2150" s="1"/>
      <c r="O2150" s="1"/>
      <c r="P2150" s="1"/>
      <c r="Q2150" s="1"/>
      <c r="R2150" s="1"/>
    </row>
    <row r="2151" spans="2:18" x14ac:dyDescent="0.2">
      <c r="C2151" s="2" t="s">
        <v>8</v>
      </c>
      <c r="D2151" s="2" t="s">
        <v>606</v>
      </c>
      <c r="E2151" s="3">
        <v>42</v>
      </c>
      <c r="F2151" s="3">
        <f>30/5</f>
        <v>6</v>
      </c>
      <c r="G2151" s="4">
        <v>44153</v>
      </c>
      <c r="J2151" s="1">
        <v>1200</v>
      </c>
      <c r="M2151" s="1"/>
      <c r="N2151" s="1"/>
      <c r="O2151" s="1"/>
      <c r="P2151" s="1"/>
      <c r="Q2151" s="1"/>
      <c r="R2151" s="1"/>
    </row>
    <row r="2152" spans="2:18" x14ac:dyDescent="0.2">
      <c r="C2152" s="2" t="s">
        <v>18</v>
      </c>
      <c r="D2152" s="2" t="s">
        <v>606</v>
      </c>
      <c r="E2152" s="3">
        <v>48</v>
      </c>
      <c r="F2152" s="3">
        <v>10</v>
      </c>
      <c r="G2152" s="4">
        <v>43888</v>
      </c>
      <c r="J2152" s="1">
        <v>1200</v>
      </c>
      <c r="M2152" s="1"/>
      <c r="N2152" s="1"/>
      <c r="O2152" s="1"/>
      <c r="P2152" s="1"/>
      <c r="Q2152" s="1"/>
      <c r="R2152" s="1"/>
    </row>
    <row r="2153" spans="2:18" x14ac:dyDescent="0.2">
      <c r="C2153" s="2" t="s">
        <v>7</v>
      </c>
      <c r="D2153" s="2" t="s">
        <v>606</v>
      </c>
      <c r="E2153" s="3">
        <v>25</v>
      </c>
      <c r="F2153" s="3">
        <v>5</v>
      </c>
      <c r="G2153" s="4">
        <v>43440</v>
      </c>
      <c r="J2153" s="1">
        <v>1200</v>
      </c>
      <c r="M2153" s="1"/>
      <c r="N2153" s="1"/>
      <c r="O2153" s="1"/>
      <c r="P2153" s="1"/>
      <c r="Q2153" s="1"/>
      <c r="R2153" s="1"/>
    </row>
    <row r="2154" spans="2:18" x14ac:dyDescent="0.2">
      <c r="G2154" s="4"/>
      <c r="M2154" s="1"/>
      <c r="N2154" s="1"/>
      <c r="O2154" s="1"/>
      <c r="P2154" s="1"/>
      <c r="Q2154" s="1"/>
      <c r="R2154" s="1"/>
    </row>
    <row r="2155" spans="2:18" s="12" customFormat="1" x14ac:dyDescent="0.2">
      <c r="B2155" s="12" t="s">
        <v>205</v>
      </c>
      <c r="C2155" s="13" t="s">
        <v>969</v>
      </c>
      <c r="D2155" s="13" t="s">
        <v>968</v>
      </c>
      <c r="E2155" s="15"/>
      <c r="F2155" s="15">
        <f>SUM(F2156:F2157)</f>
        <v>28.222222222222221</v>
      </c>
      <c r="G2155" s="14">
        <f>G2156</f>
        <v>44274</v>
      </c>
      <c r="M2155" s="13"/>
      <c r="N2155" s="13"/>
      <c r="O2155" s="13"/>
      <c r="P2155" s="13"/>
      <c r="Q2155" s="13"/>
      <c r="R2155" s="13"/>
    </row>
    <row r="2156" spans="2:18" x14ac:dyDescent="0.2">
      <c r="C2156" s="2" t="s">
        <v>18</v>
      </c>
      <c r="D2156" s="2" t="s">
        <v>197</v>
      </c>
      <c r="E2156" s="3">
        <v>500</v>
      </c>
      <c r="F2156" s="3">
        <f>200/9</f>
        <v>22.222222222222221</v>
      </c>
      <c r="G2156" s="4">
        <v>44274</v>
      </c>
    </row>
    <row r="2157" spans="2:18" x14ac:dyDescent="0.2">
      <c r="C2157" s="2" t="s">
        <v>7</v>
      </c>
      <c r="D2157" s="2" t="s">
        <v>197</v>
      </c>
      <c r="E2157" s="3">
        <v>46</v>
      </c>
      <c r="F2157" s="3">
        <v>6</v>
      </c>
      <c r="G2157" s="4">
        <v>42941</v>
      </c>
    </row>
    <row r="2158" spans="2:18" x14ac:dyDescent="0.2">
      <c r="G2158" s="4"/>
    </row>
    <row r="2159" spans="2:18" s="12" customFormat="1" x14ac:dyDescent="0.2">
      <c r="B2159" s="12" t="s">
        <v>4898</v>
      </c>
      <c r="C2159" s="13" t="s">
        <v>969</v>
      </c>
      <c r="D2159" s="13" t="s">
        <v>968</v>
      </c>
      <c r="E2159" s="15"/>
      <c r="F2159" s="15">
        <f>SUM(F2160:F2162)</f>
        <v>26.8</v>
      </c>
      <c r="G2159" s="14">
        <f>G2160</f>
        <v>44320</v>
      </c>
      <c r="M2159" s="13"/>
      <c r="N2159" s="13"/>
      <c r="O2159" s="13"/>
      <c r="P2159" s="13"/>
      <c r="Q2159" s="13"/>
      <c r="R2159" s="13"/>
    </row>
    <row r="2160" spans="2:18" x14ac:dyDescent="0.2">
      <c r="B2160" s="51"/>
      <c r="C2160" s="52" t="s">
        <v>8</v>
      </c>
      <c r="D2160" s="52" t="s">
        <v>4897</v>
      </c>
      <c r="E2160" s="3">
        <v>83</v>
      </c>
      <c r="F2160" s="3">
        <f>68/10</f>
        <v>6.8</v>
      </c>
      <c r="G2160" s="4">
        <v>44320</v>
      </c>
      <c r="I2160" s="1">
        <v>3600</v>
      </c>
      <c r="J2160" s="1">
        <v>3600</v>
      </c>
    </row>
    <row r="2161" spans="2:18" x14ac:dyDescent="0.2">
      <c r="B2161" s="51"/>
      <c r="C2161" s="52" t="s">
        <v>18</v>
      </c>
      <c r="D2161" s="52" t="s">
        <v>4897</v>
      </c>
      <c r="E2161" s="3">
        <v>100</v>
      </c>
      <c r="F2161" s="3">
        <f>80/8</f>
        <v>10</v>
      </c>
      <c r="G2161" s="4">
        <v>43937</v>
      </c>
      <c r="I2161" s="1">
        <v>1100</v>
      </c>
      <c r="J2161" s="1">
        <v>3600</v>
      </c>
    </row>
    <row r="2162" spans="2:18" x14ac:dyDescent="0.2">
      <c r="B2162" s="51"/>
      <c r="C2162" s="52" t="s">
        <v>7</v>
      </c>
      <c r="D2162" s="52" t="s">
        <v>4897</v>
      </c>
      <c r="E2162" s="3">
        <v>40</v>
      </c>
      <c r="F2162" s="3">
        <v>10</v>
      </c>
      <c r="G2162" s="4">
        <v>43522</v>
      </c>
      <c r="J2162" s="1">
        <v>3600</v>
      </c>
    </row>
    <row r="2163" spans="2:18" x14ac:dyDescent="0.2">
      <c r="B2163" s="51"/>
      <c r="C2163" s="52"/>
      <c r="D2163" s="52"/>
      <c r="G2163" s="4"/>
    </row>
    <row r="2164" spans="2:18" s="12" customFormat="1" x14ac:dyDescent="0.2">
      <c r="B2164" s="12" t="s">
        <v>36</v>
      </c>
      <c r="C2164" s="13" t="s">
        <v>969</v>
      </c>
      <c r="D2164" s="13" t="s">
        <v>968</v>
      </c>
      <c r="E2164" s="15"/>
      <c r="F2164" s="15">
        <f>SUM(F2165:F2166)</f>
        <v>26.714285714285715</v>
      </c>
      <c r="G2164" s="14">
        <f>G2165</f>
        <v>43634</v>
      </c>
      <c r="M2164" s="13"/>
      <c r="N2164" s="13"/>
      <c r="O2164" s="13"/>
      <c r="P2164" s="13"/>
      <c r="Q2164" s="13"/>
      <c r="R2164" s="13"/>
    </row>
    <row r="2165" spans="2:18" x14ac:dyDescent="0.2">
      <c r="C2165" s="2" t="s">
        <v>18</v>
      </c>
      <c r="D2165" s="2" t="s">
        <v>32</v>
      </c>
      <c r="E2165" s="3">
        <v>230</v>
      </c>
      <c r="F2165" s="3">
        <f>110/7</f>
        <v>15.714285714285714</v>
      </c>
      <c r="G2165" s="4">
        <v>43634</v>
      </c>
      <c r="I2165" s="1">
        <v>770</v>
      </c>
      <c r="J2165" s="1">
        <v>770</v>
      </c>
    </row>
    <row r="2166" spans="2:18" x14ac:dyDescent="0.2">
      <c r="C2166" s="2" t="s">
        <v>7</v>
      </c>
      <c r="D2166" s="2" t="s">
        <v>32</v>
      </c>
      <c r="E2166" s="3">
        <v>45</v>
      </c>
      <c r="F2166" s="3">
        <v>11</v>
      </c>
      <c r="G2166" s="4">
        <v>43293</v>
      </c>
      <c r="J2166" s="1">
        <v>770</v>
      </c>
    </row>
    <row r="2167" spans="2:18" x14ac:dyDescent="0.2">
      <c r="G2167" s="4"/>
    </row>
    <row r="2168" spans="2:18" s="12" customFormat="1" x14ac:dyDescent="0.2">
      <c r="B2168" s="12" t="s">
        <v>33</v>
      </c>
      <c r="C2168" s="13" t="s">
        <v>969</v>
      </c>
      <c r="D2168" s="13" t="s">
        <v>968</v>
      </c>
      <c r="E2168" s="15"/>
      <c r="F2168" s="15">
        <f>SUM(F2169:F2171)</f>
        <v>26.714285714285715</v>
      </c>
      <c r="G2168" s="14">
        <f>G2169</f>
        <v>43634</v>
      </c>
      <c r="M2168" s="13"/>
      <c r="N2168" s="13"/>
      <c r="O2168" s="13"/>
      <c r="P2168" s="13"/>
      <c r="Q2168" s="13"/>
      <c r="R2168" s="13"/>
    </row>
    <row r="2169" spans="2:18" x14ac:dyDescent="0.2">
      <c r="C2169" s="2" t="s">
        <v>18</v>
      </c>
      <c r="D2169" s="2" t="s">
        <v>32</v>
      </c>
      <c r="E2169" s="3">
        <v>230</v>
      </c>
      <c r="F2169" s="3">
        <f>110/7</f>
        <v>15.714285714285714</v>
      </c>
      <c r="G2169" s="4">
        <v>43634</v>
      </c>
      <c r="I2169" s="1">
        <v>770</v>
      </c>
      <c r="J2169" s="1">
        <v>770</v>
      </c>
    </row>
    <row r="2170" spans="2:18" x14ac:dyDescent="0.2">
      <c r="C2170" s="2" t="s">
        <v>7</v>
      </c>
      <c r="D2170" s="2" t="s">
        <v>32</v>
      </c>
      <c r="E2170" s="3">
        <v>45</v>
      </c>
      <c r="F2170" s="3">
        <v>6</v>
      </c>
      <c r="G2170" s="4">
        <v>43293</v>
      </c>
      <c r="J2170" s="1">
        <v>770</v>
      </c>
    </row>
    <row r="2171" spans="2:18" x14ac:dyDescent="0.2">
      <c r="C2171" s="2" t="s">
        <v>5</v>
      </c>
      <c r="D2171" s="2" t="s">
        <v>32</v>
      </c>
      <c r="E2171" s="3">
        <v>18</v>
      </c>
      <c r="F2171" s="3">
        <v>5</v>
      </c>
      <c r="G2171" s="4">
        <v>42983</v>
      </c>
      <c r="J2171" s="1">
        <v>770</v>
      </c>
    </row>
    <row r="2172" spans="2:18" x14ac:dyDescent="0.2">
      <c r="G2172" s="4"/>
    </row>
    <row r="2173" spans="2:18" s="12" customFormat="1" x14ac:dyDescent="0.2">
      <c r="B2173" s="12" t="s">
        <v>5427</v>
      </c>
      <c r="C2173" s="13" t="s">
        <v>969</v>
      </c>
      <c r="D2173" s="13" t="s">
        <v>968</v>
      </c>
      <c r="E2173" s="15"/>
      <c r="F2173" s="15">
        <f>SUM(F2174:F2176)</f>
        <v>27</v>
      </c>
      <c r="G2173" s="14">
        <f>G2174</f>
        <v>44307</v>
      </c>
      <c r="M2173" s="13"/>
      <c r="N2173" s="13"/>
      <c r="O2173" s="13"/>
      <c r="P2173" s="13"/>
      <c r="Q2173" s="13"/>
      <c r="R2173" s="13"/>
    </row>
    <row r="2174" spans="2:18" x14ac:dyDescent="0.2">
      <c r="B2174" s="92"/>
      <c r="C2174" s="93" t="s">
        <v>8</v>
      </c>
      <c r="D2174" s="93" t="s">
        <v>5426</v>
      </c>
      <c r="E2174" s="3">
        <v>50</v>
      </c>
      <c r="F2174" s="3">
        <f>30/4</f>
        <v>7.5</v>
      </c>
      <c r="G2174" s="4">
        <v>44307</v>
      </c>
      <c r="I2174" s="1">
        <v>2000</v>
      </c>
      <c r="J2174" s="1">
        <v>2000</v>
      </c>
    </row>
    <row r="2175" spans="2:18" x14ac:dyDescent="0.2">
      <c r="B2175" s="92"/>
      <c r="C2175" s="93" t="s">
        <v>18</v>
      </c>
      <c r="D2175" s="93" t="s">
        <v>5426</v>
      </c>
      <c r="E2175" s="3">
        <v>37</v>
      </c>
      <c r="F2175" s="3">
        <v>14</v>
      </c>
      <c r="G2175" s="4">
        <v>43831</v>
      </c>
      <c r="J2175" s="1">
        <v>2000</v>
      </c>
    </row>
    <row r="2176" spans="2:18" x14ac:dyDescent="0.2">
      <c r="B2176" s="92"/>
      <c r="C2176" s="93" t="s">
        <v>7</v>
      </c>
      <c r="D2176" s="93" t="s">
        <v>5426</v>
      </c>
      <c r="E2176" s="3">
        <v>13.5</v>
      </c>
      <c r="F2176" s="3">
        <v>5.5</v>
      </c>
      <c r="G2176" s="4">
        <v>43320</v>
      </c>
      <c r="J2176" s="1">
        <v>2000</v>
      </c>
    </row>
    <row r="2177" spans="2:18" x14ac:dyDescent="0.2">
      <c r="B2177" s="92"/>
      <c r="C2177" s="93"/>
      <c r="D2177" s="93"/>
      <c r="G2177" s="4"/>
    </row>
    <row r="2178" spans="2:18" x14ac:dyDescent="0.2">
      <c r="B2178" s="12" t="s">
        <v>1045</v>
      </c>
      <c r="C2178" s="13" t="s">
        <v>969</v>
      </c>
      <c r="D2178" s="13" t="s">
        <v>968</v>
      </c>
      <c r="E2178" s="15"/>
      <c r="F2178" s="15">
        <f>SUM(F2179:F2187)</f>
        <v>26.5</v>
      </c>
      <c r="G2178" s="14">
        <f>+G2184</f>
        <v>44398</v>
      </c>
    </row>
    <row r="2179" spans="2:18" x14ac:dyDescent="0.2">
      <c r="B2179" s="265" t="s">
        <v>7664</v>
      </c>
      <c r="C2179" s="2" t="s">
        <v>278</v>
      </c>
      <c r="D2179" s="2" t="s">
        <v>763</v>
      </c>
      <c r="E2179" s="3">
        <v>1</v>
      </c>
      <c r="F2179" s="3">
        <v>0.5</v>
      </c>
      <c r="G2179" s="4">
        <v>44287</v>
      </c>
    </row>
    <row r="2180" spans="2:18" x14ac:dyDescent="0.2">
      <c r="C2180" s="2" t="s">
        <v>5</v>
      </c>
      <c r="D2180" s="2" t="s">
        <v>957</v>
      </c>
      <c r="E2180" s="3">
        <v>8.5</v>
      </c>
      <c r="F2180" s="3">
        <v>1</v>
      </c>
      <c r="G2180" s="4">
        <v>44181</v>
      </c>
      <c r="J2180" s="1">
        <v>1400</v>
      </c>
    </row>
    <row r="2181" spans="2:18" x14ac:dyDescent="0.2">
      <c r="C2181" s="2" t="s">
        <v>5</v>
      </c>
      <c r="D2181" s="2" t="s">
        <v>695</v>
      </c>
      <c r="E2181" s="3">
        <v>20</v>
      </c>
      <c r="F2181" s="3">
        <f>10/4</f>
        <v>2.5</v>
      </c>
      <c r="G2181" s="4">
        <v>44392</v>
      </c>
    </row>
    <row r="2182" spans="2:18" x14ac:dyDescent="0.2">
      <c r="C2182" s="2" t="s">
        <v>4</v>
      </c>
      <c r="D2182" s="2" t="s">
        <v>663</v>
      </c>
      <c r="E2182" s="3">
        <v>4.5</v>
      </c>
      <c r="F2182" s="3">
        <v>0.5</v>
      </c>
      <c r="G2182" s="4">
        <v>44293</v>
      </c>
    </row>
    <row r="2183" spans="2:18" x14ac:dyDescent="0.2">
      <c r="C2183" s="2" t="s">
        <v>7</v>
      </c>
      <c r="D2183" s="2" t="s">
        <v>599</v>
      </c>
      <c r="E2183" s="3">
        <v>54</v>
      </c>
      <c r="F2183" s="3">
        <f>40/5</f>
        <v>8</v>
      </c>
      <c r="G2183" s="4">
        <v>44089</v>
      </c>
    </row>
    <row r="2184" spans="2:18" x14ac:dyDescent="0.2">
      <c r="C2184" s="2" t="s">
        <v>7</v>
      </c>
      <c r="D2184" s="2" t="s">
        <v>475</v>
      </c>
      <c r="E2184" s="3">
        <v>90</v>
      </c>
      <c r="F2184" s="3">
        <v>6</v>
      </c>
      <c r="G2184" s="4">
        <v>44398</v>
      </c>
    </row>
    <row r="2185" spans="2:18" x14ac:dyDescent="0.2">
      <c r="C2185" s="2" t="s">
        <v>7</v>
      </c>
      <c r="D2185" s="2" t="s">
        <v>525</v>
      </c>
      <c r="E2185" s="3">
        <v>32</v>
      </c>
      <c r="F2185" s="3">
        <v>3</v>
      </c>
      <c r="G2185" s="4">
        <v>44364</v>
      </c>
    </row>
    <row r="2186" spans="2:18" x14ac:dyDescent="0.2">
      <c r="C2186" s="2" t="s">
        <v>5</v>
      </c>
      <c r="D2186" s="2" t="s">
        <v>298</v>
      </c>
      <c r="E2186" s="3">
        <v>15</v>
      </c>
      <c r="F2186" s="3">
        <v>2</v>
      </c>
      <c r="G2186" s="4">
        <v>44314</v>
      </c>
    </row>
    <row r="2187" spans="2:18" x14ac:dyDescent="0.2">
      <c r="C2187" s="2" t="s">
        <v>5</v>
      </c>
      <c r="D2187" s="2" t="s">
        <v>2132</v>
      </c>
      <c r="E2187" s="3">
        <v>20</v>
      </c>
      <c r="F2187" s="3">
        <v>3</v>
      </c>
      <c r="G2187" s="4">
        <v>44044</v>
      </c>
    </row>
    <row r="2189" spans="2:18" s="12" customFormat="1" x14ac:dyDescent="0.2">
      <c r="B2189" s="12" t="s">
        <v>4365</v>
      </c>
      <c r="C2189" s="13" t="s">
        <v>969</v>
      </c>
      <c r="D2189" s="13" t="s">
        <v>968</v>
      </c>
      <c r="E2189" s="15"/>
      <c r="F2189" s="15">
        <f>SUM(F2190:F2191)</f>
        <v>25.9</v>
      </c>
      <c r="G2189" s="14">
        <f>G2191</f>
        <v>39506</v>
      </c>
      <c r="M2189" s="13"/>
      <c r="N2189" s="13"/>
      <c r="O2189" s="13"/>
      <c r="P2189" s="13"/>
      <c r="Q2189" s="13"/>
      <c r="R2189" s="13"/>
    </row>
    <row r="2190" spans="2:18" x14ac:dyDescent="0.2">
      <c r="C2190" s="2" t="s">
        <v>5</v>
      </c>
      <c r="D2190" s="2" t="s">
        <v>3938</v>
      </c>
      <c r="E2190" s="3">
        <v>7.5</v>
      </c>
      <c r="F2190" s="3">
        <v>7.5</v>
      </c>
      <c r="G2190" s="4">
        <v>38919</v>
      </c>
    </row>
    <row r="2191" spans="2:18" x14ac:dyDescent="0.2">
      <c r="C2191" s="2" t="s">
        <v>18</v>
      </c>
      <c r="D2191" s="2" t="s">
        <v>3938</v>
      </c>
      <c r="E2191" s="3">
        <v>36.799999999999997</v>
      </c>
      <c r="F2191" s="3">
        <f>E2191/2</f>
        <v>18.399999999999999</v>
      </c>
      <c r="G2191" s="4">
        <v>39506</v>
      </c>
    </row>
    <row r="2192" spans="2:18" x14ac:dyDescent="0.2">
      <c r="G2192" s="4"/>
    </row>
    <row r="2193" spans="2:18" x14ac:dyDescent="0.2">
      <c r="B2193" s="12" t="s">
        <v>1032</v>
      </c>
      <c r="C2193" s="13" t="s">
        <v>969</v>
      </c>
      <c r="D2193" s="13" t="s">
        <v>968</v>
      </c>
      <c r="F2193" s="15">
        <f>SUM(F2194:F2203)</f>
        <v>25.966666666666669</v>
      </c>
      <c r="G2193" s="14">
        <f>G2199</f>
        <v>45092</v>
      </c>
    </row>
    <row r="2194" spans="2:18" x14ac:dyDescent="0.2">
      <c r="C2194" s="2" t="s">
        <v>7</v>
      </c>
      <c r="D2194" s="2" t="s">
        <v>796</v>
      </c>
      <c r="E2194" s="3">
        <v>50</v>
      </c>
      <c r="F2194" s="3">
        <v>6</v>
      </c>
      <c r="G2194" s="4">
        <v>45036</v>
      </c>
    </row>
    <row r="2195" spans="2:18" x14ac:dyDescent="0.2">
      <c r="C2195" s="2" t="s">
        <v>5</v>
      </c>
      <c r="D2195" s="2" t="s">
        <v>796</v>
      </c>
      <c r="E2195" s="3">
        <v>16.5</v>
      </c>
      <c r="F2195" s="3">
        <v>1</v>
      </c>
      <c r="G2195" s="4">
        <v>44614</v>
      </c>
    </row>
    <row r="2196" spans="2:18" x14ac:dyDescent="0.2">
      <c r="C2196" s="2" t="s">
        <v>4</v>
      </c>
      <c r="D2196" s="2" t="s">
        <v>796</v>
      </c>
      <c r="E2196" s="3">
        <v>1.2</v>
      </c>
      <c r="F2196" s="3">
        <v>0.5</v>
      </c>
      <c r="G2196" s="4">
        <v>44044</v>
      </c>
    </row>
    <row r="2197" spans="2:18" x14ac:dyDescent="0.2">
      <c r="C2197" s="2" t="s">
        <v>7</v>
      </c>
      <c r="D2197" s="2" t="s">
        <v>891</v>
      </c>
      <c r="E2197" s="3">
        <v>40</v>
      </c>
      <c r="F2197" s="3">
        <f>30/6</f>
        <v>5</v>
      </c>
      <c r="G2197" s="4">
        <v>44650</v>
      </c>
    </row>
    <row r="2198" spans="2:18" x14ac:dyDescent="0.2">
      <c r="C2198" s="2" t="s">
        <v>5</v>
      </c>
      <c r="D2198" s="2" t="s">
        <v>891</v>
      </c>
      <c r="E2198" s="3">
        <v>14</v>
      </c>
      <c r="F2198" s="3">
        <f>9/5</f>
        <v>1.8</v>
      </c>
      <c r="G2198" s="4">
        <v>44131</v>
      </c>
    </row>
    <row r="2199" spans="2:18" x14ac:dyDescent="0.2">
      <c r="C2199" s="2" t="s">
        <v>4</v>
      </c>
      <c r="D2199" s="2" t="s">
        <v>709</v>
      </c>
      <c r="E2199" s="3">
        <v>5.5</v>
      </c>
      <c r="F2199" s="3">
        <v>1</v>
      </c>
      <c r="G2199" s="4">
        <v>45092</v>
      </c>
    </row>
    <row r="2200" spans="2:18" x14ac:dyDescent="0.2">
      <c r="C2200" s="2" t="s">
        <v>4</v>
      </c>
      <c r="D2200" s="2" t="s">
        <v>652</v>
      </c>
      <c r="E2200" s="3">
        <v>12</v>
      </c>
      <c r="F2200" s="3">
        <v>2</v>
      </c>
      <c r="G2200" s="4">
        <v>44971</v>
      </c>
    </row>
    <row r="2201" spans="2:18" x14ac:dyDescent="0.2">
      <c r="C2201" s="2" t="s">
        <v>4</v>
      </c>
      <c r="D2201" s="2" t="s">
        <v>652</v>
      </c>
      <c r="E2201" s="3">
        <v>5</v>
      </c>
      <c r="F2201" s="3">
        <v>2</v>
      </c>
      <c r="G2201" s="4">
        <v>44769</v>
      </c>
    </row>
    <row r="2202" spans="2:18" x14ac:dyDescent="0.2">
      <c r="C2202" s="55" t="s">
        <v>18</v>
      </c>
      <c r="D2202" s="55" t="s">
        <v>5013</v>
      </c>
      <c r="E2202" s="3">
        <v>27</v>
      </c>
      <c r="F2202" s="3">
        <f>17/3</f>
        <v>5.666666666666667</v>
      </c>
      <c r="G2202" s="4">
        <v>42851</v>
      </c>
    </row>
    <row r="2203" spans="2:18" x14ac:dyDescent="0.2">
      <c r="C2203" s="55" t="s">
        <v>5</v>
      </c>
      <c r="D2203" s="55" t="s">
        <v>5013</v>
      </c>
      <c r="E2203" s="3">
        <v>3</v>
      </c>
      <c r="F2203" s="3">
        <v>1</v>
      </c>
      <c r="G2203" s="4">
        <v>42220</v>
      </c>
    </row>
    <row r="2204" spans="2:18" x14ac:dyDescent="0.2">
      <c r="G2204" s="4"/>
    </row>
    <row r="2205" spans="2:18" s="12" customFormat="1" x14ac:dyDescent="0.2">
      <c r="B2205" s="12" t="s">
        <v>618</v>
      </c>
      <c r="C2205" s="13" t="s">
        <v>969</v>
      </c>
      <c r="D2205" s="13" t="s">
        <v>968</v>
      </c>
      <c r="E2205" s="15"/>
      <c r="F2205" s="15">
        <f>SUM(F2206:F2208)</f>
        <v>32.555555555555557</v>
      </c>
      <c r="G2205" s="14">
        <f>G2207</f>
        <v>45124</v>
      </c>
    </row>
    <row r="2206" spans="2:18" x14ac:dyDescent="0.2">
      <c r="C2206" s="2" t="s">
        <v>9</v>
      </c>
      <c r="D2206" s="2" t="s">
        <v>606</v>
      </c>
      <c r="E2206" s="3">
        <v>132</v>
      </c>
      <c r="F2206" s="3">
        <v>20</v>
      </c>
      <c r="G2206" s="4">
        <v>44215</v>
      </c>
      <c r="I2206" s="1">
        <v>1400</v>
      </c>
      <c r="J2206" s="1">
        <v>1200</v>
      </c>
      <c r="M2206" s="1"/>
      <c r="N2206" s="1"/>
      <c r="O2206" s="1"/>
      <c r="P2206" s="1"/>
      <c r="Q2206" s="1"/>
      <c r="R2206" s="1"/>
    </row>
    <row r="2207" spans="2:18" x14ac:dyDescent="0.2">
      <c r="C2207" s="282" t="s">
        <v>7978</v>
      </c>
      <c r="D2207" s="2" t="s">
        <v>606</v>
      </c>
      <c r="E2207" s="3">
        <v>59</v>
      </c>
      <c r="F2207" s="3">
        <f>59/9</f>
        <v>6.5555555555555554</v>
      </c>
      <c r="G2207" s="4">
        <v>45124</v>
      </c>
      <c r="I2207" s="1">
        <v>1200</v>
      </c>
      <c r="J2207" s="1">
        <v>1200</v>
      </c>
      <c r="M2207" s="1"/>
      <c r="N2207" s="1"/>
      <c r="O2207" s="1"/>
      <c r="P2207" s="1"/>
      <c r="Q2207" s="1"/>
      <c r="R2207" s="1"/>
    </row>
    <row r="2208" spans="2:18" x14ac:dyDescent="0.2">
      <c r="C2208" s="2" t="s">
        <v>8</v>
      </c>
      <c r="D2208" s="2" t="s">
        <v>606</v>
      </c>
      <c r="E2208" s="3">
        <v>42</v>
      </c>
      <c r="F2208" s="3">
        <f>30/5</f>
        <v>6</v>
      </c>
      <c r="G2208" s="4">
        <v>44153</v>
      </c>
      <c r="J2208" s="1">
        <v>1200</v>
      </c>
      <c r="M2208" s="1"/>
      <c r="N2208" s="1"/>
      <c r="O2208" s="1"/>
      <c r="P2208" s="1"/>
      <c r="Q2208" s="1"/>
      <c r="R2208" s="1"/>
    </row>
    <row r="2209" spans="2:18" x14ac:dyDescent="0.2">
      <c r="G2209" s="4"/>
      <c r="M2209" s="1"/>
      <c r="N2209" s="1"/>
      <c r="O2209" s="1"/>
      <c r="P2209" s="1"/>
      <c r="Q2209" s="1"/>
      <c r="R2209" s="1"/>
    </row>
    <row r="2210" spans="2:18" s="12" customFormat="1" x14ac:dyDescent="0.2">
      <c r="B2210" s="12" t="s">
        <v>5672</v>
      </c>
      <c r="C2210" s="13" t="s">
        <v>969</v>
      </c>
      <c r="D2210" s="13" t="s">
        <v>968</v>
      </c>
      <c r="E2210" s="15"/>
      <c r="F2210" s="15">
        <f>SUM(F2211:F2213)</f>
        <v>25</v>
      </c>
      <c r="G2210" s="14">
        <f>G2211</f>
        <v>44627</v>
      </c>
      <c r="M2210" s="13"/>
      <c r="N2210" s="13"/>
      <c r="O2210" s="13"/>
      <c r="P2210" s="13"/>
      <c r="Q2210" s="13"/>
      <c r="R2210" s="13"/>
    </row>
    <row r="2211" spans="2:18" x14ac:dyDescent="0.2">
      <c r="B2211" s="92"/>
      <c r="C2211" s="93" t="s">
        <v>18</v>
      </c>
      <c r="D2211" s="93" t="s">
        <v>5668</v>
      </c>
      <c r="E2211" s="3">
        <v>75</v>
      </c>
      <c r="F2211" s="3">
        <f>25/2</f>
        <v>12.5</v>
      </c>
      <c r="G2211" s="4">
        <v>44627</v>
      </c>
    </row>
    <row r="2212" spans="2:18" x14ac:dyDescent="0.2">
      <c r="C2212" s="93" t="s">
        <v>7</v>
      </c>
      <c r="D2212" s="93" t="s">
        <v>5668</v>
      </c>
      <c r="E2212" s="3">
        <v>30</v>
      </c>
      <c r="F2212" s="3">
        <v>7.5</v>
      </c>
      <c r="G2212" s="4">
        <v>44222</v>
      </c>
    </row>
    <row r="2213" spans="2:18" x14ac:dyDescent="0.2">
      <c r="C2213" s="93" t="s">
        <v>5</v>
      </c>
      <c r="D2213" s="93" t="s">
        <v>5668</v>
      </c>
      <c r="E2213" s="3">
        <v>10</v>
      </c>
      <c r="F2213" s="3">
        <v>5</v>
      </c>
      <c r="G2213" s="4">
        <v>43559</v>
      </c>
    </row>
    <row r="2214" spans="2:18" x14ac:dyDescent="0.2">
      <c r="C2214" s="93"/>
      <c r="D2214" s="93"/>
      <c r="G2214" s="4"/>
    </row>
    <row r="2215" spans="2:18" s="12" customFormat="1" x14ac:dyDescent="0.2">
      <c r="B2215" s="12" t="s">
        <v>628</v>
      </c>
      <c r="C2215" s="13" t="s">
        <v>969</v>
      </c>
      <c r="D2215" s="13" t="s">
        <v>968</v>
      </c>
      <c r="E2215" s="15"/>
      <c r="F2215" s="15">
        <f>SUM(F2216:F2219)</f>
        <v>25</v>
      </c>
      <c r="G2215" s="14">
        <f>G2216</f>
        <v>44930</v>
      </c>
    </row>
    <row r="2216" spans="2:18" x14ac:dyDescent="0.2">
      <c r="C2216" s="2" t="s">
        <v>5</v>
      </c>
      <c r="D2216" s="2" t="s">
        <v>624</v>
      </c>
      <c r="E2216" s="3">
        <v>10</v>
      </c>
      <c r="F2216" s="3">
        <v>4</v>
      </c>
      <c r="G2216" s="4">
        <v>44930</v>
      </c>
      <c r="M2216" s="1"/>
      <c r="N2216" s="1"/>
      <c r="O2216" s="1"/>
      <c r="P2216" s="1"/>
      <c r="Q2216" s="1"/>
      <c r="R2216" s="1"/>
    </row>
    <row r="2217" spans="2:18" x14ac:dyDescent="0.2">
      <c r="C2217" s="2" t="s">
        <v>7</v>
      </c>
      <c r="D2217" s="2" t="s">
        <v>2132</v>
      </c>
      <c r="E2217" s="3">
        <v>176</v>
      </c>
      <c r="F2217" s="3">
        <v>13</v>
      </c>
      <c r="G2217" s="4">
        <v>44578</v>
      </c>
      <c r="M2217" s="1"/>
      <c r="N2217" s="1"/>
      <c r="O2217" s="1"/>
      <c r="P2217" s="1"/>
      <c r="Q2217" s="1"/>
      <c r="R2217" s="1"/>
    </row>
    <row r="2218" spans="2:18" x14ac:dyDescent="0.2">
      <c r="C2218" s="2" t="s">
        <v>5</v>
      </c>
      <c r="D2218" s="2" t="s">
        <v>2132</v>
      </c>
      <c r="E2218" s="3">
        <v>20</v>
      </c>
      <c r="F2218" s="3">
        <v>5</v>
      </c>
      <c r="G2218" s="4">
        <v>44044</v>
      </c>
      <c r="M2218" s="1"/>
      <c r="N2218" s="1"/>
      <c r="O2218" s="1"/>
      <c r="P2218" s="1"/>
      <c r="Q2218" s="1"/>
      <c r="R2218" s="1"/>
    </row>
    <row r="2219" spans="2:18" x14ac:dyDescent="0.2">
      <c r="C2219" s="2" t="s">
        <v>5</v>
      </c>
      <c r="D2219" s="2" t="s">
        <v>2132</v>
      </c>
      <c r="E2219" s="3">
        <v>20</v>
      </c>
      <c r="F2219" s="3">
        <v>3</v>
      </c>
      <c r="G2219" s="4">
        <v>43647</v>
      </c>
      <c r="M2219" s="1"/>
      <c r="N2219" s="1"/>
      <c r="O2219" s="1"/>
      <c r="P2219" s="1"/>
      <c r="Q2219" s="1"/>
      <c r="R2219" s="1"/>
    </row>
    <row r="2220" spans="2:18" x14ac:dyDescent="0.2">
      <c r="G2220" s="4"/>
      <c r="M2220" s="1"/>
      <c r="N2220" s="1"/>
      <c r="O2220" s="1"/>
      <c r="P2220" s="1"/>
      <c r="Q2220" s="1"/>
      <c r="R2220" s="1"/>
    </row>
    <row r="2221" spans="2:18" s="12" customFormat="1" x14ac:dyDescent="0.2">
      <c r="B2221" s="12" t="s">
        <v>393</v>
      </c>
      <c r="C2221" s="13" t="s">
        <v>969</v>
      </c>
      <c r="D2221" s="13" t="s">
        <v>968</v>
      </c>
      <c r="E2221" s="15"/>
      <c r="F2221" s="15">
        <f>SUM(F2222:F2224)</f>
        <v>24.5</v>
      </c>
      <c r="G2221" s="14">
        <f>G2222</f>
        <v>44286</v>
      </c>
    </row>
    <row r="2222" spans="2:18" x14ac:dyDescent="0.2">
      <c r="C2222" s="2" t="s">
        <v>8</v>
      </c>
      <c r="D2222" s="2" t="s">
        <v>386</v>
      </c>
      <c r="E2222" s="3">
        <v>140</v>
      </c>
      <c r="F2222" s="3">
        <v>10</v>
      </c>
      <c r="G2222" s="4">
        <v>44286</v>
      </c>
      <c r="M2222" s="1"/>
      <c r="N2222" s="1"/>
      <c r="O2222" s="1"/>
      <c r="P2222" s="1"/>
      <c r="Q2222" s="1"/>
      <c r="R2222" s="1"/>
    </row>
    <row r="2223" spans="2:18" x14ac:dyDescent="0.2">
      <c r="C2223" s="2" t="s">
        <v>18</v>
      </c>
      <c r="D2223" s="2" t="s">
        <v>386</v>
      </c>
      <c r="E2223" s="3">
        <v>110</v>
      </c>
      <c r="F2223" s="3">
        <v>10</v>
      </c>
      <c r="G2223" s="4">
        <v>43690</v>
      </c>
      <c r="M2223" s="1"/>
      <c r="N2223" s="1"/>
      <c r="O2223" s="1"/>
      <c r="P2223" s="1"/>
      <c r="Q2223" s="1"/>
      <c r="R2223" s="1"/>
    </row>
    <row r="2224" spans="2:18" x14ac:dyDescent="0.2">
      <c r="C2224" s="2" t="s">
        <v>5</v>
      </c>
      <c r="D2224" s="2" t="s">
        <v>386</v>
      </c>
      <c r="E2224" s="3">
        <v>5.5</v>
      </c>
      <c r="F2224" s="3">
        <v>4.5</v>
      </c>
      <c r="G2224" s="4">
        <v>42156</v>
      </c>
      <c r="M2224" s="1"/>
      <c r="N2224" s="1"/>
      <c r="O2224" s="1"/>
      <c r="P2224" s="1"/>
      <c r="Q2224" s="1"/>
      <c r="R2224" s="1"/>
    </row>
    <row r="2225" spans="2:18" x14ac:dyDescent="0.2">
      <c r="G2225" s="4"/>
      <c r="M2225" s="1"/>
      <c r="N2225" s="1"/>
      <c r="O2225" s="1"/>
      <c r="P2225" s="1"/>
      <c r="Q2225" s="1"/>
      <c r="R2225" s="1"/>
    </row>
    <row r="2226" spans="2:18" s="12" customFormat="1" x14ac:dyDescent="0.2">
      <c r="B2226" s="12" t="s">
        <v>892</v>
      </c>
      <c r="C2226" s="13" t="s">
        <v>969</v>
      </c>
      <c r="D2226" s="13" t="s">
        <v>968</v>
      </c>
      <c r="E2226" s="15"/>
      <c r="F2226" s="15">
        <f>SUM(F2227:F2228)</f>
        <v>25</v>
      </c>
      <c r="G2226" s="14">
        <f>G2227</f>
        <v>44650</v>
      </c>
      <c r="M2226" s="13"/>
      <c r="N2226" s="13"/>
      <c r="O2226" s="13"/>
      <c r="P2226" s="13"/>
      <c r="Q2226" s="13"/>
      <c r="R2226" s="13"/>
    </row>
    <row r="2227" spans="2:18" x14ac:dyDescent="0.2">
      <c r="C2227" s="2" t="s">
        <v>7</v>
      </c>
      <c r="D2227" s="2" t="s">
        <v>891</v>
      </c>
      <c r="E2227" s="3">
        <v>40</v>
      </c>
      <c r="F2227" s="3">
        <v>5</v>
      </c>
      <c r="G2227" s="4">
        <v>44650</v>
      </c>
    </row>
    <row r="2228" spans="2:18" x14ac:dyDescent="0.2">
      <c r="C2228" s="2" t="s">
        <v>8</v>
      </c>
      <c r="D2228" s="2" t="s">
        <v>2137</v>
      </c>
      <c r="E2228" s="3">
        <v>200</v>
      </c>
      <c r="F2228" s="3">
        <v>20</v>
      </c>
      <c r="G2228" s="4">
        <v>44237</v>
      </c>
    </row>
    <row r="2229" spans="2:18" x14ac:dyDescent="0.2">
      <c r="G2229" s="4"/>
    </row>
    <row r="2230" spans="2:18" s="12" customFormat="1" x14ac:dyDescent="0.2">
      <c r="B2230" s="12" t="s">
        <v>1002</v>
      </c>
      <c r="C2230" s="13" t="s">
        <v>969</v>
      </c>
      <c r="D2230" s="13" t="s">
        <v>968</v>
      </c>
      <c r="E2230" s="15"/>
      <c r="F2230" s="15">
        <f>SUM(F2231:F2234)</f>
        <v>24.885714285714286</v>
      </c>
      <c r="G2230" s="14">
        <f>G2231</f>
        <v>44650</v>
      </c>
      <c r="M2230" s="13"/>
      <c r="N2230" s="13"/>
      <c r="O2230" s="13"/>
      <c r="P2230" s="13"/>
      <c r="Q2230" s="13"/>
      <c r="R2230" s="13"/>
    </row>
    <row r="2231" spans="2:18" x14ac:dyDescent="0.2">
      <c r="C2231" s="2" t="s">
        <v>7</v>
      </c>
      <c r="D2231" s="2" t="s">
        <v>891</v>
      </c>
      <c r="E2231" s="3">
        <v>40</v>
      </c>
      <c r="F2231" s="3">
        <v>5</v>
      </c>
      <c r="G2231" s="4">
        <v>44650</v>
      </c>
    </row>
    <row r="2232" spans="2:18" x14ac:dyDescent="0.2">
      <c r="C2232" s="2" t="s">
        <v>5</v>
      </c>
      <c r="D2232" s="2" t="s">
        <v>891</v>
      </c>
      <c r="E2232" s="3">
        <v>14</v>
      </c>
      <c r="F2232" s="3">
        <f>9/5</f>
        <v>1.8</v>
      </c>
      <c r="G2232" s="4">
        <v>44131</v>
      </c>
    </row>
    <row r="2233" spans="2:18" x14ac:dyDescent="0.2">
      <c r="C2233" s="2" t="s">
        <v>5</v>
      </c>
      <c r="D2233" s="2" t="s">
        <v>871</v>
      </c>
      <c r="E2233" s="3">
        <v>21.4</v>
      </c>
      <c r="F2233" s="3">
        <f>11.4/3</f>
        <v>3.8000000000000003</v>
      </c>
      <c r="G2233" s="4">
        <v>44232</v>
      </c>
    </row>
    <row r="2234" spans="2:18" x14ac:dyDescent="0.2">
      <c r="C2234" s="52" t="s">
        <v>18</v>
      </c>
      <c r="D2234" s="52" t="s">
        <v>2121</v>
      </c>
      <c r="E2234" s="3">
        <v>300</v>
      </c>
      <c r="F2234" s="3">
        <f>200/14</f>
        <v>14.285714285714286</v>
      </c>
      <c r="G2234" s="4">
        <v>44300</v>
      </c>
    </row>
    <row r="2235" spans="2:18" x14ac:dyDescent="0.2">
      <c r="G2235" s="4"/>
    </row>
    <row r="2236" spans="2:18" s="12" customFormat="1" x14ac:dyDescent="0.2">
      <c r="B2236" s="12" t="s">
        <v>806</v>
      </c>
      <c r="C2236" s="13" t="s">
        <v>969</v>
      </c>
      <c r="D2236" s="13" t="s">
        <v>968</v>
      </c>
      <c r="E2236" s="15"/>
      <c r="F2236" s="15">
        <f>SUM(F2237:F2238)</f>
        <v>23.6</v>
      </c>
      <c r="G2236" s="14">
        <f>G2237</f>
        <v>44623</v>
      </c>
      <c r="M2236" s="13"/>
      <c r="N2236" s="13"/>
      <c r="O2236" s="13"/>
      <c r="P2236" s="13"/>
      <c r="Q2236" s="13"/>
      <c r="R2236" s="13"/>
    </row>
    <row r="2237" spans="2:18" x14ac:dyDescent="0.2">
      <c r="C2237" s="2" t="s">
        <v>4</v>
      </c>
      <c r="D2237" s="2" t="s">
        <v>701</v>
      </c>
      <c r="E2237" s="3">
        <v>12.5</v>
      </c>
      <c r="F2237" s="3">
        <f>8/5</f>
        <v>1.6</v>
      </c>
      <c r="G2237" s="4">
        <v>44623</v>
      </c>
    </row>
    <row r="2238" spans="2:18" x14ac:dyDescent="0.2">
      <c r="C2238" s="2" t="s">
        <v>8</v>
      </c>
      <c r="D2238" s="2" t="s">
        <v>39</v>
      </c>
      <c r="E2238" s="3">
        <v>170</v>
      </c>
      <c r="F2238" s="3">
        <f>110/5</f>
        <v>22</v>
      </c>
      <c r="G2238" s="4">
        <v>44255</v>
      </c>
      <c r="I2238" s="1">
        <v>830</v>
      </c>
      <c r="J2238" s="1">
        <v>2000</v>
      </c>
    </row>
    <row r="2239" spans="2:18" x14ac:dyDescent="0.2">
      <c r="G2239" s="4"/>
    </row>
    <row r="2240" spans="2:18" s="12" customFormat="1" x14ac:dyDescent="0.2">
      <c r="B2240" s="12" t="s">
        <v>662</v>
      </c>
      <c r="C2240" s="13" t="s">
        <v>969</v>
      </c>
      <c r="D2240" s="13" t="s">
        <v>968</v>
      </c>
      <c r="E2240" s="15"/>
      <c r="F2240" s="15">
        <f>SUM(F2241:F2247)</f>
        <v>30.705555555555556</v>
      </c>
      <c r="G2240" s="14">
        <f>G2241</f>
        <v>44896</v>
      </c>
    </row>
    <row r="2241" spans="2:18" x14ac:dyDescent="0.2">
      <c r="C2241" s="2" t="s">
        <v>4</v>
      </c>
      <c r="D2241" s="2" t="s">
        <v>661</v>
      </c>
      <c r="E2241" s="3">
        <v>13</v>
      </c>
      <c r="F2241" s="3">
        <f>7/2</f>
        <v>3.5</v>
      </c>
      <c r="G2241" s="4">
        <v>44896</v>
      </c>
      <c r="M2241" s="1"/>
      <c r="N2241" s="1"/>
      <c r="O2241" s="1"/>
      <c r="P2241" s="1"/>
      <c r="Q2241" s="1"/>
      <c r="R2241" s="1"/>
    </row>
    <row r="2242" spans="2:18" x14ac:dyDescent="0.2">
      <c r="C2242" s="282" t="s">
        <v>7978</v>
      </c>
      <c r="D2242" s="282" t="s">
        <v>606</v>
      </c>
      <c r="E2242" s="3">
        <v>59</v>
      </c>
      <c r="F2242" s="3">
        <f>E2242/9</f>
        <v>6.5555555555555554</v>
      </c>
      <c r="G2242" s="4">
        <v>45124</v>
      </c>
      <c r="I2242" s="1">
        <v>1200</v>
      </c>
      <c r="J2242" s="1">
        <v>1200</v>
      </c>
      <c r="M2242" s="1"/>
      <c r="N2242" s="1"/>
      <c r="O2242" s="1"/>
      <c r="P2242" s="1"/>
      <c r="Q2242" s="1"/>
      <c r="R2242" s="1"/>
    </row>
    <row r="2243" spans="2:18" x14ac:dyDescent="0.2">
      <c r="C2243" s="2" t="s">
        <v>18</v>
      </c>
      <c r="D2243" s="2" t="s">
        <v>606</v>
      </c>
      <c r="E2243" s="3">
        <v>48</v>
      </c>
      <c r="F2243" s="3">
        <v>10</v>
      </c>
      <c r="G2243" s="4">
        <v>43888</v>
      </c>
      <c r="J2243" s="1">
        <v>1200</v>
      </c>
      <c r="M2243" s="1"/>
      <c r="N2243" s="1"/>
      <c r="O2243" s="1"/>
      <c r="P2243" s="1"/>
      <c r="Q2243" s="1"/>
      <c r="R2243" s="1"/>
    </row>
    <row r="2244" spans="2:18" x14ac:dyDescent="0.2">
      <c r="C2244" s="2" t="s">
        <v>7</v>
      </c>
      <c r="D2244" s="2" t="s">
        <v>606</v>
      </c>
      <c r="E2244" s="3">
        <v>25</v>
      </c>
      <c r="F2244" s="3">
        <v>5</v>
      </c>
      <c r="G2244" s="4">
        <v>43440</v>
      </c>
      <c r="J2244" s="1">
        <v>1200</v>
      </c>
      <c r="M2244" s="1"/>
      <c r="N2244" s="1"/>
      <c r="O2244" s="1"/>
      <c r="P2244" s="1"/>
      <c r="Q2244" s="1"/>
      <c r="R2244" s="1"/>
    </row>
    <row r="2245" spans="2:18" x14ac:dyDescent="0.2">
      <c r="C2245" s="2" t="s">
        <v>5</v>
      </c>
      <c r="D2245" s="2" t="s">
        <v>606</v>
      </c>
      <c r="E2245" s="3">
        <v>5.8</v>
      </c>
      <c r="F2245" s="3">
        <f>E2245/4</f>
        <v>1.45</v>
      </c>
      <c r="G2245" s="4">
        <v>43117</v>
      </c>
      <c r="J2245" s="1">
        <v>1200</v>
      </c>
      <c r="M2245" s="1"/>
      <c r="N2245" s="1"/>
      <c r="O2245" s="1"/>
      <c r="P2245" s="1"/>
      <c r="Q2245" s="1"/>
      <c r="R2245" s="1"/>
    </row>
    <row r="2246" spans="2:18" x14ac:dyDescent="0.2">
      <c r="C2246" s="2" t="s">
        <v>4</v>
      </c>
      <c r="D2246" s="2" t="s">
        <v>606</v>
      </c>
      <c r="E2246" s="3">
        <v>3.2</v>
      </c>
      <c r="F2246" s="3">
        <v>3.2</v>
      </c>
      <c r="G2246" s="4">
        <v>42887</v>
      </c>
      <c r="J2246" s="1">
        <v>1200</v>
      </c>
      <c r="M2246" s="1"/>
      <c r="N2246" s="1"/>
      <c r="O2246" s="1"/>
      <c r="P2246" s="1"/>
      <c r="Q2246" s="1"/>
      <c r="R2246" s="1"/>
    </row>
    <row r="2247" spans="2:18" x14ac:dyDescent="0.2">
      <c r="C2247" s="2" t="s">
        <v>4</v>
      </c>
      <c r="D2247" s="2" t="s">
        <v>606</v>
      </c>
      <c r="E2247" s="3">
        <v>3.3</v>
      </c>
      <c r="F2247" s="3">
        <v>1</v>
      </c>
      <c r="G2247" s="4">
        <v>42678</v>
      </c>
      <c r="J2247" s="1">
        <v>1200</v>
      </c>
      <c r="M2247" s="1"/>
      <c r="N2247" s="1"/>
      <c r="O2247" s="1"/>
      <c r="P2247" s="1"/>
      <c r="Q2247" s="1"/>
      <c r="R2247" s="1"/>
    </row>
    <row r="2248" spans="2:18" x14ac:dyDescent="0.2">
      <c r="G2248" s="4"/>
      <c r="M2248" s="1"/>
      <c r="N2248" s="1"/>
      <c r="O2248" s="1"/>
      <c r="P2248" s="1"/>
      <c r="Q2248" s="1"/>
      <c r="R2248" s="1"/>
    </row>
    <row r="2249" spans="2:18" s="12" customFormat="1" x14ac:dyDescent="0.2">
      <c r="B2249" s="12" t="s">
        <v>109</v>
      </c>
      <c r="C2249" s="13" t="s">
        <v>969</v>
      </c>
      <c r="D2249" s="13" t="s">
        <v>968</v>
      </c>
      <c r="E2249" s="15"/>
      <c r="F2249" s="15">
        <f>SUM(F2250:F2251)</f>
        <v>24</v>
      </c>
      <c r="G2249" s="14">
        <f>G2250</f>
        <v>43783</v>
      </c>
      <c r="M2249" s="13"/>
      <c r="N2249" s="13"/>
      <c r="O2249" s="13"/>
      <c r="P2249" s="13"/>
      <c r="Q2249" s="13"/>
      <c r="R2249" s="13"/>
    </row>
    <row r="2250" spans="2:18" x14ac:dyDescent="0.2">
      <c r="C2250" s="2" t="s">
        <v>7</v>
      </c>
      <c r="D2250" s="2" t="s">
        <v>108</v>
      </c>
      <c r="E2250" s="3">
        <v>37</v>
      </c>
      <c r="F2250" s="3">
        <v>12</v>
      </c>
      <c r="G2250" s="4">
        <v>43783</v>
      </c>
      <c r="I2250" s="1">
        <v>113</v>
      </c>
    </row>
    <row r="2251" spans="2:18" x14ac:dyDescent="0.2">
      <c r="C2251" s="2" t="s">
        <v>5</v>
      </c>
      <c r="D2251" s="2" t="s">
        <v>57</v>
      </c>
      <c r="E2251" s="3">
        <v>29.5</v>
      </c>
      <c r="F2251" s="3">
        <v>12</v>
      </c>
      <c r="G2251" s="4">
        <v>43410</v>
      </c>
    </row>
    <row r="2252" spans="2:18" x14ac:dyDescent="0.2">
      <c r="G2252" s="4"/>
    </row>
    <row r="2253" spans="2:18" x14ac:dyDescent="0.2">
      <c r="B2253" s="12" t="s">
        <v>1036</v>
      </c>
      <c r="C2253" s="13" t="s">
        <v>969</v>
      </c>
      <c r="D2253" s="13" t="s">
        <v>968</v>
      </c>
      <c r="E2253" s="15"/>
      <c r="F2253" s="15">
        <f>SUM(F2254:F2261)</f>
        <v>24.3</v>
      </c>
      <c r="G2253" s="14">
        <f>G2257</f>
        <v>45090</v>
      </c>
    </row>
    <row r="2254" spans="2:18" x14ac:dyDescent="0.2">
      <c r="B2254" s="265" t="s">
        <v>7664</v>
      </c>
      <c r="C2254" s="2" t="s">
        <v>7</v>
      </c>
      <c r="D2254" s="2" t="s">
        <v>894</v>
      </c>
      <c r="E2254" s="3">
        <v>40</v>
      </c>
      <c r="F2254" s="3">
        <v>5</v>
      </c>
      <c r="G2254" s="4">
        <v>44728</v>
      </c>
    </row>
    <row r="2255" spans="2:18" x14ac:dyDescent="0.2">
      <c r="C2255" s="2" t="s">
        <v>5</v>
      </c>
      <c r="D2255" s="2" t="s">
        <v>894</v>
      </c>
      <c r="E2255" s="3">
        <v>18.600000000000001</v>
      </c>
      <c r="F2255" s="3">
        <f>8.6/2</f>
        <v>4.3</v>
      </c>
      <c r="G2255" s="4">
        <v>44112</v>
      </c>
    </row>
    <row r="2256" spans="2:18" x14ac:dyDescent="0.2">
      <c r="C2256" s="2" t="s">
        <v>4</v>
      </c>
      <c r="D2256" s="2" t="s">
        <v>730</v>
      </c>
      <c r="E2256" s="3">
        <v>1.5</v>
      </c>
      <c r="F2256" s="3">
        <v>0.5</v>
      </c>
      <c r="G2256" s="4">
        <v>43979</v>
      </c>
    </row>
    <row r="2257" spans="2:18" x14ac:dyDescent="0.2">
      <c r="C2257" s="2" t="s">
        <v>4</v>
      </c>
      <c r="D2257" s="2" t="s">
        <v>705</v>
      </c>
      <c r="E2257" s="3">
        <v>113</v>
      </c>
      <c r="F2257" s="3">
        <v>8</v>
      </c>
      <c r="G2257" s="4">
        <v>45090</v>
      </c>
    </row>
    <row r="2258" spans="2:18" x14ac:dyDescent="0.2">
      <c r="C2258" s="2" t="s">
        <v>5</v>
      </c>
      <c r="D2258" s="2" t="s">
        <v>584</v>
      </c>
      <c r="E2258" s="3">
        <v>20</v>
      </c>
      <c r="F2258" s="3">
        <f>15/6</f>
        <v>2.5</v>
      </c>
      <c r="G2258" s="4">
        <v>44801</v>
      </c>
    </row>
    <row r="2259" spans="2:18" x14ac:dyDescent="0.2">
      <c r="C2259" s="2" t="s">
        <v>4</v>
      </c>
      <c r="D2259" s="2" t="s">
        <v>1035</v>
      </c>
      <c r="E2259" s="3">
        <v>2</v>
      </c>
      <c r="F2259" s="3">
        <v>0.5</v>
      </c>
      <c r="G2259" s="4">
        <v>43876</v>
      </c>
    </row>
    <row r="2260" spans="2:18" x14ac:dyDescent="0.2">
      <c r="C2260" s="2" t="s">
        <v>5</v>
      </c>
      <c r="D2260" s="2" t="s">
        <v>2132</v>
      </c>
      <c r="E2260" s="3">
        <v>20</v>
      </c>
      <c r="F2260" s="3">
        <v>3</v>
      </c>
      <c r="G2260" s="4">
        <v>43647</v>
      </c>
    </row>
    <row r="2261" spans="2:18" x14ac:dyDescent="0.2">
      <c r="C2261" s="2" t="s">
        <v>4</v>
      </c>
      <c r="D2261" s="2" t="s">
        <v>2132</v>
      </c>
      <c r="E2261" s="3">
        <v>3</v>
      </c>
      <c r="F2261" s="3">
        <v>0.5</v>
      </c>
      <c r="G2261" s="4">
        <v>42979</v>
      </c>
    </row>
    <row r="2262" spans="2:18" x14ac:dyDescent="0.2">
      <c r="G2262" s="4"/>
    </row>
    <row r="2263" spans="2:18" s="12" customFormat="1" x14ac:dyDescent="0.2">
      <c r="B2263" s="12" t="s">
        <v>653</v>
      </c>
      <c r="C2263" s="13" t="s">
        <v>969</v>
      </c>
      <c r="D2263" s="13" t="s">
        <v>968</v>
      </c>
      <c r="E2263" s="15"/>
      <c r="F2263" s="15">
        <f>SUM(F2264:F2268)</f>
        <v>24.3</v>
      </c>
      <c r="G2263" s="14">
        <f>G2264</f>
        <v>44971</v>
      </c>
    </row>
    <row r="2264" spans="2:18" x14ac:dyDescent="0.2">
      <c r="B2264" s="266" t="s">
        <v>7663</v>
      </c>
      <c r="C2264" s="2" t="s">
        <v>4</v>
      </c>
      <c r="D2264" s="2" t="s">
        <v>652</v>
      </c>
      <c r="E2264" s="3">
        <v>12</v>
      </c>
      <c r="F2264" s="3">
        <v>2</v>
      </c>
      <c r="G2264" s="4">
        <v>44971</v>
      </c>
      <c r="M2264" s="1"/>
      <c r="N2264" s="1"/>
      <c r="O2264" s="1"/>
      <c r="P2264" s="1"/>
      <c r="Q2264" s="1"/>
      <c r="R2264" s="1"/>
    </row>
    <row r="2265" spans="2:18" x14ac:dyDescent="0.2">
      <c r="C2265" s="2" t="s">
        <v>4</v>
      </c>
      <c r="D2265" s="2" t="s">
        <v>652</v>
      </c>
      <c r="E2265" s="3">
        <v>5</v>
      </c>
      <c r="F2265" s="3">
        <v>2</v>
      </c>
      <c r="G2265" s="4">
        <v>44769</v>
      </c>
      <c r="M2265" s="1"/>
      <c r="N2265" s="1"/>
      <c r="O2265" s="1"/>
      <c r="P2265" s="1"/>
      <c r="Q2265" s="1"/>
      <c r="R2265" s="1"/>
    </row>
    <row r="2266" spans="2:18" x14ac:dyDescent="0.2">
      <c r="C2266" s="2" t="s">
        <v>4</v>
      </c>
      <c r="D2266" s="2" t="s">
        <v>651</v>
      </c>
      <c r="E2266" s="3">
        <v>12.3</v>
      </c>
      <c r="F2266" s="3">
        <v>6.3</v>
      </c>
      <c r="G2266" s="4">
        <v>44622</v>
      </c>
      <c r="M2266" s="1"/>
      <c r="N2266" s="1"/>
      <c r="O2266" s="1"/>
      <c r="P2266" s="1"/>
      <c r="Q2266" s="1"/>
      <c r="R2266" s="1"/>
    </row>
    <row r="2267" spans="2:18" x14ac:dyDescent="0.2">
      <c r="C2267" s="2" t="s">
        <v>7</v>
      </c>
      <c r="D2267" s="2" t="s">
        <v>286</v>
      </c>
      <c r="E2267" s="3">
        <v>35</v>
      </c>
      <c r="F2267" s="3">
        <v>10</v>
      </c>
      <c r="G2267" s="4">
        <v>44309</v>
      </c>
      <c r="M2267" s="1"/>
      <c r="N2267" s="1"/>
      <c r="O2267" s="1"/>
      <c r="P2267" s="1"/>
      <c r="Q2267" s="1"/>
      <c r="R2267" s="1"/>
    </row>
    <row r="2268" spans="2:18" x14ac:dyDescent="0.2">
      <c r="C2268" s="253" t="s">
        <v>4</v>
      </c>
      <c r="D2268" s="253" t="s">
        <v>2017</v>
      </c>
      <c r="E2268" s="3">
        <v>12</v>
      </c>
      <c r="F2268" s="3">
        <v>4</v>
      </c>
      <c r="G2268" s="4">
        <v>43872</v>
      </c>
      <c r="M2268" s="1"/>
      <c r="N2268" s="1"/>
      <c r="O2268" s="1"/>
      <c r="P2268" s="1"/>
      <c r="Q2268" s="1"/>
      <c r="R2268" s="1"/>
    </row>
    <row r="2269" spans="2:18" x14ac:dyDescent="0.2">
      <c r="G2269" s="4"/>
      <c r="M2269" s="1"/>
      <c r="N2269" s="1"/>
      <c r="O2269" s="1"/>
      <c r="P2269" s="1"/>
      <c r="Q2269" s="1"/>
      <c r="R2269" s="1"/>
    </row>
    <row r="2270" spans="2:18" x14ac:dyDescent="0.2">
      <c r="B2270" s="12" t="s">
        <v>1044</v>
      </c>
      <c r="C2270" s="13" t="s">
        <v>969</v>
      </c>
      <c r="D2270" s="13" t="s">
        <v>968</v>
      </c>
      <c r="F2270" s="15">
        <f>+F2271+F2272</f>
        <v>23.333333333333336</v>
      </c>
      <c r="G2270" s="14">
        <f>+G2271</f>
        <v>44699</v>
      </c>
      <c r="I2270" s="1" t="s">
        <v>1</v>
      </c>
      <c r="J2270" s="1" t="s">
        <v>1</v>
      </c>
      <c r="K2270" s="1" t="s">
        <v>1</v>
      </c>
    </row>
    <row r="2271" spans="2:18" x14ac:dyDescent="0.2">
      <c r="C2271" s="2" t="s">
        <v>18</v>
      </c>
      <c r="D2271" s="2" t="s">
        <v>1043</v>
      </c>
      <c r="E2271" s="3">
        <v>100</v>
      </c>
      <c r="F2271" s="3">
        <v>15</v>
      </c>
      <c r="G2271" s="4">
        <v>44699</v>
      </c>
    </row>
    <row r="2272" spans="2:18" x14ac:dyDescent="0.2">
      <c r="C2272" s="2" t="s">
        <v>7</v>
      </c>
      <c r="D2272" s="2" t="s">
        <v>1043</v>
      </c>
      <c r="E2272" s="3">
        <v>100</v>
      </c>
      <c r="F2272" s="3">
        <f>25/3</f>
        <v>8.3333333333333339</v>
      </c>
      <c r="G2272" s="4">
        <v>44286</v>
      </c>
    </row>
    <row r="2273" spans="2:10" x14ac:dyDescent="0.2">
      <c r="G2273" s="4"/>
    </row>
    <row r="2274" spans="2:10" x14ac:dyDescent="0.2">
      <c r="B2274" s="12" t="s">
        <v>1042</v>
      </c>
      <c r="C2274" s="13" t="s">
        <v>969</v>
      </c>
      <c r="D2274" s="13" t="s">
        <v>968</v>
      </c>
      <c r="F2274" s="15">
        <f>SUM(F2275:F2283)</f>
        <v>24.366666666666667</v>
      </c>
      <c r="G2274" s="14">
        <f>G2275</f>
        <v>44690</v>
      </c>
    </row>
    <row r="2275" spans="2:10" x14ac:dyDescent="0.2">
      <c r="C2275" s="2" t="s">
        <v>18</v>
      </c>
      <c r="D2275" s="2" t="s">
        <v>926</v>
      </c>
      <c r="E2275" s="3">
        <v>100</v>
      </c>
      <c r="F2275" s="3">
        <v>9</v>
      </c>
      <c r="G2275" s="4">
        <v>44690</v>
      </c>
      <c r="J2275" s="1">
        <v>4300</v>
      </c>
    </row>
    <row r="2276" spans="2:10" x14ac:dyDescent="0.2">
      <c r="C2276" s="2" t="s">
        <v>7</v>
      </c>
      <c r="D2276" s="2" t="s">
        <v>926</v>
      </c>
      <c r="E2276" s="3">
        <v>40</v>
      </c>
      <c r="F2276" s="3">
        <f>20/3</f>
        <v>6.666666666666667</v>
      </c>
      <c r="G2276" s="4">
        <v>44327</v>
      </c>
      <c r="J2276" s="1">
        <v>4300</v>
      </c>
    </row>
    <row r="2277" spans="2:10" x14ac:dyDescent="0.2">
      <c r="C2277" s="2" t="s">
        <v>5</v>
      </c>
      <c r="D2277" s="2" t="s">
        <v>926</v>
      </c>
      <c r="E2277" s="3">
        <v>15</v>
      </c>
      <c r="F2277" s="3">
        <v>3</v>
      </c>
      <c r="G2277" s="4">
        <v>43816</v>
      </c>
      <c r="J2277" s="1">
        <v>4300</v>
      </c>
    </row>
    <row r="2278" spans="2:10" x14ac:dyDescent="0.2">
      <c r="C2278" s="2" t="s">
        <v>4</v>
      </c>
      <c r="D2278" s="2" t="s">
        <v>926</v>
      </c>
      <c r="E2278" s="3">
        <v>4</v>
      </c>
      <c r="F2278" s="3">
        <v>1</v>
      </c>
      <c r="G2278" s="4">
        <v>43243</v>
      </c>
      <c r="J2278" s="1">
        <v>4300</v>
      </c>
    </row>
    <row r="2279" spans="2:10" x14ac:dyDescent="0.2">
      <c r="C2279" s="2" t="s">
        <v>550</v>
      </c>
      <c r="D2279" s="2" t="s">
        <v>926</v>
      </c>
      <c r="E2279" s="3">
        <v>1.2</v>
      </c>
      <c r="F2279" s="3">
        <v>0.2</v>
      </c>
      <c r="G2279" s="4">
        <v>42799</v>
      </c>
      <c r="J2279" s="1">
        <v>4300</v>
      </c>
    </row>
    <row r="2280" spans="2:10" x14ac:dyDescent="0.2">
      <c r="C2280" s="2" t="s">
        <v>5</v>
      </c>
      <c r="D2280" s="2" t="s">
        <v>646</v>
      </c>
      <c r="E2280" s="3">
        <v>13</v>
      </c>
      <c r="F2280" s="3">
        <v>2</v>
      </c>
      <c r="G2280" s="4">
        <v>44642</v>
      </c>
    </row>
    <row r="2281" spans="2:10" x14ac:dyDescent="0.2">
      <c r="C2281" s="2" t="s">
        <v>4</v>
      </c>
      <c r="D2281" s="2" t="s">
        <v>646</v>
      </c>
      <c r="E2281" s="3">
        <v>3.5</v>
      </c>
      <c r="F2281" s="3">
        <v>1</v>
      </c>
      <c r="G2281" s="4">
        <v>44124</v>
      </c>
    </row>
    <row r="2282" spans="2:10" x14ac:dyDescent="0.2">
      <c r="C2282" s="2" t="s">
        <v>4</v>
      </c>
      <c r="D2282" s="2" t="s">
        <v>481</v>
      </c>
      <c r="E2282" s="3">
        <v>2</v>
      </c>
      <c r="F2282" s="3">
        <v>0.5</v>
      </c>
      <c r="G2282" s="4">
        <v>43876</v>
      </c>
    </row>
    <row r="2283" spans="2:10" x14ac:dyDescent="0.2">
      <c r="C2283" s="253" t="s">
        <v>4</v>
      </c>
      <c r="D2283" s="253" t="s">
        <v>2007</v>
      </c>
      <c r="E2283" s="3">
        <v>7</v>
      </c>
      <c r="F2283" s="3">
        <v>1</v>
      </c>
      <c r="G2283" s="4">
        <v>44763</v>
      </c>
    </row>
    <row r="2284" spans="2:10" x14ac:dyDescent="0.2">
      <c r="G2284" s="4"/>
    </row>
    <row r="2285" spans="2:10" x14ac:dyDescent="0.2">
      <c r="B2285" s="12" t="s">
        <v>1041</v>
      </c>
      <c r="C2285" s="13" t="s">
        <v>969</v>
      </c>
      <c r="D2285" s="13" t="s">
        <v>968</v>
      </c>
      <c r="E2285" s="15"/>
      <c r="F2285" s="15">
        <f>SUM(F2286:F2287)</f>
        <v>23</v>
      </c>
      <c r="G2285" s="14">
        <f>G2286</f>
        <v>44796</v>
      </c>
    </row>
    <row r="2286" spans="2:10" x14ac:dyDescent="0.2">
      <c r="C2286" s="2" t="s">
        <v>1040</v>
      </c>
      <c r="D2286" s="2" t="s">
        <v>832</v>
      </c>
      <c r="E2286" s="3">
        <v>99</v>
      </c>
      <c r="F2286" s="3">
        <v>20</v>
      </c>
      <c r="G2286" s="4">
        <v>44796</v>
      </c>
    </row>
    <row r="2287" spans="2:10" x14ac:dyDescent="0.2">
      <c r="C2287" s="2" t="s">
        <v>5</v>
      </c>
      <c r="D2287" s="2" t="s">
        <v>689</v>
      </c>
      <c r="E2287" s="3">
        <v>29</v>
      </c>
      <c r="F2287" s="3">
        <v>3</v>
      </c>
      <c r="G2287" s="4">
        <v>44783</v>
      </c>
    </row>
    <row r="2288" spans="2:10" x14ac:dyDescent="0.2">
      <c r="G2288" s="4"/>
    </row>
    <row r="2289" spans="2:18" s="12" customFormat="1" x14ac:dyDescent="0.2">
      <c r="B2289" s="12" t="s">
        <v>1033</v>
      </c>
      <c r="C2289" s="13" t="s">
        <v>969</v>
      </c>
      <c r="D2289" s="13" t="s">
        <v>968</v>
      </c>
      <c r="E2289" s="15"/>
      <c r="F2289" s="15">
        <f>SUM(F2290:F2293)</f>
        <v>22.933333333333334</v>
      </c>
      <c r="G2289" s="14">
        <f>G2291</f>
        <v>44851</v>
      </c>
      <c r="M2289" s="13"/>
      <c r="N2289" s="13"/>
      <c r="O2289" s="13"/>
      <c r="P2289" s="13"/>
      <c r="Q2289" s="13"/>
      <c r="R2289" s="13"/>
    </row>
    <row r="2290" spans="2:18" x14ac:dyDescent="0.2">
      <c r="C2290" s="2" t="s">
        <v>5</v>
      </c>
      <c r="D2290" s="2" t="s">
        <v>999</v>
      </c>
      <c r="E2290" s="3">
        <v>25</v>
      </c>
      <c r="F2290" s="3">
        <v>5</v>
      </c>
      <c r="G2290" s="4">
        <v>44699</v>
      </c>
    </row>
    <row r="2291" spans="2:18" x14ac:dyDescent="0.2">
      <c r="C2291" s="2" t="s">
        <v>5</v>
      </c>
      <c r="D2291" s="2" t="s">
        <v>281</v>
      </c>
      <c r="E2291" s="3">
        <v>32</v>
      </c>
      <c r="F2291" s="3">
        <v>11</v>
      </c>
      <c r="G2291" s="4">
        <v>44851</v>
      </c>
    </row>
    <row r="2292" spans="2:18" x14ac:dyDescent="0.2">
      <c r="C2292" s="2" t="s">
        <v>5</v>
      </c>
      <c r="D2292" s="2" t="s">
        <v>281</v>
      </c>
      <c r="E2292" s="3">
        <v>26</v>
      </c>
      <c r="F2292" s="3">
        <v>4.333333333333333</v>
      </c>
      <c r="G2292" s="4">
        <v>44453</v>
      </c>
    </row>
    <row r="2293" spans="2:18" x14ac:dyDescent="0.2">
      <c r="C2293" s="2" t="s">
        <v>4</v>
      </c>
      <c r="D2293" s="2" t="s">
        <v>281</v>
      </c>
      <c r="E2293" s="3">
        <v>6.2</v>
      </c>
      <c r="F2293" s="3">
        <v>2.6</v>
      </c>
      <c r="G2293" s="4">
        <v>44201</v>
      </c>
    </row>
    <row r="2294" spans="2:18" x14ac:dyDescent="0.2">
      <c r="G2294" s="4"/>
    </row>
    <row r="2295" spans="2:18" s="12" customFormat="1" x14ac:dyDescent="0.2">
      <c r="B2295" s="12" t="s">
        <v>380</v>
      </c>
      <c r="C2295" s="13" t="s">
        <v>969</v>
      </c>
      <c r="D2295" s="13" t="s">
        <v>968</v>
      </c>
      <c r="E2295" s="15"/>
      <c r="F2295" s="15">
        <f>SUM(F2296:F2299)</f>
        <v>22.785714285714285</v>
      </c>
      <c r="G2295" s="14">
        <f>G2296</f>
        <v>44323</v>
      </c>
    </row>
    <row r="2296" spans="2:18" x14ac:dyDescent="0.2">
      <c r="C2296" s="2" t="s">
        <v>18</v>
      </c>
      <c r="D2296" s="2" t="s">
        <v>374</v>
      </c>
      <c r="E2296" s="3">
        <v>130</v>
      </c>
      <c r="F2296" s="3">
        <f>100/7</f>
        <v>14.285714285714286</v>
      </c>
      <c r="G2296" s="4">
        <v>44323</v>
      </c>
      <c r="M2296" s="1"/>
      <c r="N2296" s="1"/>
      <c r="O2296" s="1"/>
      <c r="P2296" s="1"/>
      <c r="Q2296" s="1"/>
      <c r="R2296" s="1"/>
    </row>
    <row r="2297" spans="2:18" x14ac:dyDescent="0.2">
      <c r="C2297" s="2" t="s">
        <v>7</v>
      </c>
      <c r="D2297" s="2" t="s">
        <v>374</v>
      </c>
      <c r="E2297" s="3">
        <v>44</v>
      </c>
      <c r="F2297" s="3">
        <f>30/6</f>
        <v>5</v>
      </c>
      <c r="G2297" s="4">
        <v>43909</v>
      </c>
      <c r="M2297" s="1"/>
      <c r="N2297" s="1"/>
      <c r="O2297" s="1"/>
      <c r="P2297" s="1"/>
      <c r="Q2297" s="1"/>
      <c r="R2297" s="1"/>
    </row>
    <row r="2298" spans="2:18" x14ac:dyDescent="0.2">
      <c r="C2298" s="2" t="s">
        <v>5</v>
      </c>
      <c r="D2298" s="2" t="s">
        <v>374</v>
      </c>
      <c r="E2298" s="3">
        <v>15</v>
      </c>
      <c r="F2298" s="3">
        <v>3</v>
      </c>
      <c r="G2298" s="4">
        <v>43452</v>
      </c>
      <c r="M2298" s="1"/>
      <c r="N2298" s="1"/>
      <c r="O2298" s="1"/>
      <c r="P2298" s="1"/>
      <c r="Q2298" s="1"/>
      <c r="R2298" s="1"/>
    </row>
    <row r="2299" spans="2:18" x14ac:dyDescent="0.2">
      <c r="C2299" s="2" t="s">
        <v>4</v>
      </c>
      <c r="D2299" s="2" t="s">
        <v>374</v>
      </c>
      <c r="E2299" s="3">
        <v>2.5</v>
      </c>
      <c r="F2299" s="3">
        <v>0.5</v>
      </c>
      <c r="G2299" s="4">
        <v>42936</v>
      </c>
      <c r="M2299" s="1"/>
      <c r="N2299" s="1"/>
      <c r="O2299" s="1"/>
      <c r="P2299" s="1"/>
      <c r="Q2299" s="1"/>
      <c r="R2299" s="1"/>
    </row>
    <row r="2300" spans="2:18" x14ac:dyDescent="0.2">
      <c r="G2300" s="4"/>
      <c r="M2300" s="1"/>
      <c r="N2300" s="1"/>
      <c r="O2300" s="1"/>
      <c r="P2300" s="1"/>
      <c r="Q2300" s="1"/>
      <c r="R2300" s="1"/>
    </row>
    <row r="2301" spans="2:18" s="12" customFormat="1" x14ac:dyDescent="0.2">
      <c r="B2301" s="12" t="s">
        <v>1038</v>
      </c>
      <c r="C2301" s="13" t="s">
        <v>969</v>
      </c>
      <c r="D2301" s="13" t="s">
        <v>968</v>
      </c>
      <c r="E2301" s="15"/>
      <c r="F2301" s="15">
        <f>SUM(F2302:F2306)</f>
        <v>22.633333333333333</v>
      </c>
      <c r="G2301" s="14">
        <f>G2303</f>
        <v>44882</v>
      </c>
      <c r="M2301" s="13"/>
      <c r="N2301" s="13"/>
      <c r="O2301" s="13"/>
      <c r="P2301" s="13"/>
      <c r="Q2301" s="13"/>
      <c r="R2301" s="13"/>
    </row>
    <row r="2302" spans="2:18" x14ac:dyDescent="0.2">
      <c r="C2302" s="2" t="s">
        <v>5</v>
      </c>
      <c r="D2302" s="2" t="s">
        <v>891</v>
      </c>
      <c r="E2302" s="3">
        <v>14</v>
      </c>
      <c r="F2302" s="3">
        <f>9/5</f>
        <v>1.8</v>
      </c>
      <c r="G2302" s="4">
        <v>44131</v>
      </c>
    </row>
    <row r="2303" spans="2:18" x14ac:dyDescent="0.2">
      <c r="C2303" s="2" t="s">
        <v>4</v>
      </c>
      <c r="D2303" s="2" t="s">
        <v>912</v>
      </c>
      <c r="E2303" s="3">
        <v>42</v>
      </c>
      <c r="F2303" s="3">
        <f>22/3</f>
        <v>7.333333333333333</v>
      </c>
      <c r="G2303" s="4">
        <v>44882</v>
      </c>
    </row>
    <row r="2304" spans="2:18" x14ac:dyDescent="0.2">
      <c r="C2304" s="2" t="s">
        <v>5</v>
      </c>
      <c r="D2304" s="2" t="s">
        <v>672</v>
      </c>
      <c r="E2304" s="3">
        <v>14.5</v>
      </c>
      <c r="F2304" s="3">
        <v>2.5</v>
      </c>
      <c r="G2304" s="4">
        <v>44389</v>
      </c>
    </row>
    <row r="2305" spans="2:18" x14ac:dyDescent="0.2">
      <c r="C2305" s="2" t="s">
        <v>18</v>
      </c>
      <c r="D2305" s="2" t="s">
        <v>489</v>
      </c>
      <c r="E2305" s="3">
        <v>67.2</v>
      </c>
      <c r="F2305" s="3">
        <v>10</v>
      </c>
      <c r="G2305" s="4">
        <v>42943</v>
      </c>
    </row>
    <row r="2306" spans="2:18" x14ac:dyDescent="0.2">
      <c r="C2306" s="2" t="s">
        <v>4</v>
      </c>
      <c r="D2306" s="2" t="s">
        <v>128</v>
      </c>
      <c r="E2306" s="3">
        <v>5</v>
      </c>
      <c r="F2306" s="3">
        <v>1</v>
      </c>
      <c r="G2306" s="4">
        <v>44176</v>
      </c>
    </row>
    <row r="2307" spans="2:18" x14ac:dyDescent="0.2">
      <c r="G2307" s="4"/>
    </row>
    <row r="2308" spans="2:18" s="12" customFormat="1" x14ac:dyDescent="0.2">
      <c r="B2308" s="12" t="s">
        <v>362</v>
      </c>
      <c r="C2308" s="13" t="s">
        <v>969</v>
      </c>
      <c r="D2308" s="13" t="s">
        <v>968</v>
      </c>
      <c r="E2308" s="15"/>
      <c r="F2308" s="15">
        <f>SUM(F2309:F2310)</f>
        <v>21.75</v>
      </c>
      <c r="G2308" s="14">
        <f>G2309</f>
        <v>44181</v>
      </c>
    </row>
    <row r="2309" spans="2:18" x14ac:dyDescent="0.2">
      <c r="C2309" s="2" t="s">
        <v>7</v>
      </c>
      <c r="D2309" s="2" t="s">
        <v>360</v>
      </c>
      <c r="E2309" s="3">
        <v>27.5</v>
      </c>
      <c r="F2309" s="3">
        <f>E2309/2</f>
        <v>13.75</v>
      </c>
      <c r="G2309" s="4">
        <v>44181</v>
      </c>
      <c r="M2309" s="1"/>
      <c r="N2309" s="1"/>
      <c r="O2309" s="1"/>
      <c r="P2309" s="1"/>
      <c r="Q2309" s="1"/>
      <c r="R2309" s="1"/>
    </row>
    <row r="2310" spans="2:18" x14ac:dyDescent="0.2">
      <c r="C2310" s="2" t="s">
        <v>5</v>
      </c>
      <c r="D2310" s="2" t="s">
        <v>161</v>
      </c>
      <c r="E2310" s="3">
        <v>102</v>
      </c>
      <c r="F2310" s="3">
        <v>8</v>
      </c>
      <c r="G2310" s="4">
        <v>43292</v>
      </c>
      <c r="J2310" s="1">
        <v>8400</v>
      </c>
      <c r="M2310" s="1"/>
      <c r="N2310" s="1"/>
      <c r="O2310" s="1"/>
      <c r="P2310" s="1"/>
      <c r="Q2310" s="1"/>
      <c r="R2310" s="1"/>
    </row>
    <row r="2311" spans="2:18" x14ac:dyDescent="0.2">
      <c r="G2311" s="4"/>
      <c r="M2311" s="1"/>
      <c r="N2311" s="1"/>
      <c r="O2311" s="1"/>
      <c r="P2311" s="1"/>
      <c r="Q2311" s="1"/>
      <c r="R2311" s="1"/>
    </row>
    <row r="2312" spans="2:18" s="12" customFormat="1" x14ac:dyDescent="0.2">
      <c r="B2312" s="12" t="s">
        <v>947</v>
      </c>
      <c r="C2312" s="13" t="s">
        <v>969</v>
      </c>
      <c r="D2312" s="13" t="s">
        <v>968</v>
      </c>
      <c r="E2312" s="15"/>
      <c r="F2312" s="15">
        <f>SUM(F2313:F2314)</f>
        <v>21.5</v>
      </c>
      <c r="G2312" s="14">
        <f>G2313</f>
        <v>44299</v>
      </c>
      <c r="M2312" s="13"/>
      <c r="N2312" s="13"/>
      <c r="O2312" s="13"/>
      <c r="P2312" s="13"/>
      <c r="Q2312" s="13"/>
      <c r="R2312" s="13"/>
    </row>
    <row r="2313" spans="2:18" x14ac:dyDescent="0.2">
      <c r="C2313" s="2" t="s">
        <v>9</v>
      </c>
      <c r="D2313" s="2" t="s">
        <v>803</v>
      </c>
      <c r="E2313" s="3">
        <v>325</v>
      </c>
      <c r="F2313" s="3">
        <v>18.5</v>
      </c>
      <c r="G2313" s="4">
        <v>44299</v>
      </c>
    </row>
    <row r="2314" spans="2:18" x14ac:dyDescent="0.2">
      <c r="C2314" s="52" t="s">
        <v>7</v>
      </c>
      <c r="D2314" s="52" t="s">
        <v>2119</v>
      </c>
      <c r="E2314" s="3">
        <v>40</v>
      </c>
      <c r="F2314" s="3">
        <v>3</v>
      </c>
      <c r="G2314" s="4">
        <v>43720</v>
      </c>
      <c r="J2314" s="1">
        <v>3400</v>
      </c>
    </row>
    <row r="2315" spans="2:18" x14ac:dyDescent="0.2">
      <c r="G2315" s="4"/>
    </row>
    <row r="2316" spans="2:18" s="12" customFormat="1" x14ac:dyDescent="0.2">
      <c r="B2316" s="12" t="s">
        <v>378</v>
      </c>
      <c r="C2316" s="13" t="s">
        <v>969</v>
      </c>
      <c r="D2316" s="13" t="s">
        <v>968</v>
      </c>
      <c r="E2316" s="15"/>
      <c r="F2316" s="15">
        <f>SUM(F2317:F2319)</f>
        <v>22.285714285714285</v>
      </c>
      <c r="G2316" s="14">
        <f>G2317</f>
        <v>44323</v>
      </c>
    </row>
    <row r="2317" spans="2:18" x14ac:dyDescent="0.2">
      <c r="C2317" s="2" t="s">
        <v>18</v>
      </c>
      <c r="D2317" s="2" t="s">
        <v>374</v>
      </c>
      <c r="E2317" s="3">
        <v>130</v>
      </c>
      <c r="F2317" s="3">
        <f>100/7</f>
        <v>14.285714285714286</v>
      </c>
      <c r="G2317" s="4">
        <v>44323</v>
      </c>
      <c r="M2317" s="1"/>
      <c r="N2317" s="1"/>
      <c r="O2317" s="1"/>
      <c r="P2317" s="1"/>
      <c r="Q2317" s="1"/>
      <c r="R2317" s="1"/>
    </row>
    <row r="2318" spans="2:18" x14ac:dyDescent="0.2">
      <c r="C2318" s="2" t="s">
        <v>7</v>
      </c>
      <c r="D2318" s="2" t="s">
        <v>374</v>
      </c>
      <c r="E2318" s="3">
        <v>44</v>
      </c>
      <c r="F2318" s="3">
        <f>30/6</f>
        <v>5</v>
      </c>
      <c r="G2318" s="4">
        <v>43909</v>
      </c>
      <c r="M2318" s="1"/>
      <c r="N2318" s="1"/>
      <c r="O2318" s="1"/>
      <c r="P2318" s="1"/>
      <c r="Q2318" s="1"/>
      <c r="R2318" s="1"/>
    </row>
    <row r="2319" spans="2:18" x14ac:dyDescent="0.2">
      <c r="C2319" s="2" t="s">
        <v>5</v>
      </c>
      <c r="D2319" s="2" t="s">
        <v>374</v>
      </c>
      <c r="E2319" s="3">
        <v>15</v>
      </c>
      <c r="F2319" s="3">
        <v>3</v>
      </c>
      <c r="G2319" s="4">
        <v>43452</v>
      </c>
      <c r="M2319" s="1"/>
      <c r="N2319" s="1"/>
      <c r="O2319" s="1"/>
      <c r="P2319" s="1"/>
      <c r="Q2319" s="1"/>
      <c r="R2319" s="1"/>
    </row>
    <row r="2320" spans="2:18" x14ac:dyDescent="0.2">
      <c r="G2320" s="4"/>
      <c r="M2320" s="1"/>
      <c r="N2320" s="1"/>
      <c r="O2320" s="1"/>
      <c r="P2320" s="1"/>
      <c r="Q2320" s="1"/>
      <c r="R2320" s="1"/>
    </row>
    <row r="2321" spans="2:18" s="12" customFormat="1" x14ac:dyDescent="0.2">
      <c r="B2321" s="12" t="s">
        <v>133</v>
      </c>
      <c r="C2321" s="13" t="s">
        <v>969</v>
      </c>
      <c r="D2321" s="13" t="s">
        <v>968</v>
      </c>
      <c r="E2321" s="15"/>
      <c r="F2321" s="15">
        <f>SUM(F2322:F2324)</f>
        <v>21.3</v>
      </c>
      <c r="G2321" s="14">
        <f>G2323</f>
        <v>44320</v>
      </c>
      <c r="M2321" s="13"/>
      <c r="N2321" s="13"/>
      <c r="O2321" s="13"/>
      <c r="P2321" s="13"/>
      <c r="Q2321" s="13"/>
      <c r="R2321" s="13"/>
    </row>
    <row r="2322" spans="2:18" x14ac:dyDescent="0.2">
      <c r="C2322" s="2" t="s">
        <v>18</v>
      </c>
      <c r="D2322" s="2" t="s">
        <v>131</v>
      </c>
      <c r="E2322" s="3">
        <v>31.7</v>
      </c>
      <c r="F2322" s="3">
        <f>18/4</f>
        <v>4.5</v>
      </c>
      <c r="G2322" s="4">
        <v>43599</v>
      </c>
    </row>
    <row r="2323" spans="2:18" x14ac:dyDescent="0.2">
      <c r="C2323" s="52" t="s">
        <v>8</v>
      </c>
      <c r="D2323" s="52" t="s">
        <v>4897</v>
      </c>
      <c r="E2323" s="3">
        <v>83</v>
      </c>
      <c r="F2323" s="3">
        <v>6.8</v>
      </c>
      <c r="G2323" s="4">
        <v>44320</v>
      </c>
      <c r="I2323" s="1">
        <v>3600</v>
      </c>
      <c r="J2323" s="1">
        <v>3600</v>
      </c>
    </row>
    <row r="2324" spans="2:18" x14ac:dyDescent="0.2">
      <c r="C2324" s="52" t="s">
        <v>18</v>
      </c>
      <c r="D2324" s="52" t="s">
        <v>4897</v>
      </c>
      <c r="E2324" s="3">
        <v>100</v>
      </c>
      <c r="F2324" s="3">
        <v>10</v>
      </c>
      <c r="G2324" s="4">
        <v>43937</v>
      </c>
      <c r="I2324" s="1">
        <v>1100</v>
      </c>
      <c r="J2324" s="1">
        <v>3600</v>
      </c>
    </row>
    <row r="2325" spans="2:18" x14ac:dyDescent="0.2">
      <c r="G2325" s="4"/>
    </row>
    <row r="2326" spans="2:18" s="12" customFormat="1" x14ac:dyDescent="0.2">
      <c r="B2326" s="36" t="s">
        <v>402</v>
      </c>
      <c r="C2326" s="13" t="s">
        <v>969</v>
      </c>
      <c r="D2326" s="13" t="s">
        <v>968</v>
      </c>
      <c r="E2326" s="15"/>
      <c r="F2326" s="15">
        <f>SUM(F2327:F2329)</f>
        <v>20.666666666666668</v>
      </c>
      <c r="G2326" s="14">
        <f>G2327</f>
        <v>44860</v>
      </c>
      <c r="I2326" s="46"/>
    </row>
    <row r="2327" spans="2:18" x14ac:dyDescent="0.2">
      <c r="B2327" s="7"/>
      <c r="C2327" s="2" t="s">
        <v>7</v>
      </c>
      <c r="D2327" s="2" t="s">
        <v>398</v>
      </c>
      <c r="E2327" s="3">
        <v>37</v>
      </c>
      <c r="F2327" s="3">
        <v>4</v>
      </c>
      <c r="G2327" s="4">
        <v>44860</v>
      </c>
      <c r="M2327" s="1"/>
      <c r="N2327" s="1"/>
      <c r="O2327" s="1"/>
      <c r="P2327" s="1"/>
      <c r="Q2327" s="1"/>
      <c r="R2327" s="1"/>
    </row>
    <row r="2328" spans="2:18" x14ac:dyDescent="0.2">
      <c r="B2328" s="7"/>
      <c r="C2328" s="2" t="s">
        <v>7</v>
      </c>
      <c r="D2328" s="2" t="s">
        <v>398</v>
      </c>
      <c r="E2328" s="3">
        <v>80</v>
      </c>
      <c r="F2328" s="3">
        <v>10</v>
      </c>
      <c r="G2328" s="4">
        <v>44327</v>
      </c>
      <c r="M2328" s="1"/>
      <c r="N2328" s="1"/>
      <c r="O2328" s="1"/>
      <c r="P2328" s="1"/>
      <c r="Q2328" s="1"/>
      <c r="R2328" s="1"/>
    </row>
    <row r="2329" spans="2:18" x14ac:dyDescent="0.2">
      <c r="B2329" s="7"/>
      <c r="C2329" s="2" t="s">
        <v>5</v>
      </c>
      <c r="D2329" s="2" t="s">
        <v>398</v>
      </c>
      <c r="E2329" s="3">
        <v>30</v>
      </c>
      <c r="F2329" s="3">
        <v>6.666666666666667</v>
      </c>
      <c r="G2329" s="4">
        <v>43963</v>
      </c>
      <c r="M2329" s="1"/>
      <c r="N2329" s="1"/>
      <c r="O2329" s="1"/>
      <c r="P2329" s="1"/>
      <c r="Q2329" s="1"/>
      <c r="R2329" s="1"/>
    </row>
    <row r="2330" spans="2:18" x14ac:dyDescent="0.2">
      <c r="B2330" s="7"/>
      <c r="G2330" s="4"/>
      <c r="M2330" s="1"/>
      <c r="N2330" s="1"/>
      <c r="O2330" s="1"/>
      <c r="P2330" s="1"/>
      <c r="Q2330" s="1"/>
      <c r="R2330" s="1"/>
    </row>
    <row r="2331" spans="2:18" s="12" customFormat="1" x14ac:dyDescent="0.2">
      <c r="B2331" s="12" t="s">
        <v>1034</v>
      </c>
      <c r="C2331" s="13" t="s">
        <v>969</v>
      </c>
      <c r="D2331" s="13" t="s">
        <v>968</v>
      </c>
      <c r="E2331" s="15"/>
      <c r="F2331" s="15">
        <f>SUM(F2332:F2334)</f>
        <v>21.2</v>
      </c>
      <c r="G2331" s="14">
        <f>G2334</f>
        <v>44880</v>
      </c>
    </row>
    <row r="2332" spans="2:18" x14ac:dyDescent="0.2">
      <c r="C2332" s="2" t="s">
        <v>9</v>
      </c>
      <c r="D2332" s="2" t="s">
        <v>606</v>
      </c>
      <c r="E2332" s="3">
        <v>132</v>
      </c>
      <c r="F2332" s="3">
        <f>72/10</f>
        <v>7.2</v>
      </c>
      <c r="G2332" s="4">
        <v>44215</v>
      </c>
      <c r="M2332" s="1"/>
      <c r="N2332" s="1"/>
      <c r="O2332" s="1"/>
      <c r="P2332" s="1"/>
      <c r="Q2332" s="1"/>
      <c r="R2332" s="1"/>
    </row>
    <row r="2333" spans="2:18" x14ac:dyDescent="0.2">
      <c r="C2333" s="2" t="s">
        <v>8</v>
      </c>
      <c r="D2333" s="2" t="s">
        <v>606</v>
      </c>
      <c r="E2333" s="3">
        <v>42</v>
      </c>
      <c r="F2333" s="3">
        <f>30/5</f>
        <v>6</v>
      </c>
      <c r="G2333" s="4">
        <v>44153</v>
      </c>
      <c r="M2333" s="1"/>
      <c r="N2333" s="1"/>
      <c r="O2333" s="1"/>
      <c r="P2333" s="1"/>
      <c r="Q2333" s="1"/>
      <c r="R2333" s="1"/>
    </row>
    <row r="2334" spans="2:18" x14ac:dyDescent="0.2">
      <c r="C2334" s="2" t="s">
        <v>8</v>
      </c>
      <c r="D2334" s="2" t="s">
        <v>131</v>
      </c>
      <c r="E2334" s="3">
        <v>135</v>
      </c>
      <c r="F2334" s="3">
        <v>8</v>
      </c>
      <c r="G2334" s="4">
        <v>44880</v>
      </c>
      <c r="I2334" s="1">
        <v>615</v>
      </c>
      <c r="M2334" s="1"/>
      <c r="N2334" s="1"/>
      <c r="O2334" s="1"/>
      <c r="P2334" s="1"/>
      <c r="Q2334" s="1"/>
      <c r="R2334" s="1"/>
    </row>
    <row r="2335" spans="2:18" x14ac:dyDescent="0.2">
      <c r="G2335" s="4"/>
      <c r="M2335" s="1"/>
      <c r="N2335" s="1"/>
      <c r="O2335" s="1"/>
      <c r="P2335" s="1"/>
      <c r="Q2335" s="1"/>
      <c r="R2335" s="1"/>
    </row>
    <row r="2336" spans="2:18" s="12" customFormat="1" x14ac:dyDescent="0.2">
      <c r="B2336" s="12" t="s">
        <v>12</v>
      </c>
      <c r="C2336" s="13" t="s">
        <v>969</v>
      </c>
      <c r="D2336" s="13" t="s">
        <v>968</v>
      </c>
      <c r="E2336" s="15"/>
      <c r="F2336" s="15">
        <f>SUM(F2337:F2343)</f>
        <v>21.166666666666668</v>
      </c>
      <c r="G2336" s="14">
        <f>G2337</f>
        <v>44721</v>
      </c>
      <c r="M2336" s="13"/>
      <c r="N2336" s="13"/>
      <c r="O2336" s="13"/>
      <c r="P2336" s="13"/>
      <c r="Q2336" s="13"/>
      <c r="R2336" s="13"/>
    </row>
    <row r="2337" spans="2:18" x14ac:dyDescent="0.2">
      <c r="C2337" s="2" t="s">
        <v>9</v>
      </c>
      <c r="D2337" s="2" t="s">
        <v>3</v>
      </c>
      <c r="E2337" s="3">
        <v>90</v>
      </c>
      <c r="F2337" s="3">
        <v>10</v>
      </c>
      <c r="G2337" s="4">
        <v>44721</v>
      </c>
      <c r="I2337" s="1">
        <v>2200</v>
      </c>
      <c r="J2337" s="1">
        <v>2200</v>
      </c>
    </row>
    <row r="2338" spans="2:18" x14ac:dyDescent="0.2">
      <c r="C2338" s="2" t="s">
        <v>7</v>
      </c>
      <c r="D2338" s="2" t="s">
        <v>3</v>
      </c>
      <c r="E2338" s="3">
        <v>25</v>
      </c>
      <c r="F2338" s="3">
        <v>3.75</v>
      </c>
      <c r="G2338" s="4">
        <v>43697</v>
      </c>
      <c r="J2338" s="1">
        <v>2200</v>
      </c>
    </row>
    <row r="2339" spans="2:18" x14ac:dyDescent="0.2">
      <c r="C2339" s="2" t="s">
        <v>5</v>
      </c>
      <c r="D2339" s="2" t="s">
        <v>3</v>
      </c>
      <c r="E2339" s="3">
        <v>10</v>
      </c>
      <c r="F2339" s="3">
        <v>2.5</v>
      </c>
      <c r="G2339" s="4">
        <v>43456</v>
      </c>
      <c r="J2339" s="1">
        <v>2200</v>
      </c>
    </row>
    <row r="2340" spans="2:18" x14ac:dyDescent="0.2">
      <c r="C2340" s="2" t="s">
        <v>5</v>
      </c>
      <c r="D2340" s="2" t="s">
        <v>3</v>
      </c>
      <c r="E2340" s="3">
        <v>10.5</v>
      </c>
      <c r="F2340" s="3">
        <v>2</v>
      </c>
      <c r="G2340" s="4">
        <v>42828</v>
      </c>
      <c r="J2340" s="1">
        <v>2200</v>
      </c>
    </row>
    <row r="2341" spans="2:18" x14ac:dyDescent="0.2">
      <c r="C2341" s="2" t="s">
        <v>4</v>
      </c>
      <c r="D2341" s="2" t="s">
        <v>3</v>
      </c>
      <c r="E2341" s="3">
        <v>2</v>
      </c>
      <c r="F2341" s="3">
        <f>+E2341/3</f>
        <v>0.66666666666666663</v>
      </c>
      <c r="G2341" s="4">
        <v>42521</v>
      </c>
      <c r="J2341" s="1">
        <v>2200</v>
      </c>
    </row>
    <row r="2342" spans="2:18" x14ac:dyDescent="0.2">
      <c r="C2342" s="161" t="s">
        <v>5</v>
      </c>
      <c r="D2342" s="161" t="s">
        <v>2044</v>
      </c>
      <c r="E2342" s="3">
        <v>15</v>
      </c>
      <c r="F2342" s="3">
        <v>2</v>
      </c>
      <c r="G2342" s="4">
        <v>44174</v>
      </c>
    </row>
    <row r="2343" spans="2:18" x14ac:dyDescent="0.2">
      <c r="C2343" s="253" t="s">
        <v>278</v>
      </c>
      <c r="D2343" s="253" t="s">
        <v>2007</v>
      </c>
      <c r="E2343" s="3">
        <v>2</v>
      </c>
      <c r="F2343" s="3">
        <f>1/4</f>
        <v>0.25</v>
      </c>
      <c r="G2343" s="4">
        <v>44181</v>
      </c>
    </row>
    <row r="2344" spans="2:18" x14ac:dyDescent="0.2">
      <c r="G2344" s="4"/>
    </row>
    <row r="2345" spans="2:18" s="12" customFormat="1" x14ac:dyDescent="0.2">
      <c r="B2345" s="12" t="s">
        <v>655</v>
      </c>
      <c r="C2345" s="13" t="s">
        <v>969</v>
      </c>
      <c r="D2345" s="13" t="s">
        <v>968</v>
      </c>
      <c r="E2345" s="15"/>
      <c r="F2345" s="15">
        <f>SUM(F2346:F2349)</f>
        <v>21</v>
      </c>
      <c r="G2345" s="14">
        <f>G2346</f>
        <v>44601</v>
      </c>
      <c r="I2345" s="12" t="s">
        <v>6737</v>
      </c>
      <c r="M2345" s="13"/>
      <c r="N2345" s="13"/>
      <c r="O2345" s="13"/>
      <c r="P2345" s="13"/>
      <c r="Q2345" s="13"/>
      <c r="R2345" s="13"/>
    </row>
    <row r="2346" spans="2:18" x14ac:dyDescent="0.2">
      <c r="C2346" s="2" t="s">
        <v>4</v>
      </c>
      <c r="D2346" s="2" t="s">
        <v>654</v>
      </c>
      <c r="E2346" s="3">
        <v>12.8</v>
      </c>
      <c r="F2346" s="3">
        <v>2</v>
      </c>
      <c r="G2346" s="4">
        <v>44601</v>
      </c>
      <c r="M2346" s="1"/>
      <c r="N2346" s="1"/>
      <c r="O2346" s="1"/>
      <c r="P2346" s="1"/>
      <c r="Q2346" s="1"/>
      <c r="R2346" s="1"/>
    </row>
    <row r="2347" spans="2:18" x14ac:dyDescent="0.2">
      <c r="C2347" s="2" t="s">
        <v>8</v>
      </c>
      <c r="D2347" s="2" t="s">
        <v>489</v>
      </c>
      <c r="E2347" s="3">
        <v>100</v>
      </c>
      <c r="F2347" s="3">
        <v>15</v>
      </c>
      <c r="G2347" s="4">
        <v>43397</v>
      </c>
      <c r="M2347" s="1"/>
      <c r="N2347" s="1"/>
      <c r="O2347" s="1"/>
      <c r="P2347" s="1"/>
      <c r="Q2347" s="1"/>
      <c r="R2347" s="1"/>
    </row>
    <row r="2348" spans="2:18" x14ac:dyDescent="0.2">
      <c r="C2348" s="185" t="s">
        <v>5</v>
      </c>
      <c r="D2348" s="185" t="s">
        <v>2030</v>
      </c>
      <c r="E2348" s="3">
        <v>21</v>
      </c>
      <c r="F2348" s="3">
        <v>3</v>
      </c>
      <c r="G2348" s="4">
        <v>44334</v>
      </c>
      <c r="M2348" s="1"/>
      <c r="N2348" s="1"/>
      <c r="O2348" s="1"/>
      <c r="P2348" s="1"/>
      <c r="Q2348" s="1"/>
      <c r="R2348" s="1"/>
    </row>
    <row r="2349" spans="2:18" x14ac:dyDescent="0.2">
      <c r="C2349" s="185" t="s">
        <v>4</v>
      </c>
      <c r="D2349" s="185" t="s">
        <v>2030</v>
      </c>
      <c r="E2349" s="3">
        <v>5</v>
      </c>
      <c r="F2349" s="3">
        <v>1</v>
      </c>
      <c r="G2349" s="4">
        <v>44105</v>
      </c>
      <c r="M2349" s="1"/>
      <c r="N2349" s="1"/>
      <c r="O2349" s="1"/>
      <c r="P2349" s="1"/>
      <c r="Q2349" s="1"/>
      <c r="R2349" s="1"/>
    </row>
    <row r="2350" spans="2:18" x14ac:dyDescent="0.2">
      <c r="G2350" s="4"/>
      <c r="M2350" s="1"/>
      <c r="N2350" s="1"/>
      <c r="O2350" s="1"/>
      <c r="P2350" s="1"/>
      <c r="Q2350" s="1"/>
      <c r="R2350" s="1"/>
    </row>
    <row r="2351" spans="2:18" s="12" customFormat="1" x14ac:dyDescent="0.2">
      <c r="B2351" s="12" t="s">
        <v>876</v>
      </c>
      <c r="C2351" s="13" t="s">
        <v>969</v>
      </c>
      <c r="D2351" s="13" t="s">
        <v>968</v>
      </c>
      <c r="E2351" s="15"/>
      <c r="F2351" s="15">
        <f>SUM(F2352:F2355)</f>
        <v>42.333333333333336</v>
      </c>
      <c r="G2351" s="14">
        <f>G2352</f>
        <v>44825</v>
      </c>
      <c r="M2351" s="13"/>
      <c r="N2351" s="13"/>
      <c r="O2351" s="13"/>
      <c r="P2351" s="13"/>
      <c r="Q2351" s="13"/>
      <c r="R2351" s="13"/>
    </row>
    <row r="2352" spans="2:18" x14ac:dyDescent="0.2">
      <c r="C2352" s="2" t="s">
        <v>5</v>
      </c>
      <c r="D2352" s="2" t="s">
        <v>644</v>
      </c>
      <c r="E2352" s="3">
        <v>12.5</v>
      </c>
      <c r="F2352" s="3">
        <f>E2352/3</f>
        <v>4.166666666666667</v>
      </c>
      <c r="G2352" s="4">
        <v>44825</v>
      </c>
    </row>
    <row r="2353" spans="2:18" x14ac:dyDescent="0.2">
      <c r="C2353" s="93" t="s">
        <v>7</v>
      </c>
      <c r="D2353" s="93" t="s">
        <v>2104</v>
      </c>
      <c r="E2353" s="3">
        <v>56</v>
      </c>
      <c r="F2353" s="3">
        <v>8</v>
      </c>
      <c r="G2353" s="4">
        <v>44319</v>
      </c>
    </row>
    <row r="2354" spans="2:18" x14ac:dyDescent="0.2">
      <c r="C2354" s="93" t="s">
        <v>5</v>
      </c>
      <c r="D2354" s="93" t="s">
        <v>2104</v>
      </c>
      <c r="E2354" s="3">
        <v>12.5</v>
      </c>
      <c r="F2354" s="3">
        <v>7.5</v>
      </c>
      <c r="G2354" s="4">
        <v>43453</v>
      </c>
    </row>
    <row r="2355" spans="2:18" x14ac:dyDescent="0.2">
      <c r="C2355" s="282" t="s">
        <v>9</v>
      </c>
      <c r="D2355" s="282" t="s">
        <v>4897</v>
      </c>
      <c r="E2355" s="3">
        <v>118</v>
      </c>
      <c r="F2355" s="3">
        <f>68/3</f>
        <v>22.666666666666668</v>
      </c>
      <c r="G2355" s="4">
        <v>45265</v>
      </c>
    </row>
    <row r="2356" spans="2:18" x14ac:dyDescent="0.2">
      <c r="G2356" s="4"/>
    </row>
    <row r="2357" spans="2:18" s="12" customFormat="1" x14ac:dyDescent="0.2">
      <c r="B2357" s="12" t="s">
        <v>397</v>
      </c>
      <c r="C2357" s="13" t="s">
        <v>969</v>
      </c>
      <c r="D2357" s="13" t="s">
        <v>968</v>
      </c>
      <c r="E2357" s="15"/>
      <c r="F2357" s="15">
        <f>SUM(F2358:F2359)</f>
        <v>20</v>
      </c>
      <c r="G2357" s="14">
        <f>G2358</f>
        <v>44286</v>
      </c>
    </row>
    <row r="2358" spans="2:18" x14ac:dyDescent="0.2">
      <c r="C2358" s="2" t="s">
        <v>8</v>
      </c>
      <c r="D2358" s="2" t="s">
        <v>386</v>
      </c>
      <c r="E2358" s="3">
        <v>140</v>
      </c>
      <c r="F2358" s="3">
        <v>10</v>
      </c>
      <c r="G2358" s="4">
        <v>44286</v>
      </c>
      <c r="M2358" s="1"/>
      <c r="N2358" s="1"/>
      <c r="O2358" s="1"/>
      <c r="P2358" s="1"/>
      <c r="Q2358" s="1"/>
      <c r="R2358" s="1"/>
    </row>
    <row r="2359" spans="2:18" x14ac:dyDescent="0.2">
      <c r="C2359" s="2" t="s">
        <v>18</v>
      </c>
      <c r="D2359" s="2" t="s">
        <v>386</v>
      </c>
      <c r="E2359" s="3">
        <v>110</v>
      </c>
      <c r="F2359" s="3">
        <v>10</v>
      </c>
      <c r="G2359" s="4">
        <v>43690</v>
      </c>
      <c r="M2359" s="1"/>
      <c r="N2359" s="1"/>
      <c r="O2359" s="1"/>
      <c r="P2359" s="1"/>
      <c r="Q2359" s="1"/>
      <c r="R2359" s="1"/>
    </row>
    <row r="2360" spans="2:18" x14ac:dyDescent="0.2">
      <c r="G2360" s="4"/>
      <c r="M2360" s="1"/>
      <c r="N2360" s="1"/>
      <c r="O2360" s="1"/>
      <c r="P2360" s="1"/>
      <c r="Q2360" s="1"/>
      <c r="R2360" s="1"/>
    </row>
    <row r="2361" spans="2:18" s="12" customFormat="1" x14ac:dyDescent="0.2">
      <c r="B2361" s="12" t="s">
        <v>941</v>
      </c>
      <c r="C2361" s="13" t="s">
        <v>969</v>
      </c>
      <c r="D2361" s="13" t="s">
        <v>968</v>
      </c>
      <c r="E2361" s="15"/>
      <c r="F2361" s="15">
        <f>SUM(F2362:F2363)</f>
        <v>20.166666666666668</v>
      </c>
      <c r="G2361" s="14">
        <f>G2362</f>
        <v>44056</v>
      </c>
      <c r="M2361" s="13"/>
      <c r="N2361" s="13"/>
      <c r="O2361" s="13"/>
      <c r="P2361" s="13"/>
      <c r="Q2361" s="13"/>
      <c r="R2361" s="13"/>
    </row>
    <row r="2362" spans="2:18" x14ac:dyDescent="0.2">
      <c r="C2362" s="2" t="s">
        <v>7</v>
      </c>
      <c r="D2362" s="2" t="s">
        <v>430</v>
      </c>
      <c r="E2362" s="3">
        <v>13</v>
      </c>
      <c r="F2362" s="3">
        <v>13</v>
      </c>
      <c r="G2362" s="4">
        <v>44056</v>
      </c>
    </row>
    <row r="2363" spans="2:18" x14ac:dyDescent="0.2">
      <c r="C2363" s="2" t="s">
        <v>5</v>
      </c>
      <c r="D2363" s="2" t="s">
        <v>80</v>
      </c>
      <c r="E2363" s="3">
        <v>43</v>
      </c>
      <c r="F2363" s="3">
        <f>+E2363/6</f>
        <v>7.166666666666667</v>
      </c>
      <c r="G2363" s="4">
        <v>43622</v>
      </c>
    </row>
    <row r="2364" spans="2:18" x14ac:dyDescent="0.2">
      <c r="G2364" s="4"/>
    </row>
    <row r="2365" spans="2:18" s="12" customFormat="1" x14ac:dyDescent="0.2">
      <c r="B2365" s="12" t="s">
        <v>561</v>
      </c>
      <c r="C2365" s="13" t="s">
        <v>969</v>
      </c>
      <c r="D2365" s="13" t="s">
        <v>968</v>
      </c>
      <c r="E2365" s="15"/>
      <c r="F2365" s="15">
        <f>SUM(F2366:F2367)</f>
        <v>20</v>
      </c>
      <c r="G2365" s="14">
        <f>G2367</f>
        <v>44831</v>
      </c>
    </row>
    <row r="2366" spans="2:18" x14ac:dyDescent="0.2">
      <c r="C2366" s="2" t="s">
        <v>5</v>
      </c>
      <c r="D2366" s="2" t="s">
        <v>559</v>
      </c>
      <c r="E2366" s="3">
        <v>20</v>
      </c>
      <c r="F2366" s="3">
        <v>10</v>
      </c>
      <c r="G2366" s="4">
        <v>44671</v>
      </c>
      <c r="M2366" s="1"/>
      <c r="N2366" s="1"/>
      <c r="O2366" s="1"/>
      <c r="P2366" s="1"/>
      <c r="Q2366" s="1"/>
      <c r="R2366" s="1"/>
    </row>
    <row r="2367" spans="2:18" x14ac:dyDescent="0.2">
      <c r="C2367" s="161" t="s">
        <v>7</v>
      </c>
      <c r="D2367" s="161" t="s">
        <v>2044</v>
      </c>
      <c r="E2367" s="3">
        <v>42</v>
      </c>
      <c r="F2367" s="3">
        <v>10</v>
      </c>
      <c r="G2367" s="4">
        <v>44831</v>
      </c>
      <c r="M2367" s="1"/>
      <c r="N2367" s="1"/>
      <c r="O2367" s="1"/>
      <c r="P2367" s="1"/>
      <c r="Q2367" s="1"/>
      <c r="R2367" s="1"/>
    </row>
    <row r="2368" spans="2:18" x14ac:dyDescent="0.2">
      <c r="G2368" s="4"/>
      <c r="M2368" s="1"/>
      <c r="N2368" s="1"/>
      <c r="O2368" s="1"/>
      <c r="P2368" s="1"/>
      <c r="Q2368" s="1"/>
      <c r="R2368" s="1"/>
    </row>
    <row r="2369" spans="2:18" s="12" customFormat="1" x14ac:dyDescent="0.2">
      <c r="B2369" s="12" t="s">
        <v>4401</v>
      </c>
      <c r="C2369" s="13" t="s">
        <v>969</v>
      </c>
      <c r="D2369" s="13" t="s">
        <v>968</v>
      </c>
      <c r="E2369" s="15"/>
      <c r="F2369" s="15">
        <f>SUM(F2370:F2373)</f>
        <v>20</v>
      </c>
      <c r="G2369" s="14">
        <f>G2370</f>
        <v>44578</v>
      </c>
      <c r="M2369" s="13"/>
      <c r="N2369" s="13"/>
      <c r="O2369" s="13"/>
      <c r="P2369" s="13"/>
      <c r="Q2369" s="13"/>
      <c r="R2369" s="13"/>
    </row>
    <row r="2370" spans="2:18" x14ac:dyDescent="0.2">
      <c r="C2370" s="2" t="s">
        <v>7</v>
      </c>
      <c r="D2370" s="2" t="s">
        <v>2132</v>
      </c>
      <c r="E2370" s="3">
        <f>176</f>
        <v>176</v>
      </c>
      <c r="F2370" s="3">
        <f>150/12</f>
        <v>12.5</v>
      </c>
      <c r="G2370" s="4">
        <v>44578</v>
      </c>
    </row>
    <row r="2371" spans="2:18" x14ac:dyDescent="0.2">
      <c r="C2371" s="2" t="s">
        <v>5</v>
      </c>
      <c r="D2371" s="2" t="s">
        <v>2132</v>
      </c>
      <c r="E2371" s="3">
        <v>20</v>
      </c>
      <c r="F2371" s="3">
        <f>15/6</f>
        <v>2.5</v>
      </c>
      <c r="G2371" s="4">
        <v>44044</v>
      </c>
    </row>
    <row r="2372" spans="2:18" x14ac:dyDescent="0.2">
      <c r="C2372" s="2" t="s">
        <v>5</v>
      </c>
      <c r="D2372" s="2" t="s">
        <v>2132</v>
      </c>
      <c r="E2372" s="3">
        <v>20</v>
      </c>
      <c r="F2372" s="3">
        <f>12/4</f>
        <v>3</v>
      </c>
      <c r="G2372" s="4">
        <v>43647</v>
      </c>
    </row>
    <row r="2373" spans="2:18" x14ac:dyDescent="0.2">
      <c r="C2373" s="93" t="s">
        <v>5</v>
      </c>
      <c r="D2373" s="93" t="s">
        <v>6010</v>
      </c>
      <c r="E2373" s="3">
        <v>12</v>
      </c>
      <c r="F2373" s="3">
        <v>2</v>
      </c>
      <c r="G2373" s="4">
        <v>43941</v>
      </c>
    </row>
    <row r="2374" spans="2:18" x14ac:dyDescent="0.2">
      <c r="G2374" s="4"/>
    </row>
    <row r="2375" spans="2:18" s="12" customFormat="1" x14ac:dyDescent="0.2">
      <c r="B2375" s="12" t="s">
        <v>616</v>
      </c>
      <c r="C2375" s="13" t="s">
        <v>969</v>
      </c>
      <c r="D2375" s="13" t="s">
        <v>968</v>
      </c>
      <c r="E2375" s="15"/>
      <c r="F2375" s="15">
        <f>SUM(F2376:F2380)</f>
        <v>25.755555555555556</v>
      </c>
      <c r="G2375" s="14">
        <f>+G2377</f>
        <v>45124</v>
      </c>
    </row>
    <row r="2376" spans="2:18" x14ac:dyDescent="0.2">
      <c r="C2376" s="2" t="s">
        <v>9</v>
      </c>
      <c r="D2376" s="2" t="s">
        <v>606</v>
      </c>
      <c r="E2376" s="3">
        <v>132</v>
      </c>
      <c r="F2376" s="3">
        <f>72/10</f>
        <v>7.2</v>
      </c>
      <c r="G2376" s="4">
        <v>44215</v>
      </c>
      <c r="I2376" s="1">
        <v>1400</v>
      </c>
      <c r="J2376" s="1">
        <v>1200</v>
      </c>
      <c r="M2376" s="1"/>
      <c r="N2376" s="1"/>
      <c r="O2376" s="1"/>
      <c r="P2376" s="1"/>
      <c r="Q2376" s="1"/>
      <c r="R2376" s="1"/>
    </row>
    <row r="2377" spans="2:18" x14ac:dyDescent="0.2">
      <c r="C2377" s="282" t="s">
        <v>7978</v>
      </c>
      <c r="D2377" s="2" t="s">
        <v>606</v>
      </c>
      <c r="E2377" s="3">
        <v>59</v>
      </c>
      <c r="F2377" s="3">
        <f>59/9</f>
        <v>6.5555555555555554</v>
      </c>
      <c r="G2377" s="4">
        <v>45124</v>
      </c>
      <c r="I2377" s="1">
        <v>1200</v>
      </c>
      <c r="J2377" s="1">
        <v>1200</v>
      </c>
      <c r="M2377" s="1"/>
      <c r="N2377" s="1"/>
      <c r="O2377" s="1"/>
      <c r="P2377" s="1"/>
      <c r="Q2377" s="1"/>
      <c r="R2377" s="1"/>
    </row>
    <row r="2378" spans="2:18" x14ac:dyDescent="0.2">
      <c r="C2378" s="2" t="s">
        <v>8</v>
      </c>
      <c r="D2378" s="2" t="s">
        <v>606</v>
      </c>
      <c r="E2378" s="3">
        <v>42</v>
      </c>
      <c r="F2378" s="3">
        <f>30/5</f>
        <v>6</v>
      </c>
      <c r="G2378" s="4">
        <v>44153</v>
      </c>
      <c r="J2378" s="1">
        <v>1200</v>
      </c>
      <c r="M2378" s="1"/>
      <c r="N2378" s="1"/>
      <c r="O2378" s="1"/>
      <c r="P2378" s="1"/>
      <c r="Q2378" s="1"/>
      <c r="R2378" s="1"/>
    </row>
    <row r="2379" spans="2:18" x14ac:dyDescent="0.2">
      <c r="C2379" s="2" t="s">
        <v>18</v>
      </c>
      <c r="D2379" s="2" t="s">
        <v>606</v>
      </c>
      <c r="E2379" s="3">
        <v>48</v>
      </c>
      <c r="F2379" s="3">
        <f>28/7</f>
        <v>4</v>
      </c>
      <c r="G2379" s="4">
        <v>43888</v>
      </c>
      <c r="J2379" s="1">
        <v>1200</v>
      </c>
      <c r="M2379" s="1"/>
      <c r="N2379" s="1"/>
      <c r="O2379" s="1"/>
      <c r="P2379" s="1"/>
      <c r="Q2379" s="1"/>
      <c r="R2379" s="1"/>
    </row>
    <row r="2380" spans="2:18" x14ac:dyDescent="0.2">
      <c r="C2380" s="2" t="s">
        <v>7</v>
      </c>
      <c r="D2380" s="2" t="s">
        <v>606</v>
      </c>
      <c r="E2380" s="3">
        <v>25</v>
      </c>
      <c r="F2380" s="3">
        <f>10/5</f>
        <v>2</v>
      </c>
      <c r="G2380" s="4">
        <v>43440</v>
      </c>
      <c r="J2380" s="1">
        <v>1200</v>
      </c>
      <c r="M2380" s="1"/>
      <c r="N2380" s="1"/>
      <c r="O2380" s="1"/>
      <c r="P2380" s="1"/>
      <c r="Q2380" s="1"/>
      <c r="R2380" s="1"/>
    </row>
    <row r="2381" spans="2:18" x14ac:dyDescent="0.2">
      <c r="G2381" s="4"/>
      <c r="M2381" s="1"/>
      <c r="N2381" s="1"/>
      <c r="O2381" s="1"/>
      <c r="P2381" s="1"/>
      <c r="Q2381" s="1"/>
      <c r="R2381" s="1"/>
    </row>
    <row r="2382" spans="2:18" s="12" customFormat="1" x14ac:dyDescent="0.2">
      <c r="B2382" s="12" t="s">
        <v>1031</v>
      </c>
      <c r="C2382" s="13" t="s">
        <v>969</v>
      </c>
      <c r="D2382" s="13" t="s">
        <v>968</v>
      </c>
      <c r="E2382" s="15"/>
      <c r="F2382" s="15">
        <f>SUM(F2383:F2385)</f>
        <v>18.866666666666667</v>
      </c>
      <c r="G2382" s="14">
        <f>G2383</f>
        <v>45035</v>
      </c>
      <c r="M2382" s="13"/>
      <c r="N2382" s="13"/>
      <c r="O2382" s="13"/>
      <c r="P2382" s="13"/>
      <c r="Q2382" s="13"/>
      <c r="R2382" s="13"/>
    </row>
    <row r="2383" spans="2:18" x14ac:dyDescent="0.2">
      <c r="C2383" s="2" t="s">
        <v>5</v>
      </c>
      <c r="D2383" s="2" t="s">
        <v>901</v>
      </c>
      <c r="E2383" s="3">
        <v>70</v>
      </c>
      <c r="F2383" s="3">
        <f>40/6</f>
        <v>6.666666666666667</v>
      </c>
      <c r="G2383" s="4">
        <v>45035</v>
      </c>
    </row>
    <row r="2384" spans="2:18" x14ac:dyDescent="0.2">
      <c r="C2384" s="2" t="s">
        <v>4</v>
      </c>
      <c r="D2384" s="2" t="s">
        <v>302</v>
      </c>
      <c r="E2384" s="3">
        <v>1.8</v>
      </c>
      <c r="F2384" s="3">
        <v>0.2</v>
      </c>
      <c r="G2384" s="4">
        <v>42690</v>
      </c>
    </row>
    <row r="2385" spans="2:18" x14ac:dyDescent="0.2">
      <c r="C2385" s="2" t="s">
        <v>8</v>
      </c>
      <c r="D2385" s="2" t="s">
        <v>176</v>
      </c>
      <c r="E2385" s="3">
        <v>130</v>
      </c>
      <c r="F2385" s="3">
        <v>12</v>
      </c>
      <c r="G2385" s="4">
        <v>42080</v>
      </c>
      <c r="I2385" s="1">
        <v>570</v>
      </c>
    </row>
    <row r="2386" spans="2:18" x14ac:dyDescent="0.2">
      <c r="G2386" s="4"/>
    </row>
    <row r="2387" spans="2:18" x14ac:dyDescent="0.2">
      <c r="B2387" s="12" t="s">
        <v>1030</v>
      </c>
      <c r="C2387" s="13" t="s">
        <v>969</v>
      </c>
      <c r="D2387" s="13" t="s">
        <v>968</v>
      </c>
      <c r="F2387" s="15">
        <f>SUM(F2388:F2392)</f>
        <v>19</v>
      </c>
      <c r="G2387" s="14">
        <f>+G2390</f>
        <v>44698</v>
      </c>
    </row>
    <row r="2388" spans="2:18" x14ac:dyDescent="0.2">
      <c r="C2388" s="2" t="s">
        <v>7</v>
      </c>
      <c r="D2388" s="2" t="s">
        <v>798</v>
      </c>
      <c r="E2388" s="3">
        <v>22</v>
      </c>
      <c r="F2388" s="3">
        <v>5</v>
      </c>
      <c r="G2388" s="4">
        <v>44153</v>
      </c>
    </row>
    <row r="2389" spans="2:18" x14ac:dyDescent="0.2">
      <c r="C2389" s="2" t="s">
        <v>5</v>
      </c>
      <c r="D2389" s="2" t="s">
        <v>798</v>
      </c>
      <c r="E2389" s="3">
        <v>13</v>
      </c>
      <c r="F2389" s="3">
        <v>3</v>
      </c>
      <c r="G2389" s="4">
        <v>44026</v>
      </c>
    </row>
    <row r="2390" spans="2:18" x14ac:dyDescent="0.2">
      <c r="C2390" s="2" t="s">
        <v>5</v>
      </c>
      <c r="D2390" s="2" t="s">
        <v>773</v>
      </c>
      <c r="E2390" s="3">
        <v>12.8</v>
      </c>
      <c r="F2390" s="3">
        <v>3</v>
      </c>
      <c r="G2390" s="4">
        <v>44698</v>
      </c>
    </row>
    <row r="2391" spans="2:18" x14ac:dyDescent="0.2">
      <c r="C2391" s="2" t="s">
        <v>4</v>
      </c>
      <c r="D2391" s="2" t="s">
        <v>773</v>
      </c>
      <c r="E2391" s="3">
        <v>5.5</v>
      </c>
      <c r="F2391" s="3">
        <v>3</v>
      </c>
      <c r="G2391" s="4">
        <v>44488</v>
      </c>
    </row>
    <row r="2392" spans="2:18" x14ac:dyDescent="0.2">
      <c r="C2392" s="2" t="s">
        <v>5</v>
      </c>
      <c r="D2392" s="2" t="s">
        <v>298</v>
      </c>
      <c r="E2392" s="3">
        <v>15</v>
      </c>
      <c r="F2392" s="3">
        <v>5</v>
      </c>
      <c r="G2392" s="4">
        <v>44314</v>
      </c>
    </row>
    <row r="2393" spans="2:18" x14ac:dyDescent="0.2">
      <c r="G2393" s="4"/>
    </row>
    <row r="2394" spans="2:18" s="12" customFormat="1" x14ac:dyDescent="0.2">
      <c r="B2394" s="12" t="s">
        <v>7658</v>
      </c>
      <c r="C2394" s="13" t="s">
        <v>969</v>
      </c>
      <c r="D2394" s="13" t="s">
        <v>968</v>
      </c>
      <c r="E2394" s="15"/>
      <c r="F2394" s="15">
        <f>SUM(F2395:F2397)</f>
        <v>19.25</v>
      </c>
      <c r="G2394" s="14">
        <f>G2396</f>
        <v>44811</v>
      </c>
    </row>
    <row r="2395" spans="2:18" x14ac:dyDescent="0.2">
      <c r="C2395" s="2" t="s">
        <v>5</v>
      </c>
      <c r="D2395" s="2" t="s">
        <v>548</v>
      </c>
      <c r="E2395" s="3">
        <v>10.5</v>
      </c>
      <c r="F2395" s="3">
        <f>5/5</f>
        <v>1</v>
      </c>
      <c r="G2395" s="4">
        <v>44341</v>
      </c>
      <c r="M2395" s="1"/>
      <c r="N2395" s="1"/>
      <c r="O2395" s="1"/>
      <c r="P2395" s="1"/>
      <c r="Q2395" s="1"/>
      <c r="R2395" s="1"/>
    </row>
    <row r="2396" spans="2:18" x14ac:dyDescent="0.2">
      <c r="C2396" s="2" t="s">
        <v>7</v>
      </c>
      <c r="D2396" s="2" t="s">
        <v>542</v>
      </c>
      <c r="E2396" s="3">
        <v>40</v>
      </c>
      <c r="F2396" s="3">
        <f>25/4</f>
        <v>6.25</v>
      </c>
      <c r="G2396" s="4">
        <v>44811</v>
      </c>
      <c r="M2396" s="1"/>
      <c r="N2396" s="1"/>
      <c r="O2396" s="1"/>
      <c r="P2396" s="1"/>
      <c r="Q2396" s="1"/>
      <c r="R2396" s="1"/>
    </row>
    <row r="2397" spans="2:18" x14ac:dyDescent="0.2">
      <c r="C2397" s="2" t="s">
        <v>18</v>
      </c>
      <c r="D2397" s="2" t="s">
        <v>2130</v>
      </c>
      <c r="E2397" s="3">
        <v>200</v>
      </c>
      <c r="F2397" s="3">
        <v>12</v>
      </c>
      <c r="G2397" s="4">
        <v>44557</v>
      </c>
      <c r="I2397" s="1">
        <v>1300</v>
      </c>
      <c r="J2397" s="1">
        <v>1300</v>
      </c>
      <c r="M2397" s="1"/>
      <c r="N2397" s="1"/>
      <c r="O2397" s="1"/>
      <c r="P2397" s="1"/>
      <c r="Q2397" s="1"/>
      <c r="R2397" s="1"/>
    </row>
    <row r="2398" spans="2:18" x14ac:dyDescent="0.2">
      <c r="G2398" s="4"/>
      <c r="M2398" s="1"/>
      <c r="N2398" s="1"/>
      <c r="O2398" s="1"/>
      <c r="P2398" s="1"/>
      <c r="Q2398" s="1"/>
      <c r="R2398" s="1"/>
    </row>
    <row r="2399" spans="2:18" s="12" customFormat="1" x14ac:dyDescent="0.2">
      <c r="B2399" s="12" t="s">
        <v>488</v>
      </c>
      <c r="C2399" s="13" t="s">
        <v>969</v>
      </c>
      <c r="D2399" s="13" t="s">
        <v>968</v>
      </c>
      <c r="E2399" s="15"/>
      <c r="F2399" s="15">
        <f>SUM(F2400:F2404)</f>
        <v>18.8</v>
      </c>
      <c r="G2399" s="14">
        <f>G2401</f>
        <v>44518</v>
      </c>
    </row>
    <row r="2400" spans="2:18" x14ac:dyDescent="0.2">
      <c r="B2400" s="250" t="s">
        <v>7657</v>
      </c>
      <c r="C2400" s="2" t="s">
        <v>5</v>
      </c>
      <c r="D2400" s="2" t="s">
        <v>483</v>
      </c>
      <c r="E2400" s="3">
        <v>13</v>
      </c>
      <c r="F2400" s="3">
        <v>4</v>
      </c>
      <c r="G2400" s="4">
        <v>44516</v>
      </c>
      <c r="M2400" s="1"/>
      <c r="N2400" s="1"/>
      <c r="O2400" s="1"/>
      <c r="P2400" s="1"/>
      <c r="Q2400" s="1"/>
      <c r="R2400" s="1"/>
    </row>
    <row r="2401" spans="2:18" x14ac:dyDescent="0.2">
      <c r="C2401" s="141" t="s">
        <v>7</v>
      </c>
      <c r="D2401" s="141" t="s">
        <v>2060</v>
      </c>
      <c r="E2401" s="3">
        <v>50</v>
      </c>
      <c r="F2401" s="3">
        <v>10</v>
      </c>
      <c r="G2401" s="4">
        <v>44518</v>
      </c>
      <c r="M2401" s="1"/>
      <c r="N2401" s="1"/>
      <c r="O2401" s="1"/>
      <c r="P2401" s="1"/>
      <c r="Q2401" s="1"/>
      <c r="R2401" s="1"/>
    </row>
    <row r="2402" spans="2:18" x14ac:dyDescent="0.2">
      <c r="C2402" s="141" t="s">
        <v>5</v>
      </c>
      <c r="D2402" s="141" t="s">
        <v>2060</v>
      </c>
      <c r="E2402" s="3">
        <v>13</v>
      </c>
      <c r="F2402" s="3">
        <v>3</v>
      </c>
      <c r="G2402" s="4">
        <v>44294</v>
      </c>
      <c r="M2402" s="1"/>
      <c r="N2402" s="1"/>
      <c r="O2402" s="1"/>
      <c r="P2402" s="1"/>
      <c r="Q2402" s="1"/>
      <c r="R2402" s="1"/>
    </row>
    <row r="2403" spans="2:18" x14ac:dyDescent="0.2">
      <c r="C2403" s="141" t="s">
        <v>4</v>
      </c>
      <c r="D2403" s="141" t="s">
        <v>2060</v>
      </c>
      <c r="E2403" s="3">
        <v>4.5</v>
      </c>
      <c r="F2403" s="3">
        <v>1.5</v>
      </c>
      <c r="G2403" s="4">
        <v>43943</v>
      </c>
      <c r="M2403" s="1"/>
      <c r="N2403" s="1"/>
      <c r="O2403" s="1"/>
      <c r="P2403" s="1"/>
      <c r="Q2403" s="1"/>
      <c r="R2403" s="1"/>
    </row>
    <row r="2404" spans="2:18" x14ac:dyDescent="0.2">
      <c r="C2404" s="141" t="s">
        <v>4</v>
      </c>
      <c r="D2404" s="141" t="s">
        <v>2060</v>
      </c>
      <c r="E2404" s="3">
        <v>2.2999999999999998</v>
      </c>
      <c r="F2404" s="3">
        <v>0.3</v>
      </c>
      <c r="G2404" s="4">
        <v>43195</v>
      </c>
      <c r="M2404" s="1"/>
      <c r="N2404" s="1"/>
      <c r="O2404" s="1"/>
      <c r="P2404" s="1"/>
      <c r="Q2404" s="1"/>
      <c r="R2404" s="1"/>
    </row>
    <row r="2405" spans="2:18" x14ac:dyDescent="0.2">
      <c r="G2405" s="4"/>
      <c r="M2405" s="1"/>
      <c r="N2405" s="1"/>
      <c r="O2405" s="1"/>
      <c r="P2405" s="1"/>
      <c r="Q2405" s="1"/>
      <c r="R2405" s="1"/>
    </row>
    <row r="2406" spans="2:18" s="12" customFormat="1" x14ac:dyDescent="0.2">
      <c r="B2406" s="12" t="s">
        <v>5012</v>
      </c>
      <c r="C2406" s="13" t="s">
        <v>969</v>
      </c>
      <c r="D2406" s="13" t="s">
        <v>968</v>
      </c>
      <c r="E2406" s="15"/>
      <c r="F2406" s="15">
        <f>SUM(F2407:F2409)</f>
        <v>18.071428571428569</v>
      </c>
      <c r="G2406" s="14">
        <f>G2408</f>
        <v>44880</v>
      </c>
      <c r="M2406" s="13"/>
      <c r="N2406" s="13"/>
      <c r="O2406" s="13"/>
      <c r="P2406" s="13"/>
      <c r="Q2406" s="13"/>
      <c r="R2406" s="13"/>
    </row>
    <row r="2407" spans="2:18" x14ac:dyDescent="0.2">
      <c r="C2407" s="2" t="s">
        <v>5</v>
      </c>
      <c r="D2407" s="2" t="s">
        <v>701</v>
      </c>
      <c r="E2407" s="3">
        <v>50</v>
      </c>
      <c r="F2407" s="3">
        <f>30/12</f>
        <v>2.5</v>
      </c>
      <c r="G2407" s="4">
        <v>44796</v>
      </c>
    </row>
    <row r="2408" spans="2:18" x14ac:dyDescent="0.2">
      <c r="C2408" s="2" t="s">
        <v>8</v>
      </c>
      <c r="D2408" s="2" t="s">
        <v>131</v>
      </c>
      <c r="E2408" s="3">
        <v>135</v>
      </c>
      <c r="F2408" s="3">
        <v>8</v>
      </c>
      <c r="G2408" s="4">
        <v>44880</v>
      </c>
    </row>
    <row r="2409" spans="2:18" x14ac:dyDescent="0.2">
      <c r="C2409" s="2" t="s">
        <v>18</v>
      </c>
      <c r="D2409" s="2" t="s">
        <v>131</v>
      </c>
      <c r="E2409" s="3">
        <v>73</v>
      </c>
      <c r="F2409" s="3">
        <f>53/7</f>
        <v>7.5714285714285712</v>
      </c>
      <c r="G2409" s="4">
        <v>44565</v>
      </c>
    </row>
    <row r="2410" spans="2:18" x14ac:dyDescent="0.2">
      <c r="G2410" s="4"/>
    </row>
    <row r="2411" spans="2:18" s="12" customFormat="1" x14ac:dyDescent="0.2">
      <c r="B2411" s="12" t="s">
        <v>480</v>
      </c>
      <c r="C2411" s="13" t="s">
        <v>969</v>
      </c>
      <c r="D2411" s="13" t="s">
        <v>968</v>
      </c>
      <c r="E2411" s="15"/>
      <c r="F2411" s="15">
        <f>SUM(F2412:F2413)</f>
        <v>18.3</v>
      </c>
      <c r="G2411" s="14">
        <f>G2412</f>
        <v>44398</v>
      </c>
    </row>
    <row r="2412" spans="2:18" x14ac:dyDescent="0.2">
      <c r="C2412" s="2" t="s">
        <v>7</v>
      </c>
      <c r="D2412" s="2" t="s">
        <v>475</v>
      </c>
      <c r="E2412" s="3">
        <v>90</v>
      </c>
      <c r="F2412" s="3">
        <v>15</v>
      </c>
      <c r="G2412" s="4">
        <v>44398</v>
      </c>
      <c r="M2412" s="1"/>
      <c r="N2412" s="1"/>
      <c r="O2412" s="1"/>
      <c r="P2412" s="1"/>
      <c r="Q2412" s="1"/>
      <c r="R2412" s="1"/>
    </row>
    <row r="2413" spans="2:18" x14ac:dyDescent="0.2">
      <c r="C2413" s="2" t="s">
        <v>5</v>
      </c>
      <c r="D2413" s="2" t="s">
        <v>475</v>
      </c>
      <c r="E2413" s="3">
        <v>22.8</v>
      </c>
      <c r="F2413" s="3">
        <v>3.3</v>
      </c>
      <c r="G2413" s="4">
        <v>43160</v>
      </c>
      <c r="M2413" s="1"/>
      <c r="N2413" s="1"/>
      <c r="O2413" s="1"/>
      <c r="P2413" s="1"/>
      <c r="Q2413" s="1"/>
      <c r="R2413" s="1"/>
    </row>
    <row r="2414" spans="2:18" x14ac:dyDescent="0.2">
      <c r="G2414" s="4"/>
      <c r="M2414" s="1"/>
      <c r="N2414" s="1"/>
      <c r="O2414" s="1"/>
      <c r="P2414" s="1"/>
      <c r="Q2414" s="1"/>
      <c r="R2414" s="1"/>
    </row>
    <row r="2415" spans="2:18" s="12" customFormat="1" x14ac:dyDescent="0.2">
      <c r="B2415" s="12" t="s">
        <v>1029</v>
      </c>
      <c r="C2415" s="13" t="s">
        <v>969</v>
      </c>
      <c r="D2415" s="13" t="s">
        <v>968</v>
      </c>
      <c r="E2415" s="15"/>
      <c r="F2415" s="15">
        <f>SUM(F2416:F2422)</f>
        <v>17.533333333333335</v>
      </c>
      <c r="G2415" s="14">
        <f>G2416</f>
        <v>44643</v>
      </c>
      <c r="M2415" s="13"/>
      <c r="N2415" s="13"/>
      <c r="O2415" s="13"/>
      <c r="P2415" s="13"/>
      <c r="Q2415" s="13"/>
      <c r="R2415" s="13"/>
    </row>
    <row r="2416" spans="2:18" x14ac:dyDescent="0.2">
      <c r="C2416" s="2" t="s">
        <v>7</v>
      </c>
      <c r="D2416" s="2" t="s">
        <v>693</v>
      </c>
      <c r="E2416" s="3">
        <v>50</v>
      </c>
      <c r="F2416" s="3">
        <f>25/3</f>
        <v>8.3333333333333339</v>
      </c>
      <c r="G2416" s="4">
        <v>44643</v>
      </c>
    </row>
    <row r="2417" spans="2:18" x14ac:dyDescent="0.2">
      <c r="C2417" s="2" t="s">
        <v>5</v>
      </c>
      <c r="D2417" s="2" t="s">
        <v>693</v>
      </c>
      <c r="E2417" s="3">
        <v>18.5</v>
      </c>
      <c r="F2417" s="3">
        <f>10/4</f>
        <v>2.5</v>
      </c>
      <c r="G2417" s="4">
        <v>44242</v>
      </c>
    </row>
    <row r="2418" spans="2:18" x14ac:dyDescent="0.2">
      <c r="C2418" s="2" t="s">
        <v>4</v>
      </c>
      <c r="D2418" s="2" t="s">
        <v>693</v>
      </c>
      <c r="E2418" s="3">
        <v>3.5</v>
      </c>
      <c r="F2418" s="3">
        <v>1.5</v>
      </c>
      <c r="G2418" s="4">
        <v>43631</v>
      </c>
    </row>
    <row r="2419" spans="2:18" x14ac:dyDescent="0.2">
      <c r="C2419" s="2" t="s">
        <v>5</v>
      </c>
      <c r="D2419" s="2" t="s">
        <v>656</v>
      </c>
      <c r="E2419" s="3">
        <v>12.6</v>
      </c>
      <c r="F2419" s="3">
        <v>2.2000000000000002</v>
      </c>
      <c r="G2419" s="4">
        <v>44579</v>
      </c>
    </row>
    <row r="2420" spans="2:18" x14ac:dyDescent="0.2">
      <c r="C2420" s="2" t="s">
        <v>4</v>
      </c>
      <c r="D2420" s="2" t="s">
        <v>656</v>
      </c>
      <c r="E2420" s="3">
        <v>3</v>
      </c>
      <c r="F2420" s="3">
        <v>1</v>
      </c>
      <c r="G2420" s="4">
        <v>43999</v>
      </c>
    </row>
    <row r="2421" spans="2:18" x14ac:dyDescent="0.2">
      <c r="C2421" s="2" t="s">
        <v>5</v>
      </c>
      <c r="D2421" s="2" t="s">
        <v>548</v>
      </c>
      <c r="E2421" s="3">
        <v>10.5</v>
      </c>
      <c r="F2421" s="3">
        <v>1</v>
      </c>
      <c r="G2421" s="4">
        <v>44341</v>
      </c>
    </row>
    <row r="2422" spans="2:18" x14ac:dyDescent="0.2">
      <c r="C2422" s="2" t="s">
        <v>4</v>
      </c>
      <c r="D2422" s="2" t="s">
        <v>548</v>
      </c>
      <c r="E2422" s="3">
        <v>4</v>
      </c>
      <c r="F2422" s="3">
        <v>1</v>
      </c>
      <c r="G2422" s="4">
        <v>43671</v>
      </c>
    </row>
    <row r="2423" spans="2:18" x14ac:dyDescent="0.2">
      <c r="G2423" s="4"/>
    </row>
    <row r="2424" spans="2:18" x14ac:dyDescent="0.2">
      <c r="B2424" s="12" t="s">
        <v>1028</v>
      </c>
      <c r="C2424" s="13" t="s">
        <v>969</v>
      </c>
      <c r="D2424" s="13" t="s">
        <v>968</v>
      </c>
      <c r="E2424" s="15"/>
      <c r="F2424" s="15">
        <f>SUM(F2425:F2428)</f>
        <v>18</v>
      </c>
      <c r="G2424" s="14">
        <f>G2427</f>
        <v>44467</v>
      </c>
    </row>
    <row r="2425" spans="2:18" x14ac:dyDescent="0.2">
      <c r="C2425" s="2" t="s">
        <v>7</v>
      </c>
      <c r="D2425" s="2" t="s">
        <v>962</v>
      </c>
      <c r="E2425" s="3">
        <v>45</v>
      </c>
      <c r="F2425" s="3">
        <v>10</v>
      </c>
      <c r="G2425" s="4">
        <v>44228</v>
      </c>
    </row>
    <row r="2426" spans="2:18" x14ac:dyDescent="0.2">
      <c r="C2426" s="2" t="s">
        <v>5</v>
      </c>
      <c r="D2426" s="2" t="s">
        <v>962</v>
      </c>
      <c r="E2426" s="3">
        <v>5</v>
      </c>
      <c r="F2426" s="3">
        <v>2</v>
      </c>
      <c r="G2426" s="4">
        <v>43251</v>
      </c>
    </row>
    <row r="2427" spans="2:18" x14ac:dyDescent="0.2">
      <c r="C2427" s="2" t="s">
        <v>5</v>
      </c>
      <c r="D2427" s="2" t="s">
        <v>984</v>
      </c>
      <c r="E2427" s="3">
        <v>19</v>
      </c>
      <c r="F2427" s="3">
        <v>4</v>
      </c>
      <c r="G2427" s="4">
        <v>44467</v>
      </c>
    </row>
    <row r="2428" spans="2:18" x14ac:dyDescent="0.2">
      <c r="C2428" s="2" t="s">
        <v>4</v>
      </c>
      <c r="D2428" s="2" t="s">
        <v>984</v>
      </c>
      <c r="E2428" s="3">
        <v>4</v>
      </c>
      <c r="F2428" s="3">
        <v>2</v>
      </c>
      <c r="G2428" s="4">
        <v>43873</v>
      </c>
    </row>
    <row r="2429" spans="2:18" x14ac:dyDescent="0.2">
      <c r="G2429" s="4"/>
    </row>
    <row r="2430" spans="2:18" s="12" customFormat="1" x14ac:dyDescent="0.2">
      <c r="B2430" s="12" t="s">
        <v>472</v>
      </c>
      <c r="C2430" s="13" t="s">
        <v>969</v>
      </c>
      <c r="D2430" s="13" t="s">
        <v>968</v>
      </c>
      <c r="E2430" s="15"/>
      <c r="F2430" s="15">
        <f>SUM(F2431:F2435)</f>
        <v>17.5</v>
      </c>
      <c r="G2430" s="14">
        <f>G2431</f>
        <v>45104</v>
      </c>
    </row>
    <row r="2431" spans="2:18" x14ac:dyDescent="0.2">
      <c r="C2431" s="2" t="s">
        <v>4</v>
      </c>
      <c r="D2431" s="2" t="s">
        <v>469</v>
      </c>
      <c r="E2431" s="3">
        <v>6</v>
      </c>
      <c r="F2431" s="3">
        <v>1</v>
      </c>
      <c r="G2431" s="4">
        <v>45104</v>
      </c>
      <c r="M2431" s="1"/>
      <c r="N2431" s="1"/>
      <c r="O2431" s="1"/>
      <c r="P2431" s="1"/>
      <c r="Q2431" s="1"/>
      <c r="R2431" s="1"/>
    </row>
    <row r="2432" spans="2:18" x14ac:dyDescent="0.2">
      <c r="C2432" s="2" t="s">
        <v>7</v>
      </c>
      <c r="D2432" s="2" t="s">
        <v>403</v>
      </c>
      <c r="E2432" s="3">
        <v>50</v>
      </c>
      <c r="F2432" s="3">
        <v>5</v>
      </c>
      <c r="G2432" s="4">
        <v>44538</v>
      </c>
      <c r="M2432" s="1"/>
      <c r="N2432" s="1"/>
      <c r="O2432" s="1"/>
      <c r="P2432" s="1"/>
      <c r="Q2432" s="1"/>
      <c r="R2432" s="1"/>
    </row>
    <row r="2433" spans="2:18" x14ac:dyDescent="0.2">
      <c r="C2433" s="2" t="s">
        <v>4</v>
      </c>
      <c r="D2433" s="2" t="s">
        <v>403</v>
      </c>
      <c r="E2433" s="3">
        <v>3.1</v>
      </c>
      <c r="F2433" s="3">
        <v>0.5</v>
      </c>
      <c r="G2433" s="4">
        <v>43580</v>
      </c>
      <c r="M2433" s="1"/>
      <c r="N2433" s="1"/>
      <c r="O2433" s="1"/>
      <c r="P2433" s="1"/>
      <c r="Q2433" s="1"/>
      <c r="R2433" s="1"/>
    </row>
    <row r="2434" spans="2:18" x14ac:dyDescent="0.2">
      <c r="C2434" s="2" t="s">
        <v>5</v>
      </c>
      <c r="D2434" s="2" t="s">
        <v>381</v>
      </c>
      <c r="E2434" s="3">
        <v>86</v>
      </c>
      <c r="F2434" s="3">
        <v>10</v>
      </c>
      <c r="G2434" s="4">
        <v>44488</v>
      </c>
      <c r="M2434" s="1"/>
      <c r="N2434" s="1"/>
      <c r="O2434" s="1"/>
      <c r="P2434" s="1"/>
      <c r="Q2434" s="1"/>
      <c r="R2434" s="1"/>
    </row>
    <row r="2435" spans="2:18" x14ac:dyDescent="0.2">
      <c r="C2435" s="2" t="s">
        <v>4</v>
      </c>
      <c r="D2435" s="2" t="s">
        <v>381</v>
      </c>
      <c r="E2435" s="3">
        <v>8.5</v>
      </c>
      <c r="F2435" s="3">
        <v>1</v>
      </c>
      <c r="G2435" s="4">
        <v>43796</v>
      </c>
      <c r="M2435" s="1"/>
      <c r="N2435" s="1"/>
      <c r="O2435" s="1"/>
      <c r="P2435" s="1"/>
      <c r="Q2435" s="1"/>
      <c r="R2435" s="1"/>
    </row>
    <row r="2436" spans="2:18" x14ac:dyDescent="0.2">
      <c r="G2436" s="4"/>
      <c r="M2436" s="1"/>
      <c r="N2436" s="1"/>
      <c r="O2436" s="1"/>
      <c r="P2436" s="1"/>
      <c r="Q2436" s="1"/>
      <c r="R2436" s="1"/>
    </row>
    <row r="2437" spans="2:18" x14ac:dyDescent="0.2">
      <c r="B2437" s="12" t="s">
        <v>1026</v>
      </c>
      <c r="C2437" s="13" t="s">
        <v>969</v>
      </c>
      <c r="D2437" s="13" t="s">
        <v>968</v>
      </c>
      <c r="F2437" s="15">
        <f>SUM(F2438:F2442)</f>
        <v>18.166666666666668</v>
      </c>
      <c r="G2437" s="14">
        <f>+G2438</f>
        <v>44812</v>
      </c>
    </row>
    <row r="2438" spans="2:18" x14ac:dyDescent="0.2">
      <c r="C2438" s="2" t="s">
        <v>7</v>
      </c>
      <c r="D2438" s="2" t="s">
        <v>984</v>
      </c>
      <c r="E2438" s="3">
        <v>38</v>
      </c>
      <c r="F2438" s="3">
        <f>20/3</f>
        <v>6.666666666666667</v>
      </c>
      <c r="G2438" s="4">
        <v>44812</v>
      </c>
    </row>
    <row r="2439" spans="2:18" x14ac:dyDescent="0.2">
      <c r="C2439" s="2" t="s">
        <v>5</v>
      </c>
      <c r="D2439" s="2" t="s">
        <v>984</v>
      </c>
      <c r="E2439" s="3">
        <v>19</v>
      </c>
      <c r="F2439" s="3">
        <v>4</v>
      </c>
      <c r="G2439" s="4">
        <v>44467</v>
      </c>
    </row>
    <row r="2440" spans="2:18" x14ac:dyDescent="0.2">
      <c r="C2440" s="2" t="s">
        <v>5</v>
      </c>
      <c r="D2440" s="2" t="s">
        <v>999</v>
      </c>
      <c r="E2440" s="3">
        <v>25</v>
      </c>
      <c r="F2440" s="3">
        <v>5</v>
      </c>
      <c r="G2440" s="4">
        <v>44699</v>
      </c>
    </row>
    <row r="2441" spans="2:18" x14ac:dyDescent="0.2">
      <c r="C2441" s="2" t="s">
        <v>5</v>
      </c>
      <c r="D2441" s="2" t="s">
        <v>825</v>
      </c>
      <c r="E2441" s="3">
        <v>20</v>
      </c>
      <c r="F2441" s="3">
        <v>2</v>
      </c>
      <c r="G2441" s="4">
        <v>44602</v>
      </c>
    </row>
    <row r="2442" spans="2:18" x14ac:dyDescent="0.2">
      <c r="C2442" s="2" t="s">
        <v>4</v>
      </c>
      <c r="D2442" s="2" t="s">
        <v>663</v>
      </c>
      <c r="E2442" s="3">
        <v>4.5</v>
      </c>
      <c r="F2442" s="3">
        <v>0.5</v>
      </c>
      <c r="G2442" s="4">
        <v>44293</v>
      </c>
    </row>
    <row r="2443" spans="2:18" x14ac:dyDescent="0.2">
      <c r="G2443" s="4"/>
    </row>
    <row r="2444" spans="2:18" x14ac:dyDescent="0.2">
      <c r="B2444" s="12" t="s">
        <v>1025</v>
      </c>
      <c r="C2444" s="13" t="s">
        <v>969</v>
      </c>
      <c r="D2444" s="13" t="s">
        <v>968</v>
      </c>
      <c r="F2444" s="15">
        <f>SUM(F2445:F2448)</f>
        <v>18</v>
      </c>
      <c r="G2444" s="14">
        <f>G2445</f>
        <v>45036</v>
      </c>
    </row>
    <row r="2445" spans="2:18" x14ac:dyDescent="0.2">
      <c r="C2445" s="2" t="s">
        <v>7</v>
      </c>
      <c r="D2445" s="2" t="s">
        <v>796</v>
      </c>
      <c r="E2445" s="3">
        <v>50</v>
      </c>
      <c r="F2445" s="3">
        <v>6</v>
      </c>
      <c r="G2445" s="4">
        <v>45036</v>
      </c>
    </row>
    <row r="2446" spans="2:18" x14ac:dyDescent="0.2">
      <c r="C2446" s="2" t="s">
        <v>5</v>
      </c>
      <c r="D2446" s="2" t="s">
        <v>796</v>
      </c>
      <c r="E2446" s="3">
        <v>16.5</v>
      </c>
      <c r="F2446" s="3">
        <v>6</v>
      </c>
      <c r="G2446" s="4">
        <v>44614</v>
      </c>
    </row>
    <row r="2447" spans="2:18" x14ac:dyDescent="0.2">
      <c r="C2447" s="2" t="s">
        <v>4</v>
      </c>
      <c r="D2447" s="2" t="s">
        <v>1024</v>
      </c>
      <c r="E2447" s="3">
        <v>2.8</v>
      </c>
      <c r="F2447" s="3">
        <v>1</v>
      </c>
      <c r="G2447" s="4">
        <v>44994</v>
      </c>
    </row>
    <row r="2448" spans="2:18" x14ac:dyDescent="0.2">
      <c r="C2448" s="2" t="s">
        <v>4</v>
      </c>
      <c r="D2448" s="2" t="s">
        <v>686</v>
      </c>
      <c r="E2448" s="3">
        <v>30</v>
      </c>
      <c r="F2448" s="3">
        <v>5</v>
      </c>
      <c r="G2448" s="4">
        <v>44601</v>
      </c>
    </row>
    <row r="2449" spans="2:18" x14ac:dyDescent="0.2">
      <c r="G2449" s="4"/>
    </row>
    <row r="2450" spans="2:18" s="12" customFormat="1" x14ac:dyDescent="0.2">
      <c r="B2450" s="12" t="s">
        <v>379</v>
      </c>
      <c r="C2450" s="13" t="s">
        <v>969</v>
      </c>
      <c r="D2450" s="13" t="s">
        <v>968</v>
      </c>
      <c r="E2450" s="15"/>
      <c r="F2450" s="15">
        <f>SUM(F2451:F2452)</f>
        <v>17.285714285714285</v>
      </c>
      <c r="G2450" s="14">
        <f>G2451</f>
        <v>44323</v>
      </c>
    </row>
    <row r="2451" spans="2:18" x14ac:dyDescent="0.2">
      <c r="C2451" s="2" t="s">
        <v>18</v>
      </c>
      <c r="D2451" s="2" t="s">
        <v>374</v>
      </c>
      <c r="E2451" s="3">
        <v>130</v>
      </c>
      <c r="F2451" s="3">
        <f>100/7</f>
        <v>14.285714285714286</v>
      </c>
      <c r="G2451" s="4">
        <v>44323</v>
      </c>
      <c r="M2451" s="1"/>
      <c r="N2451" s="1"/>
      <c r="O2451" s="1"/>
      <c r="P2451" s="1"/>
      <c r="Q2451" s="1"/>
      <c r="R2451" s="1"/>
    </row>
    <row r="2452" spans="2:18" x14ac:dyDescent="0.2">
      <c r="C2452" s="2" t="s">
        <v>5</v>
      </c>
      <c r="D2452" s="2" t="s">
        <v>374</v>
      </c>
      <c r="E2452" s="3">
        <v>15</v>
      </c>
      <c r="F2452" s="3">
        <v>3</v>
      </c>
      <c r="G2452" s="4">
        <v>43452</v>
      </c>
      <c r="M2452" s="1"/>
      <c r="N2452" s="1"/>
      <c r="O2452" s="1"/>
      <c r="P2452" s="1"/>
      <c r="Q2452" s="1"/>
      <c r="R2452" s="1"/>
    </row>
    <row r="2453" spans="2:18" x14ac:dyDescent="0.2">
      <c r="G2453" s="4"/>
      <c r="M2453" s="1"/>
      <c r="N2453" s="1"/>
      <c r="O2453" s="1"/>
      <c r="P2453" s="1"/>
      <c r="Q2453" s="1"/>
      <c r="R2453" s="1"/>
    </row>
    <row r="2454" spans="2:18" s="12" customFormat="1" x14ac:dyDescent="0.2">
      <c r="B2454" s="12" t="s">
        <v>1023</v>
      </c>
      <c r="C2454" s="13" t="s">
        <v>969</v>
      </c>
      <c r="D2454" s="13" t="s">
        <v>968</v>
      </c>
      <c r="E2454" s="15"/>
      <c r="F2454" s="15">
        <f>SUM(F2455:F2458)</f>
        <v>17.166666666666664</v>
      </c>
      <c r="G2454" s="14">
        <f>G2456</f>
        <v>44903</v>
      </c>
      <c r="M2454" s="13"/>
      <c r="N2454" s="13"/>
      <c r="O2454" s="13"/>
      <c r="P2454" s="13"/>
      <c r="Q2454" s="13"/>
      <c r="R2454" s="13"/>
    </row>
    <row r="2455" spans="2:18" x14ac:dyDescent="0.2">
      <c r="C2455" s="2" t="s">
        <v>5</v>
      </c>
      <c r="D2455" s="2" t="s">
        <v>932</v>
      </c>
      <c r="E2455" s="3">
        <v>30</v>
      </c>
      <c r="F2455" s="3">
        <v>10</v>
      </c>
      <c r="G2455" s="4">
        <v>44656</v>
      </c>
    </row>
    <row r="2456" spans="2:18" x14ac:dyDescent="0.2">
      <c r="C2456" s="2" t="s">
        <v>5</v>
      </c>
      <c r="D2456" s="2" t="s">
        <v>722</v>
      </c>
      <c r="E2456" s="3">
        <v>20</v>
      </c>
      <c r="F2456" s="3">
        <f>13/6</f>
        <v>2.1666666666666665</v>
      </c>
      <c r="G2456" s="4">
        <v>44903</v>
      </c>
    </row>
    <row r="2457" spans="2:18" x14ac:dyDescent="0.2">
      <c r="C2457" s="2" t="s">
        <v>5</v>
      </c>
      <c r="D2457" s="2" t="s">
        <v>722</v>
      </c>
      <c r="E2457" s="3">
        <v>11</v>
      </c>
      <c r="F2457" s="3">
        <v>3</v>
      </c>
      <c r="G2457" s="4">
        <v>44313</v>
      </c>
    </row>
    <row r="2458" spans="2:18" x14ac:dyDescent="0.2">
      <c r="C2458" s="2" t="s">
        <v>4</v>
      </c>
      <c r="D2458" s="2" t="s">
        <v>722</v>
      </c>
      <c r="E2458" s="3">
        <v>3</v>
      </c>
      <c r="F2458" s="3">
        <v>2</v>
      </c>
      <c r="G2458" s="4">
        <v>44011</v>
      </c>
    </row>
    <row r="2459" spans="2:18" x14ac:dyDescent="0.2">
      <c r="G2459" s="4"/>
    </row>
    <row r="2460" spans="2:18" s="12" customFormat="1" x14ac:dyDescent="0.2">
      <c r="B2460" s="12" t="s">
        <v>604</v>
      </c>
      <c r="C2460" s="13" t="s">
        <v>969</v>
      </c>
      <c r="D2460" s="13" t="s">
        <v>968</v>
      </c>
      <c r="E2460" s="15"/>
      <c r="F2460" s="15">
        <f>SUM(F2461:F2462)</f>
        <v>17.375</v>
      </c>
      <c r="G2460" s="14">
        <f>G2461</f>
        <v>44663</v>
      </c>
    </row>
    <row r="2461" spans="2:18" x14ac:dyDescent="0.2">
      <c r="C2461" s="2" t="s">
        <v>18</v>
      </c>
      <c r="D2461" s="2" t="s">
        <v>599</v>
      </c>
      <c r="E2461" s="3">
        <v>125</v>
      </c>
      <c r="F2461" s="3">
        <f>75/8</f>
        <v>9.375</v>
      </c>
      <c r="G2461" s="4">
        <v>44663</v>
      </c>
      <c r="M2461" s="1"/>
      <c r="N2461" s="1"/>
      <c r="O2461" s="1"/>
      <c r="P2461" s="1"/>
      <c r="Q2461" s="1"/>
      <c r="R2461" s="1"/>
    </row>
    <row r="2462" spans="2:18" x14ac:dyDescent="0.2">
      <c r="C2462" s="2" t="s">
        <v>7</v>
      </c>
      <c r="D2462" s="2" t="s">
        <v>599</v>
      </c>
      <c r="E2462" s="3">
        <v>54</v>
      </c>
      <c r="F2462" s="3">
        <f>40/5</f>
        <v>8</v>
      </c>
      <c r="G2462" s="4">
        <v>44089</v>
      </c>
      <c r="M2462" s="1"/>
      <c r="N2462" s="1"/>
      <c r="O2462" s="1"/>
      <c r="P2462" s="1"/>
      <c r="Q2462" s="1"/>
      <c r="R2462" s="1"/>
    </row>
    <row r="2463" spans="2:18" x14ac:dyDescent="0.2">
      <c r="G2463" s="4"/>
      <c r="M2463" s="1"/>
      <c r="N2463" s="1"/>
      <c r="O2463" s="1"/>
      <c r="P2463" s="1"/>
      <c r="Q2463" s="1"/>
      <c r="R2463" s="1"/>
    </row>
    <row r="2464" spans="2:18" s="12" customFormat="1" x14ac:dyDescent="0.2">
      <c r="B2464" s="12" t="s">
        <v>4899</v>
      </c>
      <c r="C2464" s="13" t="s">
        <v>969</v>
      </c>
      <c r="D2464" s="13" t="s">
        <v>968</v>
      </c>
      <c r="E2464" s="15"/>
      <c r="F2464" s="15">
        <f>SUM(F2465:F2466)</f>
        <v>16.8</v>
      </c>
      <c r="G2464" s="14">
        <f>G2465</f>
        <v>44320</v>
      </c>
      <c r="M2464" s="13"/>
      <c r="N2464" s="13"/>
      <c r="O2464" s="13"/>
      <c r="P2464" s="13"/>
      <c r="Q2464" s="13"/>
      <c r="R2464" s="13"/>
    </row>
    <row r="2465" spans="2:18" x14ac:dyDescent="0.2">
      <c r="B2465" s="51"/>
      <c r="C2465" s="52" t="s">
        <v>8</v>
      </c>
      <c r="D2465" s="52" t="s">
        <v>4897</v>
      </c>
      <c r="E2465" s="3">
        <v>83</v>
      </c>
      <c r="F2465" s="3">
        <f>68/10</f>
        <v>6.8</v>
      </c>
      <c r="G2465" s="4">
        <v>44320</v>
      </c>
      <c r="I2465" s="1">
        <v>3600</v>
      </c>
      <c r="J2465" s="1">
        <v>3600</v>
      </c>
    </row>
    <row r="2466" spans="2:18" x14ac:dyDescent="0.2">
      <c r="B2466" s="51"/>
      <c r="C2466" s="52" t="s">
        <v>18</v>
      </c>
      <c r="D2466" s="52" t="s">
        <v>4897</v>
      </c>
      <c r="E2466" s="3">
        <v>100</v>
      </c>
      <c r="F2466" s="3">
        <f>80/8</f>
        <v>10</v>
      </c>
      <c r="G2466" s="4">
        <v>43937</v>
      </c>
      <c r="I2466" s="1">
        <v>1100</v>
      </c>
      <c r="J2466" s="1">
        <v>3600</v>
      </c>
    </row>
    <row r="2467" spans="2:18" x14ac:dyDescent="0.2">
      <c r="B2467" s="51"/>
      <c r="C2467" s="52"/>
      <c r="D2467" s="52"/>
      <c r="G2467" s="4"/>
    </row>
    <row r="2468" spans="2:18" x14ac:dyDescent="0.2">
      <c r="B2468" s="12" t="s">
        <v>1022</v>
      </c>
      <c r="C2468" s="13" t="s">
        <v>969</v>
      </c>
      <c r="D2468" s="13" t="s">
        <v>968</v>
      </c>
      <c r="F2468" s="15">
        <f>SUM(F2469:F2473)</f>
        <v>16.940000000000001</v>
      </c>
      <c r="G2468" s="14">
        <f>G2471</f>
        <v>44636</v>
      </c>
    </row>
    <row r="2469" spans="2:18" x14ac:dyDescent="0.2">
      <c r="C2469" s="2" t="s">
        <v>7</v>
      </c>
      <c r="D2469" s="2" t="s">
        <v>1008</v>
      </c>
      <c r="E2469" s="3">
        <v>30</v>
      </c>
      <c r="F2469" s="3">
        <v>6</v>
      </c>
      <c r="G2469" s="4">
        <v>44539</v>
      </c>
    </row>
    <row r="2470" spans="2:18" x14ac:dyDescent="0.2">
      <c r="C2470" s="2" t="s">
        <v>5</v>
      </c>
      <c r="D2470" s="2" t="s">
        <v>1008</v>
      </c>
      <c r="E2470" s="3">
        <v>11</v>
      </c>
      <c r="F2470" s="3">
        <v>3</v>
      </c>
      <c r="G2470" s="4">
        <v>43862</v>
      </c>
    </row>
    <row r="2471" spans="2:18" x14ac:dyDescent="0.2">
      <c r="C2471" s="2" t="s">
        <v>7</v>
      </c>
      <c r="D2471" s="2" t="s">
        <v>860</v>
      </c>
      <c r="E2471" s="3">
        <v>25</v>
      </c>
      <c r="F2471" s="3">
        <v>3</v>
      </c>
      <c r="G2471" s="4">
        <v>44636</v>
      </c>
    </row>
    <row r="2472" spans="2:18" x14ac:dyDescent="0.2">
      <c r="C2472" s="2" t="s">
        <v>5</v>
      </c>
      <c r="D2472" s="2" t="s">
        <v>860</v>
      </c>
      <c r="E2472" s="3">
        <v>12.2</v>
      </c>
      <c r="F2472" s="3">
        <f>8.2/5</f>
        <v>1.64</v>
      </c>
      <c r="G2472" s="4">
        <v>44179</v>
      </c>
    </row>
    <row r="2473" spans="2:18" x14ac:dyDescent="0.2">
      <c r="C2473" s="2" t="s">
        <v>5</v>
      </c>
      <c r="D2473" s="2" t="s">
        <v>676</v>
      </c>
      <c r="E2473" s="3">
        <v>15</v>
      </c>
      <c r="F2473" s="3">
        <v>3.3</v>
      </c>
      <c r="G2473" s="4">
        <v>44482</v>
      </c>
    </row>
    <row r="2474" spans="2:18" x14ac:dyDescent="0.2">
      <c r="G2474" s="4"/>
    </row>
    <row r="2475" spans="2:18" s="12" customFormat="1" x14ac:dyDescent="0.2">
      <c r="B2475" s="12" t="s">
        <v>4900</v>
      </c>
      <c r="C2475" s="13" t="s">
        <v>969</v>
      </c>
      <c r="D2475" s="13" t="s">
        <v>968</v>
      </c>
      <c r="E2475" s="15"/>
      <c r="F2475" s="15">
        <f>SUM(F2476:F2477)</f>
        <v>16.8</v>
      </c>
      <c r="G2475" s="14">
        <f>G2476</f>
        <v>44320</v>
      </c>
      <c r="M2475" s="13"/>
      <c r="N2475" s="13"/>
      <c r="O2475" s="13"/>
      <c r="P2475" s="13"/>
      <c r="Q2475" s="13"/>
      <c r="R2475" s="13"/>
    </row>
    <row r="2476" spans="2:18" x14ac:dyDescent="0.2">
      <c r="B2476" s="51"/>
      <c r="C2476" s="52" t="s">
        <v>8</v>
      </c>
      <c r="D2476" s="52" t="s">
        <v>4897</v>
      </c>
      <c r="E2476" s="3">
        <v>83</v>
      </c>
      <c r="F2476" s="3">
        <f>68/10</f>
        <v>6.8</v>
      </c>
      <c r="G2476" s="4">
        <v>44320</v>
      </c>
      <c r="I2476" s="1">
        <v>3600</v>
      </c>
      <c r="J2476" s="1">
        <v>3600</v>
      </c>
    </row>
    <row r="2477" spans="2:18" x14ac:dyDescent="0.2">
      <c r="B2477" s="51"/>
      <c r="C2477" s="52" t="s">
        <v>18</v>
      </c>
      <c r="D2477" s="52" t="s">
        <v>4897</v>
      </c>
      <c r="E2477" s="3">
        <v>100</v>
      </c>
      <c r="F2477" s="3">
        <f>80/8</f>
        <v>10</v>
      </c>
      <c r="G2477" s="4">
        <v>43937</v>
      </c>
      <c r="I2477" s="1">
        <v>1100</v>
      </c>
      <c r="J2477" s="1">
        <v>3600</v>
      </c>
    </row>
    <row r="2478" spans="2:18" x14ac:dyDescent="0.2">
      <c r="B2478" s="51"/>
      <c r="C2478" s="52"/>
      <c r="D2478" s="52"/>
      <c r="G2478" s="4"/>
    </row>
    <row r="2479" spans="2:18" s="12" customFormat="1" x14ac:dyDescent="0.2">
      <c r="B2479" s="12" t="s">
        <v>643</v>
      </c>
      <c r="C2479" s="13" t="s">
        <v>969</v>
      </c>
      <c r="D2479" s="13" t="s">
        <v>968</v>
      </c>
      <c r="E2479" s="15"/>
      <c r="F2479" s="15">
        <f>SUM(F2480:F2483)</f>
        <v>19.399999999999999</v>
      </c>
      <c r="G2479" s="14">
        <f>G2480</f>
        <v>44860</v>
      </c>
    </row>
    <row r="2480" spans="2:18" x14ac:dyDescent="0.2">
      <c r="C2480" s="2" t="s">
        <v>5</v>
      </c>
      <c r="D2480" s="2" t="s">
        <v>642</v>
      </c>
      <c r="E2480" s="3">
        <v>12</v>
      </c>
      <c r="F2480" s="3">
        <f>6/3</f>
        <v>2</v>
      </c>
      <c r="G2480" s="4">
        <v>44860</v>
      </c>
      <c r="M2480" s="1"/>
      <c r="N2480" s="1"/>
      <c r="O2480" s="1"/>
      <c r="P2480" s="1"/>
      <c r="Q2480" s="1"/>
      <c r="R2480" s="1"/>
    </row>
    <row r="2481" spans="2:18" x14ac:dyDescent="0.2">
      <c r="C2481" s="2" t="s">
        <v>4</v>
      </c>
      <c r="D2481" s="2" t="s">
        <v>642</v>
      </c>
      <c r="E2481" s="3">
        <v>2.8</v>
      </c>
      <c r="F2481" s="3">
        <v>1.4</v>
      </c>
      <c r="G2481" s="4">
        <v>44215</v>
      </c>
      <c r="M2481" s="1"/>
      <c r="N2481" s="1"/>
      <c r="O2481" s="1"/>
      <c r="P2481" s="1"/>
      <c r="Q2481" s="1"/>
      <c r="R2481" s="1"/>
    </row>
    <row r="2482" spans="2:18" x14ac:dyDescent="0.2">
      <c r="C2482" s="93" t="s">
        <v>7</v>
      </c>
      <c r="D2482" s="93" t="s">
        <v>2079</v>
      </c>
      <c r="E2482" s="3">
        <v>100</v>
      </c>
      <c r="F2482" s="3">
        <f>70/5</f>
        <v>14</v>
      </c>
      <c r="G2482" s="4">
        <v>44937</v>
      </c>
      <c r="I2482" s="1">
        <v>900</v>
      </c>
      <c r="J2482" s="1">
        <v>900</v>
      </c>
      <c r="M2482" s="1"/>
      <c r="N2482" s="1"/>
      <c r="O2482" s="1"/>
      <c r="P2482" s="1"/>
      <c r="Q2482" s="1"/>
      <c r="R2482" s="1"/>
    </row>
    <row r="2483" spans="2:18" x14ac:dyDescent="0.2">
      <c r="C2483" s="93" t="s">
        <v>5</v>
      </c>
      <c r="D2483" s="93" t="s">
        <v>7326</v>
      </c>
      <c r="E2483" s="3">
        <v>3</v>
      </c>
      <c r="F2483" s="3">
        <v>2</v>
      </c>
      <c r="G2483" s="4">
        <v>43858</v>
      </c>
      <c r="M2483" s="1"/>
      <c r="N2483" s="1"/>
      <c r="O2483" s="1"/>
      <c r="P2483" s="1"/>
      <c r="Q2483" s="1"/>
      <c r="R2483" s="1"/>
    </row>
    <row r="2484" spans="2:18" x14ac:dyDescent="0.2">
      <c r="G2484" s="4"/>
      <c r="M2484" s="1"/>
      <c r="N2484" s="1"/>
      <c r="O2484" s="1"/>
      <c r="P2484" s="1"/>
      <c r="Q2484" s="1"/>
      <c r="R2484" s="1"/>
    </row>
    <row r="2485" spans="2:18" s="12" customFormat="1" x14ac:dyDescent="0.2">
      <c r="B2485" s="12" t="s">
        <v>167</v>
      </c>
      <c r="C2485" s="13" t="s">
        <v>969</v>
      </c>
      <c r="D2485" s="13" t="s">
        <v>968</v>
      </c>
      <c r="E2485" s="15"/>
      <c r="F2485" s="15">
        <f>SUM(F2486:F2487)</f>
        <v>17</v>
      </c>
      <c r="G2485" s="14">
        <f>G2486</f>
        <v>43292</v>
      </c>
      <c r="M2485" s="13"/>
      <c r="N2485" s="13"/>
      <c r="O2485" s="13"/>
      <c r="P2485" s="13"/>
      <c r="Q2485" s="13"/>
      <c r="R2485" s="13"/>
    </row>
    <row r="2486" spans="2:18" x14ac:dyDescent="0.2">
      <c r="C2486" s="2" t="s">
        <v>5</v>
      </c>
      <c r="D2486" s="2" t="s">
        <v>161</v>
      </c>
      <c r="E2486" s="3">
        <v>102</v>
      </c>
      <c r="F2486" s="3">
        <v>8</v>
      </c>
      <c r="G2486" s="4">
        <v>43292</v>
      </c>
      <c r="J2486" s="1">
        <v>8400</v>
      </c>
    </row>
    <row r="2487" spans="2:18" x14ac:dyDescent="0.2">
      <c r="C2487" s="2" t="s">
        <v>5</v>
      </c>
      <c r="D2487" s="2" t="s">
        <v>161</v>
      </c>
      <c r="E2487" s="3">
        <v>112</v>
      </c>
      <c r="F2487" s="3">
        <f>72/8</f>
        <v>9</v>
      </c>
      <c r="G2487" s="4">
        <v>43115</v>
      </c>
      <c r="J2487" s="1">
        <v>8400</v>
      </c>
    </row>
    <row r="2488" spans="2:18" x14ac:dyDescent="0.2">
      <c r="G2488" s="4"/>
    </row>
    <row r="2489" spans="2:18" s="12" customFormat="1" x14ac:dyDescent="0.2">
      <c r="B2489" s="12" t="s">
        <v>1021</v>
      </c>
      <c r="C2489" s="13" t="s">
        <v>969</v>
      </c>
      <c r="D2489" s="13" t="s">
        <v>968</v>
      </c>
      <c r="E2489" s="15"/>
      <c r="F2489" s="15">
        <f>SUM(F2490:F2491)</f>
        <v>16.833333333333336</v>
      </c>
      <c r="G2489" s="14">
        <f>G2490</f>
        <v>44643</v>
      </c>
      <c r="M2489" s="13"/>
      <c r="N2489" s="13"/>
      <c r="O2489" s="13"/>
      <c r="P2489" s="13"/>
      <c r="Q2489" s="13"/>
      <c r="R2489" s="13"/>
    </row>
    <row r="2490" spans="2:18" x14ac:dyDescent="0.2">
      <c r="C2490" s="2" t="s">
        <v>7</v>
      </c>
      <c r="D2490" s="2" t="s">
        <v>693</v>
      </c>
      <c r="E2490" s="3">
        <v>50</v>
      </c>
      <c r="F2490" s="3">
        <f>25/3</f>
        <v>8.3333333333333339</v>
      </c>
      <c r="G2490" s="4">
        <v>44643</v>
      </c>
    </row>
    <row r="2491" spans="2:18" x14ac:dyDescent="0.2">
      <c r="C2491" s="2" t="s">
        <v>5</v>
      </c>
      <c r="D2491" s="2" t="s">
        <v>693</v>
      </c>
      <c r="E2491" s="3">
        <v>18.5</v>
      </c>
      <c r="F2491" s="3">
        <v>8.5</v>
      </c>
      <c r="G2491" s="4">
        <v>44242</v>
      </c>
    </row>
    <row r="2492" spans="2:18" x14ac:dyDescent="0.2">
      <c r="G2492" s="4"/>
    </row>
    <row r="2493" spans="2:18" s="12" customFormat="1" x14ac:dyDescent="0.2">
      <c r="B2493" s="12" t="s">
        <v>352</v>
      </c>
      <c r="C2493" s="13" t="s">
        <v>969</v>
      </c>
      <c r="D2493" s="13" t="s">
        <v>968</v>
      </c>
      <c r="E2493" s="15"/>
      <c r="F2493" s="15">
        <f>SUM(F2494:F2496)</f>
        <v>17</v>
      </c>
      <c r="G2493" s="14">
        <f>G2494</f>
        <v>44861</v>
      </c>
    </row>
    <row r="2494" spans="2:18" x14ac:dyDescent="0.2">
      <c r="C2494" s="2" t="s">
        <v>7</v>
      </c>
      <c r="D2494" s="2" t="s">
        <v>351</v>
      </c>
      <c r="E2494" s="3">
        <v>22</v>
      </c>
      <c r="F2494" s="3">
        <v>5</v>
      </c>
      <c r="G2494" s="4">
        <v>44861</v>
      </c>
      <c r="M2494" s="1"/>
      <c r="N2494" s="1"/>
      <c r="O2494" s="1"/>
      <c r="P2494" s="1"/>
      <c r="Q2494" s="1"/>
      <c r="R2494" s="1"/>
    </row>
    <row r="2495" spans="2:18" x14ac:dyDescent="0.2">
      <c r="C2495" s="2" t="s">
        <v>5</v>
      </c>
      <c r="D2495" s="2" t="s">
        <v>351</v>
      </c>
      <c r="E2495" s="3">
        <v>15</v>
      </c>
      <c r="F2495" s="3">
        <v>5</v>
      </c>
      <c r="G2495" s="4">
        <v>44487</v>
      </c>
      <c r="M2495" s="1"/>
      <c r="N2495" s="1"/>
      <c r="O2495" s="1"/>
      <c r="P2495" s="1"/>
      <c r="Q2495" s="1"/>
      <c r="R2495" s="1"/>
    </row>
    <row r="2496" spans="2:18" x14ac:dyDescent="0.2">
      <c r="C2496" s="2" t="s">
        <v>4</v>
      </c>
      <c r="D2496" s="2" t="s">
        <v>351</v>
      </c>
      <c r="E2496" s="3">
        <v>7</v>
      </c>
      <c r="F2496" s="3">
        <v>7</v>
      </c>
      <c r="G2496" s="4">
        <v>44117</v>
      </c>
      <c r="M2496" s="1"/>
      <c r="N2496" s="1"/>
      <c r="O2496" s="1"/>
      <c r="P2496" s="1"/>
      <c r="Q2496" s="1"/>
      <c r="R2496" s="1"/>
    </row>
    <row r="2497" spans="2:18" x14ac:dyDescent="0.2">
      <c r="G2497" s="4"/>
      <c r="M2497" s="1"/>
      <c r="N2497" s="1"/>
      <c r="O2497" s="1"/>
      <c r="P2497" s="1"/>
      <c r="Q2497" s="1"/>
      <c r="R2497" s="1"/>
    </row>
    <row r="2498" spans="2:18" x14ac:dyDescent="0.2">
      <c r="B2498" s="12" t="s">
        <v>1019</v>
      </c>
      <c r="C2498" s="13" t="s">
        <v>969</v>
      </c>
      <c r="D2498" s="13" t="s">
        <v>968</v>
      </c>
      <c r="E2498" s="15"/>
      <c r="F2498" s="15">
        <f>SUM(F2499:F2501)</f>
        <v>16.600000000000001</v>
      </c>
      <c r="G2498" s="14">
        <f>+G2501</f>
        <v>45020</v>
      </c>
    </row>
    <row r="2499" spans="2:18" x14ac:dyDescent="0.2">
      <c r="C2499" s="2" t="s">
        <v>18</v>
      </c>
      <c r="D2499" s="2" t="s">
        <v>926</v>
      </c>
      <c r="E2499" s="3">
        <v>100</v>
      </c>
      <c r="F2499" s="3">
        <v>9</v>
      </c>
      <c r="G2499" s="4">
        <v>44690</v>
      </c>
      <c r="J2499" s="1">
        <v>4300</v>
      </c>
    </row>
    <row r="2500" spans="2:18" x14ac:dyDescent="0.2">
      <c r="C2500" s="2" t="s">
        <v>4</v>
      </c>
      <c r="D2500" s="2" t="s">
        <v>771</v>
      </c>
      <c r="E2500" s="3">
        <v>4.5999999999999996</v>
      </c>
      <c r="F2500" s="3">
        <v>0.6</v>
      </c>
      <c r="G2500" s="4">
        <v>44530</v>
      </c>
    </row>
    <row r="2501" spans="2:18" x14ac:dyDescent="0.2">
      <c r="C2501" s="2" t="s">
        <v>18</v>
      </c>
      <c r="D2501" s="2" t="s">
        <v>424</v>
      </c>
      <c r="E2501" s="3">
        <v>75</v>
      </c>
      <c r="F2501" s="3">
        <v>7</v>
      </c>
      <c r="G2501" s="4">
        <v>45020</v>
      </c>
    </row>
    <row r="2502" spans="2:18" x14ac:dyDescent="0.2">
      <c r="G2502" s="4"/>
    </row>
    <row r="2503" spans="2:18" s="12" customFormat="1" x14ac:dyDescent="0.2">
      <c r="B2503" s="12" t="s">
        <v>273</v>
      </c>
      <c r="C2503" s="13" t="s">
        <v>969</v>
      </c>
      <c r="D2503" s="13" t="s">
        <v>968</v>
      </c>
      <c r="E2503" s="15"/>
      <c r="F2503" s="15">
        <f>SUM(F2504:F2507)</f>
        <v>16.220238095238095</v>
      </c>
      <c r="G2503" s="14">
        <f>G2504</f>
        <v>44622</v>
      </c>
      <c r="M2503" s="13"/>
      <c r="N2503" s="13"/>
      <c r="O2503" s="13"/>
      <c r="P2503" s="13"/>
      <c r="Q2503" s="13"/>
      <c r="R2503" s="13"/>
    </row>
    <row r="2504" spans="2:18" x14ac:dyDescent="0.2">
      <c r="C2504" s="2" t="s">
        <v>8</v>
      </c>
      <c r="D2504" s="2" t="s">
        <v>258</v>
      </c>
      <c r="E2504" s="3">
        <v>111</v>
      </c>
      <c r="F2504" s="3">
        <f>97/14</f>
        <v>6.9285714285714288</v>
      </c>
      <c r="G2504" s="4">
        <v>44622</v>
      </c>
    </row>
    <row r="2505" spans="2:18" x14ac:dyDescent="0.2">
      <c r="C2505" s="2" t="s">
        <v>18</v>
      </c>
      <c r="D2505" s="2" t="s">
        <v>258</v>
      </c>
      <c r="E2505" s="3">
        <v>55</v>
      </c>
      <c r="F2505" s="3">
        <v>5.625</v>
      </c>
      <c r="G2505" s="4">
        <v>44314</v>
      </c>
    </row>
    <row r="2506" spans="2:18" x14ac:dyDescent="0.2">
      <c r="C2506" s="2" t="s">
        <v>7</v>
      </c>
      <c r="D2506" s="2" t="s">
        <v>258</v>
      </c>
      <c r="E2506" s="3">
        <v>16</v>
      </c>
      <c r="F2506" s="3">
        <v>2</v>
      </c>
      <c r="G2506" s="4">
        <v>44009</v>
      </c>
    </row>
    <row r="2507" spans="2:18" x14ac:dyDescent="0.2">
      <c r="C2507" s="2" t="s">
        <v>5</v>
      </c>
      <c r="D2507" s="2" t="s">
        <v>258</v>
      </c>
      <c r="E2507" s="3">
        <v>14</v>
      </c>
      <c r="F2507" s="3">
        <v>1.6666666666666667</v>
      </c>
      <c r="G2507" s="4">
        <v>43690</v>
      </c>
    </row>
    <row r="2508" spans="2:18" x14ac:dyDescent="0.2">
      <c r="G2508" s="4"/>
    </row>
    <row r="2509" spans="2:18" s="12" customFormat="1" x14ac:dyDescent="0.2">
      <c r="B2509" s="12" t="s">
        <v>6299</v>
      </c>
      <c r="C2509" s="13" t="s">
        <v>969</v>
      </c>
      <c r="D2509" s="13" t="s">
        <v>968</v>
      </c>
      <c r="E2509" s="15"/>
      <c r="F2509" s="15">
        <f>SUM(F2510:F2512)</f>
        <v>16.233333333333334</v>
      </c>
      <c r="G2509" s="14">
        <f>G2510</f>
        <v>44476</v>
      </c>
      <c r="M2509" s="13"/>
      <c r="N2509" s="13"/>
      <c r="O2509" s="13"/>
      <c r="P2509" s="13"/>
      <c r="Q2509" s="13"/>
      <c r="R2509" s="13"/>
    </row>
    <row r="2510" spans="2:18" x14ac:dyDescent="0.2">
      <c r="B2510" s="135"/>
      <c r="C2510" s="141" t="s">
        <v>7</v>
      </c>
      <c r="D2510" s="141" t="s">
        <v>6298</v>
      </c>
      <c r="E2510" s="3">
        <v>52.2</v>
      </c>
      <c r="F2510" s="3">
        <f>32.2/3</f>
        <v>10.733333333333334</v>
      </c>
      <c r="G2510" s="4">
        <v>44476</v>
      </c>
    </row>
    <row r="2511" spans="2:18" x14ac:dyDescent="0.2">
      <c r="C2511" s="141" t="s">
        <v>5</v>
      </c>
      <c r="D2511" s="141" t="s">
        <v>6298</v>
      </c>
      <c r="E2511" s="3">
        <v>12</v>
      </c>
      <c r="F2511" s="3">
        <v>4</v>
      </c>
      <c r="G2511" s="4">
        <v>44125</v>
      </c>
    </row>
    <row r="2512" spans="2:18" x14ac:dyDescent="0.2">
      <c r="C2512" s="141" t="s">
        <v>4</v>
      </c>
      <c r="D2512" s="141" t="s">
        <v>6298</v>
      </c>
      <c r="E2512" s="3">
        <v>3.5</v>
      </c>
      <c r="F2512" s="3">
        <v>1.5</v>
      </c>
      <c r="G2512" s="4">
        <v>43831</v>
      </c>
    </row>
    <row r="2513" spans="2:18" x14ac:dyDescent="0.2">
      <c r="C2513" s="141"/>
      <c r="D2513" s="141"/>
      <c r="G2513" s="4"/>
    </row>
    <row r="2514" spans="2:18" s="12" customFormat="1" x14ac:dyDescent="0.2">
      <c r="B2514" s="12" t="s">
        <v>4997</v>
      </c>
      <c r="C2514" s="13" t="s">
        <v>969</v>
      </c>
      <c r="D2514" s="13" t="s">
        <v>968</v>
      </c>
      <c r="E2514" s="15"/>
      <c r="F2514" s="15">
        <f>SUM(F2515:F2516)</f>
        <v>15.714285714285714</v>
      </c>
      <c r="G2514" s="14">
        <f>G2515</f>
        <v>44507</v>
      </c>
      <c r="M2514" s="13"/>
      <c r="N2514" s="13"/>
      <c r="O2514" s="13"/>
      <c r="P2514" s="13"/>
      <c r="Q2514" s="13"/>
      <c r="R2514" s="13"/>
    </row>
    <row r="2515" spans="2:18" x14ac:dyDescent="0.2">
      <c r="B2515" s="54"/>
      <c r="C2515" s="55" t="s">
        <v>9</v>
      </c>
      <c r="D2515" s="55" t="s">
        <v>2115</v>
      </c>
      <c r="E2515" s="3">
        <v>100</v>
      </c>
      <c r="F2515" s="3">
        <v>10.714285714285714</v>
      </c>
      <c r="G2515" s="4">
        <v>44507</v>
      </c>
      <c r="I2515" s="1">
        <v>1600</v>
      </c>
      <c r="J2515" s="1">
        <v>1600</v>
      </c>
    </row>
    <row r="2516" spans="2:18" x14ac:dyDescent="0.2">
      <c r="B2516" s="54"/>
      <c r="C2516" s="55" t="s">
        <v>18</v>
      </c>
      <c r="D2516" s="55" t="s">
        <v>2115</v>
      </c>
      <c r="E2516" s="3">
        <v>40</v>
      </c>
      <c r="F2516" s="3">
        <f>30/6</f>
        <v>5</v>
      </c>
      <c r="G2516" s="4">
        <v>43069</v>
      </c>
      <c r="J2516" s="1">
        <v>1600</v>
      </c>
    </row>
    <row r="2517" spans="2:18" x14ac:dyDescent="0.2">
      <c r="B2517" s="54"/>
      <c r="C2517" s="55"/>
      <c r="D2517" s="55"/>
      <c r="G2517" s="4"/>
    </row>
    <row r="2518" spans="2:18" s="12" customFormat="1" x14ac:dyDescent="0.2">
      <c r="B2518" s="12" t="s">
        <v>104</v>
      </c>
      <c r="C2518" s="13" t="s">
        <v>969</v>
      </c>
      <c r="D2518" s="13" t="s">
        <v>968</v>
      </c>
      <c r="E2518" s="15"/>
      <c r="F2518" s="15">
        <f>SUM(F2519:F2520)</f>
        <v>15.857142857142858</v>
      </c>
      <c r="G2518" s="14">
        <f>G2519</f>
        <v>43178</v>
      </c>
      <c r="M2518" s="13"/>
      <c r="N2518" s="13"/>
      <c r="O2518" s="13"/>
      <c r="P2518" s="13"/>
      <c r="Q2518" s="13"/>
      <c r="R2518" s="13"/>
    </row>
    <row r="2519" spans="2:18" x14ac:dyDescent="0.2">
      <c r="C2519" s="2" t="s">
        <v>8</v>
      </c>
      <c r="D2519" s="2" t="s">
        <v>102</v>
      </c>
      <c r="E2519" s="3">
        <v>30</v>
      </c>
      <c r="F2519" s="3">
        <f>20/7</f>
        <v>2.8571428571428572</v>
      </c>
      <c r="G2519" s="4">
        <v>43178</v>
      </c>
    </row>
    <row r="2520" spans="2:18" x14ac:dyDescent="0.2">
      <c r="C2520" s="2" t="s">
        <v>8</v>
      </c>
      <c r="D2520" s="2" t="s">
        <v>102</v>
      </c>
      <c r="E2520" s="3">
        <v>40</v>
      </c>
      <c r="F2520" s="3">
        <v>13</v>
      </c>
      <c r="G2520" s="4">
        <v>42493</v>
      </c>
    </row>
    <row r="2521" spans="2:18" x14ac:dyDescent="0.2">
      <c r="G2521" s="4"/>
    </row>
    <row r="2522" spans="2:18" s="12" customFormat="1" x14ac:dyDescent="0.2">
      <c r="B2522" s="12" t="s">
        <v>6709</v>
      </c>
      <c r="C2522" s="13" t="s">
        <v>969</v>
      </c>
      <c r="D2522" s="13" t="s">
        <v>968</v>
      </c>
      <c r="E2522" s="15"/>
      <c r="F2522" s="15">
        <f>SUM(F2523:F2524)</f>
        <v>15.857142857142858</v>
      </c>
      <c r="G2522" s="14">
        <f>G2523</f>
        <v>43178</v>
      </c>
      <c r="M2522" s="13"/>
      <c r="N2522" s="13"/>
      <c r="O2522" s="13"/>
      <c r="P2522" s="13"/>
      <c r="Q2522" s="13"/>
      <c r="R2522" s="13"/>
    </row>
    <row r="2523" spans="2:18" x14ac:dyDescent="0.2">
      <c r="C2523" s="2" t="s">
        <v>8</v>
      </c>
      <c r="D2523" s="2" t="s">
        <v>102</v>
      </c>
      <c r="E2523" s="3">
        <v>30</v>
      </c>
      <c r="F2523" s="3">
        <f>20/7</f>
        <v>2.8571428571428572</v>
      </c>
      <c r="G2523" s="4">
        <v>43178</v>
      </c>
    </row>
    <row r="2524" spans="2:18" x14ac:dyDescent="0.2">
      <c r="C2524" s="2" t="s">
        <v>8</v>
      </c>
      <c r="D2524" s="2" t="s">
        <v>102</v>
      </c>
      <c r="E2524" s="3">
        <v>40</v>
      </c>
      <c r="F2524" s="3">
        <v>13</v>
      </c>
      <c r="G2524" s="4">
        <v>42493</v>
      </c>
    </row>
    <row r="2525" spans="2:18" x14ac:dyDescent="0.2">
      <c r="G2525" s="4"/>
    </row>
    <row r="2526" spans="2:18" s="12" customFormat="1" x14ac:dyDescent="0.2">
      <c r="B2526" s="12" t="s">
        <v>434</v>
      </c>
      <c r="C2526" s="13" t="s">
        <v>969</v>
      </c>
      <c r="D2526" s="13" t="s">
        <v>968</v>
      </c>
      <c r="E2526" s="15"/>
      <c r="F2526" s="15">
        <f>SUM(F2527:F2528)</f>
        <v>16</v>
      </c>
      <c r="G2526" s="14">
        <f>G2527</f>
        <v>43018</v>
      </c>
    </row>
    <row r="2527" spans="2:18" x14ac:dyDescent="0.2">
      <c r="C2527" s="2" t="s">
        <v>7</v>
      </c>
      <c r="D2527" s="2" t="s">
        <v>431</v>
      </c>
      <c r="E2527" s="3">
        <v>93</v>
      </c>
      <c r="F2527" s="3">
        <v>10</v>
      </c>
      <c r="G2527" s="4">
        <v>43018</v>
      </c>
      <c r="M2527" s="1"/>
      <c r="N2527" s="1"/>
      <c r="O2527" s="1"/>
      <c r="P2527" s="1"/>
      <c r="Q2527" s="1"/>
      <c r="R2527" s="1"/>
    </row>
    <row r="2528" spans="2:18" x14ac:dyDescent="0.2">
      <c r="C2528" s="2" t="s">
        <v>5</v>
      </c>
      <c r="D2528" s="2" t="s">
        <v>431</v>
      </c>
      <c r="E2528" s="3">
        <v>15</v>
      </c>
      <c r="F2528" s="3">
        <v>6</v>
      </c>
      <c r="G2528" s="4">
        <v>42690</v>
      </c>
      <c r="M2528" s="1"/>
      <c r="N2528" s="1"/>
      <c r="O2528" s="1"/>
      <c r="P2528" s="1"/>
      <c r="Q2528" s="1"/>
      <c r="R2528" s="1"/>
    </row>
    <row r="2529" spans="2:18" x14ac:dyDescent="0.2">
      <c r="G2529" s="4"/>
      <c r="M2529" s="1"/>
      <c r="N2529" s="1"/>
      <c r="O2529" s="1"/>
      <c r="P2529" s="1"/>
      <c r="Q2529" s="1"/>
      <c r="R2529" s="1"/>
    </row>
    <row r="2530" spans="2:18" s="12" customFormat="1" x14ac:dyDescent="0.2">
      <c r="B2530" s="12" t="s">
        <v>327</v>
      </c>
      <c r="C2530" s="13" t="s">
        <v>969</v>
      </c>
      <c r="D2530" s="13" t="s">
        <v>968</v>
      </c>
      <c r="E2530" s="15"/>
      <c r="F2530" s="15">
        <f>SUM(F2531:F2533)</f>
        <v>15.75</v>
      </c>
      <c r="G2530" s="14">
        <f>G2533</f>
        <v>44867</v>
      </c>
    </row>
    <row r="2531" spans="2:18" x14ac:dyDescent="0.2">
      <c r="C2531" s="2" t="s">
        <v>5</v>
      </c>
      <c r="D2531" s="2" t="s">
        <v>318</v>
      </c>
      <c r="E2531" s="3">
        <v>16</v>
      </c>
      <c r="F2531" s="3">
        <v>2</v>
      </c>
      <c r="G2531" s="4">
        <v>43783</v>
      </c>
      <c r="L2531" s="1">
        <f>+F2531*5</f>
        <v>10</v>
      </c>
      <c r="M2531" s="1"/>
      <c r="N2531" s="1"/>
      <c r="O2531" s="1"/>
      <c r="P2531" s="1"/>
      <c r="Q2531" s="1"/>
      <c r="R2531" s="1"/>
    </row>
    <row r="2532" spans="2:18" x14ac:dyDescent="0.2">
      <c r="C2532" s="2" t="s">
        <v>7</v>
      </c>
      <c r="D2532" s="2" t="s">
        <v>318</v>
      </c>
      <c r="E2532" s="3">
        <v>55</v>
      </c>
      <c r="F2532" s="3">
        <v>5</v>
      </c>
      <c r="G2532" s="4">
        <v>44200</v>
      </c>
      <c r="M2532" s="1"/>
      <c r="N2532" s="1"/>
      <c r="O2532" s="1"/>
      <c r="P2532" s="1"/>
      <c r="Q2532" s="1"/>
      <c r="R2532" s="1"/>
    </row>
    <row r="2533" spans="2:18" x14ac:dyDescent="0.2">
      <c r="C2533" s="2" t="s">
        <v>18</v>
      </c>
      <c r="D2533" s="2" t="s">
        <v>318</v>
      </c>
      <c r="E2533" s="3">
        <v>91</v>
      </c>
      <c r="F2533" s="3">
        <f>70/8</f>
        <v>8.75</v>
      </c>
      <c r="G2533" s="4">
        <v>44867</v>
      </c>
      <c r="M2533" s="1"/>
      <c r="N2533" s="1"/>
      <c r="O2533" s="1"/>
      <c r="P2533" s="1"/>
      <c r="Q2533" s="1"/>
      <c r="R2533" s="1"/>
    </row>
    <row r="2534" spans="2:18" x14ac:dyDescent="0.2">
      <c r="G2534" s="4"/>
      <c r="M2534" s="1"/>
      <c r="N2534" s="1"/>
      <c r="O2534" s="1"/>
      <c r="P2534" s="1"/>
      <c r="Q2534" s="1"/>
      <c r="R2534" s="1"/>
    </row>
    <row r="2535" spans="2:18" s="12" customFormat="1" x14ac:dyDescent="0.2">
      <c r="B2535" s="12" t="s">
        <v>998</v>
      </c>
      <c r="C2535" s="13" t="s">
        <v>969</v>
      </c>
      <c r="D2535" s="13" t="s">
        <v>968</v>
      </c>
      <c r="E2535" s="15"/>
      <c r="F2535" s="15">
        <f>SUM(F2536:F2538)</f>
        <v>15.5</v>
      </c>
      <c r="G2535" s="14">
        <f>G2537</f>
        <v>44602</v>
      </c>
      <c r="M2535" s="13"/>
      <c r="N2535" s="13"/>
      <c r="O2535" s="13"/>
      <c r="P2535" s="13"/>
      <c r="Q2535" s="13"/>
      <c r="R2535" s="13"/>
    </row>
    <row r="2536" spans="2:18" x14ac:dyDescent="0.2">
      <c r="C2536" s="2" t="s">
        <v>5</v>
      </c>
      <c r="D2536" s="2" t="s">
        <v>693</v>
      </c>
      <c r="E2536" s="3">
        <v>18.5</v>
      </c>
      <c r="F2536" s="3">
        <v>8.5</v>
      </c>
      <c r="G2536" s="4">
        <v>44242</v>
      </c>
    </row>
    <row r="2537" spans="2:18" x14ac:dyDescent="0.2">
      <c r="C2537" s="2" t="s">
        <v>5</v>
      </c>
      <c r="D2537" s="2" t="s">
        <v>825</v>
      </c>
      <c r="E2537" s="3">
        <v>25</v>
      </c>
      <c r="F2537" s="3">
        <v>2</v>
      </c>
      <c r="G2537" s="4">
        <v>44602</v>
      </c>
    </row>
    <row r="2538" spans="2:18" x14ac:dyDescent="0.2">
      <c r="C2538" s="161" t="s">
        <v>7</v>
      </c>
      <c r="D2538" s="161" t="s">
        <v>2038</v>
      </c>
      <c r="E2538" s="3">
        <v>21</v>
      </c>
      <c r="F2538" s="3">
        <v>5</v>
      </c>
      <c r="G2538" s="4">
        <v>44518</v>
      </c>
    </row>
    <row r="2539" spans="2:18" x14ac:dyDescent="0.2">
      <c r="G2539" s="4"/>
    </row>
    <row r="2540" spans="2:18" s="12" customFormat="1" x14ac:dyDescent="0.2">
      <c r="B2540" s="12" t="s">
        <v>479</v>
      </c>
      <c r="C2540" s="13" t="s">
        <v>969</v>
      </c>
      <c r="D2540" s="13" t="s">
        <v>968</v>
      </c>
      <c r="E2540" s="15"/>
      <c r="F2540" s="15">
        <f>SUM(F2541:F2544)</f>
        <v>16.375</v>
      </c>
      <c r="G2540" s="14">
        <f>G2542</f>
        <v>45008</v>
      </c>
    </row>
    <row r="2541" spans="2:18" x14ac:dyDescent="0.2">
      <c r="C2541" s="2" t="s">
        <v>7</v>
      </c>
      <c r="D2541" s="2" t="s">
        <v>475</v>
      </c>
      <c r="E2541" s="3">
        <v>90</v>
      </c>
      <c r="F2541" s="3">
        <v>6</v>
      </c>
      <c r="G2541" s="4">
        <v>44398</v>
      </c>
      <c r="M2541" s="1"/>
      <c r="N2541" s="1"/>
      <c r="O2541" s="1"/>
      <c r="P2541" s="1"/>
      <c r="Q2541" s="1"/>
      <c r="R2541" s="1"/>
    </row>
    <row r="2542" spans="2:18" x14ac:dyDescent="0.2">
      <c r="C2542" s="2" t="s">
        <v>7</v>
      </c>
      <c r="D2542" s="2" t="s">
        <v>128</v>
      </c>
      <c r="E2542" s="3">
        <v>23.5</v>
      </c>
      <c r="F2542" s="3">
        <f>13.5/4</f>
        <v>3.375</v>
      </c>
      <c r="G2542" s="4">
        <v>45008</v>
      </c>
      <c r="M2542" s="1"/>
      <c r="N2542" s="1"/>
      <c r="O2542" s="1"/>
      <c r="P2542" s="1"/>
      <c r="Q2542" s="1"/>
      <c r="R2542" s="1"/>
    </row>
    <row r="2543" spans="2:18" x14ac:dyDescent="0.2">
      <c r="C2543" s="2" t="s">
        <v>5</v>
      </c>
      <c r="D2543" s="2" t="s">
        <v>128</v>
      </c>
      <c r="E2543" s="3">
        <v>16</v>
      </c>
      <c r="F2543" s="3">
        <v>5</v>
      </c>
      <c r="G2543" s="4">
        <v>44434</v>
      </c>
      <c r="M2543" s="1"/>
      <c r="N2543" s="1"/>
      <c r="O2543" s="1"/>
      <c r="P2543" s="1"/>
      <c r="Q2543" s="1"/>
      <c r="R2543" s="1"/>
    </row>
    <row r="2544" spans="2:18" x14ac:dyDescent="0.2">
      <c r="C2544" s="2" t="s">
        <v>4</v>
      </c>
      <c r="D2544" s="2" t="s">
        <v>128</v>
      </c>
      <c r="E2544" s="3">
        <v>5</v>
      </c>
      <c r="F2544" s="3">
        <v>2</v>
      </c>
      <c r="G2544" s="4">
        <v>44176</v>
      </c>
      <c r="M2544" s="1"/>
      <c r="N2544" s="1"/>
      <c r="O2544" s="1"/>
      <c r="P2544" s="1"/>
      <c r="Q2544" s="1"/>
      <c r="R2544" s="1"/>
    </row>
    <row r="2545" spans="2:18" x14ac:dyDescent="0.2">
      <c r="G2545" s="4"/>
      <c r="M2545" s="1"/>
      <c r="N2545" s="1"/>
      <c r="O2545" s="1"/>
      <c r="P2545" s="1"/>
      <c r="Q2545" s="1"/>
      <c r="R2545" s="1"/>
    </row>
    <row r="2546" spans="2:18" s="12" customFormat="1" x14ac:dyDescent="0.2">
      <c r="B2546" s="12" t="s">
        <v>272</v>
      </c>
      <c r="C2546" s="13" t="s">
        <v>969</v>
      </c>
      <c r="D2546" s="13" t="s">
        <v>968</v>
      </c>
      <c r="E2546" s="15"/>
      <c r="F2546" s="15">
        <f>SUM(F2547:F2550)</f>
        <v>16.220238095238095</v>
      </c>
      <c r="G2546" s="14">
        <f>G2547</f>
        <v>44622</v>
      </c>
      <c r="M2546" s="13"/>
      <c r="N2546" s="13"/>
      <c r="O2546" s="13"/>
      <c r="P2546" s="13"/>
      <c r="Q2546" s="13"/>
      <c r="R2546" s="13"/>
    </row>
    <row r="2547" spans="2:18" x14ac:dyDescent="0.2">
      <c r="C2547" s="2" t="s">
        <v>8</v>
      </c>
      <c r="D2547" s="2" t="s">
        <v>258</v>
      </c>
      <c r="E2547" s="3">
        <v>111</v>
      </c>
      <c r="F2547" s="3">
        <f>97/14</f>
        <v>6.9285714285714288</v>
      </c>
      <c r="G2547" s="4">
        <v>44622</v>
      </c>
    </row>
    <row r="2548" spans="2:18" x14ac:dyDescent="0.2">
      <c r="C2548" s="2" t="s">
        <v>18</v>
      </c>
      <c r="D2548" s="2" t="s">
        <v>258</v>
      </c>
      <c r="E2548" s="3">
        <v>55</v>
      </c>
      <c r="F2548" s="3">
        <v>5.625</v>
      </c>
      <c r="G2548" s="4">
        <v>44314</v>
      </c>
    </row>
    <row r="2549" spans="2:18" x14ac:dyDescent="0.2">
      <c r="C2549" s="2" t="s">
        <v>7</v>
      </c>
      <c r="D2549" s="2" t="s">
        <v>258</v>
      </c>
      <c r="E2549" s="3">
        <v>16</v>
      </c>
      <c r="F2549" s="3">
        <v>2</v>
      </c>
      <c r="G2549" s="4">
        <v>44009</v>
      </c>
    </row>
    <row r="2550" spans="2:18" x14ac:dyDescent="0.2">
      <c r="C2550" s="2" t="s">
        <v>5</v>
      </c>
      <c r="D2550" s="2" t="s">
        <v>258</v>
      </c>
      <c r="E2550" s="3">
        <v>14</v>
      </c>
      <c r="F2550" s="3">
        <v>1.6666666666666667</v>
      </c>
      <c r="G2550" s="4">
        <v>43690</v>
      </c>
    </row>
    <row r="2551" spans="2:18" x14ac:dyDescent="0.2">
      <c r="G2551" s="4"/>
    </row>
    <row r="2552" spans="2:18" s="12" customFormat="1" x14ac:dyDescent="0.2">
      <c r="B2552" s="12" t="s">
        <v>396</v>
      </c>
      <c r="C2552" s="13" t="s">
        <v>969</v>
      </c>
      <c r="D2552" s="13" t="s">
        <v>968</v>
      </c>
      <c r="E2552" s="15"/>
      <c r="F2552" s="15">
        <f>SUM(F2553:F2555)</f>
        <v>15.5</v>
      </c>
      <c r="G2552" s="14">
        <f>G2553</f>
        <v>44286</v>
      </c>
    </row>
    <row r="2553" spans="2:18" x14ac:dyDescent="0.2">
      <c r="C2553" s="2" t="s">
        <v>8</v>
      </c>
      <c r="D2553" s="2" t="s">
        <v>386</v>
      </c>
      <c r="E2553" s="3">
        <v>140</v>
      </c>
      <c r="F2553" s="3">
        <v>10</v>
      </c>
      <c r="G2553" s="4">
        <v>44286</v>
      </c>
      <c r="M2553" s="1"/>
      <c r="N2553" s="1"/>
      <c r="O2553" s="1"/>
      <c r="P2553" s="1"/>
      <c r="Q2553" s="1"/>
      <c r="R2553" s="1"/>
    </row>
    <row r="2554" spans="2:18" x14ac:dyDescent="0.2">
      <c r="C2554" s="2" t="s">
        <v>5</v>
      </c>
      <c r="D2554" s="2" t="s">
        <v>154</v>
      </c>
      <c r="E2554" s="3">
        <v>14</v>
      </c>
      <c r="F2554" s="3">
        <v>4</v>
      </c>
      <c r="G2554" s="4">
        <v>42668</v>
      </c>
      <c r="M2554" s="1"/>
      <c r="N2554" s="1"/>
      <c r="O2554" s="1"/>
      <c r="P2554" s="1"/>
      <c r="Q2554" s="1"/>
      <c r="R2554" s="1"/>
    </row>
    <row r="2555" spans="2:18" x14ac:dyDescent="0.2">
      <c r="C2555" s="2" t="s">
        <v>4</v>
      </c>
      <c r="D2555" s="2" t="s">
        <v>154</v>
      </c>
      <c r="E2555" s="3">
        <v>4</v>
      </c>
      <c r="F2555" s="3">
        <v>1.5</v>
      </c>
      <c r="G2555" s="4">
        <v>42023</v>
      </c>
      <c r="M2555" s="1"/>
      <c r="N2555" s="1"/>
      <c r="O2555" s="1"/>
      <c r="P2555" s="1"/>
      <c r="Q2555" s="1"/>
      <c r="R2555" s="1"/>
    </row>
    <row r="2556" spans="2:18" x14ac:dyDescent="0.2">
      <c r="G2556" s="4"/>
      <c r="M2556" s="1"/>
      <c r="N2556" s="1"/>
      <c r="O2556" s="1"/>
      <c r="P2556" s="1"/>
      <c r="Q2556" s="1"/>
      <c r="R2556" s="1"/>
    </row>
    <row r="2557" spans="2:18" s="12" customFormat="1" x14ac:dyDescent="0.2">
      <c r="B2557" s="12" t="s">
        <v>706</v>
      </c>
      <c r="C2557" s="13" t="s">
        <v>969</v>
      </c>
      <c r="D2557" s="13" t="s">
        <v>968</v>
      </c>
      <c r="E2557" s="15"/>
      <c r="F2557" s="15">
        <f>SUM(F2558:F2560)</f>
        <v>15.625</v>
      </c>
      <c r="G2557" s="14">
        <f>G2558</f>
        <v>45090</v>
      </c>
      <c r="M2557" s="13"/>
      <c r="N2557" s="13"/>
      <c r="O2557" s="13"/>
      <c r="P2557" s="13"/>
      <c r="Q2557" s="13"/>
      <c r="R2557" s="13"/>
    </row>
    <row r="2558" spans="2:18" x14ac:dyDescent="0.2">
      <c r="C2558" s="2" t="s">
        <v>4</v>
      </c>
      <c r="D2558" s="2" t="s">
        <v>705</v>
      </c>
      <c r="E2558" s="3">
        <v>113</v>
      </c>
      <c r="F2558" s="3">
        <v>8</v>
      </c>
      <c r="G2558" s="4">
        <v>45090</v>
      </c>
    </row>
    <row r="2559" spans="2:18" x14ac:dyDescent="0.2">
      <c r="C2559" s="2" t="s">
        <v>5</v>
      </c>
      <c r="D2559" s="2" t="s">
        <v>465</v>
      </c>
      <c r="E2559" s="3">
        <v>15.5</v>
      </c>
      <c r="F2559" s="3">
        <v>1.625</v>
      </c>
      <c r="G2559" s="4">
        <v>44727</v>
      </c>
    </row>
    <row r="2560" spans="2:18" x14ac:dyDescent="0.2">
      <c r="C2560" s="2" t="s">
        <v>5</v>
      </c>
      <c r="D2560" s="2" t="s">
        <v>465</v>
      </c>
      <c r="E2560" s="3">
        <v>12</v>
      </c>
      <c r="F2560" s="3">
        <v>6</v>
      </c>
      <c r="G2560" s="4">
        <v>43948</v>
      </c>
    </row>
    <row r="2561" spans="2:18" x14ac:dyDescent="0.2">
      <c r="G2561" s="4"/>
    </row>
    <row r="2562" spans="2:18" s="12" customFormat="1" x14ac:dyDescent="0.2">
      <c r="B2562" s="12" t="s">
        <v>5440</v>
      </c>
      <c r="C2562" s="13" t="s">
        <v>969</v>
      </c>
      <c r="D2562" s="13" t="s">
        <v>968</v>
      </c>
      <c r="E2562" s="15"/>
      <c r="F2562" s="15">
        <f>SUM(F2563:F2564)</f>
        <v>15.75</v>
      </c>
      <c r="G2562" s="14">
        <f>G2563</f>
        <v>44637</v>
      </c>
      <c r="M2562" s="13"/>
      <c r="N2562" s="13"/>
      <c r="O2562" s="13"/>
      <c r="P2562" s="13"/>
      <c r="Q2562" s="13"/>
      <c r="R2562" s="13"/>
    </row>
    <row r="2563" spans="2:18" x14ac:dyDescent="0.2">
      <c r="B2563" s="92"/>
      <c r="C2563" s="93" t="s">
        <v>18</v>
      </c>
      <c r="D2563" s="93" t="s">
        <v>2093</v>
      </c>
      <c r="E2563" s="3">
        <v>80</v>
      </c>
      <c r="F2563" s="3">
        <f>7</f>
        <v>7</v>
      </c>
      <c r="G2563" s="4">
        <v>44637</v>
      </c>
      <c r="I2563" s="1">
        <v>1500</v>
      </c>
      <c r="J2563" s="1">
        <v>1500</v>
      </c>
    </row>
    <row r="2564" spans="2:18" x14ac:dyDescent="0.2">
      <c r="B2564" s="92"/>
      <c r="C2564" s="93" t="s">
        <v>7</v>
      </c>
      <c r="D2564" s="93" t="s">
        <v>2093</v>
      </c>
      <c r="E2564" s="3">
        <v>50</v>
      </c>
      <c r="F2564" s="3">
        <f>35/4</f>
        <v>8.75</v>
      </c>
      <c r="G2564" s="4">
        <v>44286</v>
      </c>
      <c r="J2564" s="1">
        <v>1500</v>
      </c>
    </row>
    <row r="2565" spans="2:18" x14ac:dyDescent="0.2">
      <c r="B2565" s="92"/>
      <c r="C2565" s="93"/>
      <c r="D2565" s="93"/>
      <c r="G2565" s="4"/>
    </row>
    <row r="2566" spans="2:18" s="12" customFormat="1" x14ac:dyDescent="0.2">
      <c r="B2566" s="12" t="s">
        <v>608</v>
      </c>
      <c r="C2566" s="13" t="s">
        <v>969</v>
      </c>
      <c r="D2566" s="13" t="s">
        <v>968</v>
      </c>
      <c r="E2566" s="15"/>
      <c r="F2566" s="15">
        <f>SUM(F2567:F2568)</f>
        <v>16</v>
      </c>
      <c r="G2566" s="14">
        <f>G2567</f>
        <v>43888</v>
      </c>
    </row>
    <row r="2567" spans="2:18" x14ac:dyDescent="0.2">
      <c r="C2567" s="2" t="s">
        <v>18</v>
      </c>
      <c r="D2567" s="2" t="s">
        <v>606</v>
      </c>
      <c r="E2567" s="3">
        <v>48</v>
      </c>
      <c r="F2567" s="3">
        <v>4</v>
      </c>
      <c r="G2567" s="4">
        <v>43888</v>
      </c>
      <c r="M2567" s="1"/>
      <c r="N2567" s="1"/>
      <c r="O2567" s="1"/>
      <c r="P2567" s="1"/>
      <c r="Q2567" s="1"/>
      <c r="R2567" s="1"/>
    </row>
    <row r="2568" spans="2:18" x14ac:dyDescent="0.2">
      <c r="C2568" s="2" t="s">
        <v>18</v>
      </c>
      <c r="D2568" s="2" t="s">
        <v>606</v>
      </c>
      <c r="E2568" s="3">
        <v>12</v>
      </c>
      <c r="F2568" s="3">
        <v>12</v>
      </c>
      <c r="G2568" s="4">
        <v>43648</v>
      </c>
      <c r="M2568" s="1"/>
      <c r="N2568" s="1"/>
      <c r="O2568" s="1"/>
      <c r="P2568" s="1"/>
      <c r="Q2568" s="1"/>
      <c r="R2568" s="1"/>
    </row>
    <row r="2569" spans="2:18" x14ac:dyDescent="0.2">
      <c r="G2569" s="4"/>
      <c r="M2569" s="1"/>
      <c r="N2569" s="1"/>
      <c r="O2569" s="1"/>
      <c r="P2569" s="1"/>
      <c r="Q2569" s="1"/>
      <c r="R2569" s="1"/>
    </row>
    <row r="2570" spans="2:18" s="12" customFormat="1" x14ac:dyDescent="0.2">
      <c r="B2570" s="12" t="s">
        <v>1018</v>
      </c>
      <c r="C2570" s="13" t="s">
        <v>969</v>
      </c>
      <c r="D2570" s="13" t="s">
        <v>968</v>
      </c>
      <c r="E2570" s="15"/>
      <c r="F2570" s="15">
        <f>SUM(F2571:F2572)</f>
        <v>15.5</v>
      </c>
      <c r="G2570" s="14">
        <f>G2572</f>
        <v>44510</v>
      </c>
      <c r="M2570" s="13"/>
      <c r="N2570" s="13"/>
      <c r="O2570" s="13"/>
      <c r="P2570" s="13"/>
      <c r="Q2570" s="13"/>
      <c r="R2570" s="13"/>
    </row>
    <row r="2571" spans="2:18" x14ac:dyDescent="0.2">
      <c r="C2571" s="2" t="s">
        <v>5</v>
      </c>
      <c r="D2571" s="2" t="s">
        <v>693</v>
      </c>
      <c r="E2571" s="3">
        <v>18.5</v>
      </c>
      <c r="F2571" s="3">
        <v>8.5</v>
      </c>
      <c r="G2571" s="4">
        <v>44242</v>
      </c>
    </row>
    <row r="2572" spans="2:18" x14ac:dyDescent="0.2">
      <c r="C2572" s="2" t="s">
        <v>7</v>
      </c>
      <c r="D2572" s="2" t="s">
        <v>871</v>
      </c>
      <c r="E2572" s="3">
        <v>30</v>
      </c>
      <c r="F2572" s="3">
        <v>7</v>
      </c>
      <c r="G2572" s="4">
        <v>44510</v>
      </c>
    </row>
    <row r="2573" spans="2:18" x14ac:dyDescent="0.2">
      <c r="G2573" s="4"/>
    </row>
    <row r="2574" spans="2:18" s="12" customFormat="1" x14ac:dyDescent="0.2">
      <c r="B2574" s="12" t="s">
        <v>1015</v>
      </c>
      <c r="C2574" s="13" t="s">
        <v>969</v>
      </c>
      <c r="D2574" s="13" t="s">
        <v>968</v>
      </c>
      <c r="E2574" s="15"/>
      <c r="F2574" s="15">
        <f>SUM(F2575:F2577)</f>
        <v>15.85</v>
      </c>
      <c r="G2574" s="14">
        <f>G2577</f>
        <v>44650</v>
      </c>
    </row>
    <row r="2575" spans="2:18" x14ac:dyDescent="0.2">
      <c r="C2575" s="2" t="s">
        <v>4</v>
      </c>
      <c r="D2575" s="2" t="s">
        <v>676</v>
      </c>
      <c r="E2575" s="3">
        <v>4.5</v>
      </c>
      <c r="F2575" s="3">
        <v>0.5</v>
      </c>
      <c r="G2575" s="4">
        <v>44362</v>
      </c>
      <c r="M2575" s="1"/>
      <c r="N2575" s="1"/>
      <c r="O2575" s="1"/>
      <c r="P2575" s="1"/>
      <c r="Q2575" s="1"/>
      <c r="R2575" s="1"/>
    </row>
    <row r="2576" spans="2:18" x14ac:dyDescent="0.2">
      <c r="C2576" s="2" t="s">
        <v>4</v>
      </c>
      <c r="D2576" s="2" t="s">
        <v>347</v>
      </c>
      <c r="E2576" s="3">
        <v>3.5</v>
      </c>
      <c r="F2576" s="3">
        <f>E2576/10</f>
        <v>0.35</v>
      </c>
      <c r="G2576" s="4">
        <v>43046</v>
      </c>
      <c r="L2576" s="1">
        <v>0</v>
      </c>
      <c r="M2576" s="1"/>
      <c r="N2576" s="1"/>
      <c r="O2576" s="1"/>
      <c r="P2576" s="1"/>
      <c r="Q2576" s="1"/>
      <c r="R2576" s="1"/>
    </row>
    <row r="2577" spans="2:18" x14ac:dyDescent="0.2">
      <c r="C2577" s="2" t="s">
        <v>18</v>
      </c>
      <c r="D2577" s="2" t="s">
        <v>57</v>
      </c>
      <c r="E2577" s="3">
        <v>100</v>
      </c>
      <c r="F2577" s="3">
        <v>15</v>
      </c>
      <c r="G2577" s="4">
        <v>44650</v>
      </c>
      <c r="M2577" s="1"/>
      <c r="N2577" s="1"/>
      <c r="O2577" s="1"/>
      <c r="P2577" s="1"/>
      <c r="Q2577" s="1"/>
      <c r="R2577" s="1"/>
    </row>
    <row r="2578" spans="2:18" x14ac:dyDescent="0.2">
      <c r="G2578" s="4"/>
      <c r="M2578" s="1"/>
      <c r="N2578" s="1"/>
      <c r="O2578" s="1"/>
      <c r="P2578" s="1"/>
      <c r="Q2578" s="1"/>
      <c r="R2578" s="1"/>
    </row>
    <row r="2579" spans="2:18" s="12" customFormat="1" x14ac:dyDescent="0.2">
      <c r="B2579" s="12" t="s">
        <v>617</v>
      </c>
      <c r="C2579" s="13" t="s">
        <v>969</v>
      </c>
      <c r="D2579" s="13" t="s">
        <v>968</v>
      </c>
      <c r="E2579" s="15"/>
      <c r="F2579" s="15">
        <f>SUM(F2580:F2585)</f>
        <v>21.705555555555556</v>
      </c>
      <c r="G2579" s="14">
        <f>G2580</f>
        <v>44215</v>
      </c>
    </row>
    <row r="2580" spans="2:18" x14ac:dyDescent="0.2">
      <c r="C2580" s="2" t="s">
        <v>9</v>
      </c>
      <c r="D2580" s="2" t="s">
        <v>606</v>
      </c>
      <c r="E2580" s="3">
        <v>132</v>
      </c>
      <c r="F2580" s="3">
        <f>72/10</f>
        <v>7.2</v>
      </c>
      <c r="G2580" s="4">
        <v>44215</v>
      </c>
      <c r="I2580" s="1">
        <v>1400</v>
      </c>
      <c r="J2580" s="1">
        <v>1200</v>
      </c>
      <c r="M2580" s="1"/>
      <c r="N2580" s="1"/>
      <c r="O2580" s="1"/>
      <c r="P2580" s="1"/>
      <c r="Q2580" s="1"/>
      <c r="R2580" s="1"/>
    </row>
    <row r="2581" spans="2:18" x14ac:dyDescent="0.2">
      <c r="C2581" s="282" t="s">
        <v>7978</v>
      </c>
      <c r="D2581" s="2" t="s">
        <v>606</v>
      </c>
      <c r="E2581" s="3">
        <v>59</v>
      </c>
      <c r="F2581" s="3">
        <f>59/9</f>
        <v>6.5555555555555554</v>
      </c>
      <c r="G2581" s="4">
        <v>45124</v>
      </c>
      <c r="I2581" s="1">
        <v>1200</v>
      </c>
      <c r="J2581" s="1">
        <v>1200</v>
      </c>
      <c r="M2581" s="1"/>
      <c r="N2581" s="1"/>
      <c r="O2581" s="1"/>
      <c r="P2581" s="1"/>
      <c r="Q2581" s="1"/>
      <c r="R2581" s="1"/>
    </row>
    <row r="2582" spans="2:18" x14ac:dyDescent="0.2">
      <c r="C2582" s="2" t="s">
        <v>18</v>
      </c>
      <c r="D2582" s="2" t="s">
        <v>606</v>
      </c>
      <c r="E2582" s="3">
        <v>48</v>
      </c>
      <c r="F2582" s="3">
        <f>28/7</f>
        <v>4</v>
      </c>
      <c r="G2582" s="4">
        <v>43888</v>
      </c>
      <c r="J2582" s="1">
        <v>1200</v>
      </c>
      <c r="M2582" s="1"/>
      <c r="N2582" s="1"/>
      <c r="O2582" s="1"/>
      <c r="P2582" s="1"/>
      <c r="Q2582" s="1"/>
      <c r="R2582" s="1"/>
    </row>
    <row r="2583" spans="2:18" x14ac:dyDescent="0.2">
      <c r="C2583" s="2" t="s">
        <v>7</v>
      </c>
      <c r="D2583" s="2" t="s">
        <v>606</v>
      </c>
      <c r="E2583" s="3">
        <v>25</v>
      </c>
      <c r="F2583" s="3">
        <f>10/5</f>
        <v>2</v>
      </c>
      <c r="G2583" s="4">
        <v>43440</v>
      </c>
      <c r="J2583" s="1">
        <v>1200</v>
      </c>
      <c r="M2583" s="1"/>
      <c r="N2583" s="1"/>
      <c r="O2583" s="1"/>
      <c r="P2583" s="1"/>
      <c r="Q2583" s="1"/>
      <c r="R2583" s="1"/>
    </row>
    <row r="2584" spans="2:18" x14ac:dyDescent="0.2">
      <c r="C2584" s="2" t="s">
        <v>5</v>
      </c>
      <c r="D2584" s="2" t="s">
        <v>606</v>
      </c>
      <c r="E2584" s="3">
        <v>5.8</v>
      </c>
      <c r="F2584" s="3">
        <f>E2584/4</f>
        <v>1.45</v>
      </c>
      <c r="G2584" s="4">
        <v>43117</v>
      </c>
      <c r="J2584" s="1">
        <v>1200</v>
      </c>
      <c r="M2584" s="1"/>
      <c r="N2584" s="1"/>
      <c r="O2584" s="1"/>
      <c r="P2584" s="1"/>
      <c r="Q2584" s="1"/>
      <c r="R2584" s="1"/>
    </row>
    <row r="2585" spans="2:18" x14ac:dyDescent="0.2">
      <c r="C2585" s="2" t="s">
        <v>4</v>
      </c>
      <c r="D2585" s="2" t="s">
        <v>606</v>
      </c>
      <c r="E2585" s="3">
        <v>3.3</v>
      </c>
      <c r="F2585" s="3">
        <v>0.5</v>
      </c>
      <c r="G2585" s="4">
        <v>42678</v>
      </c>
      <c r="J2585" s="1">
        <v>1200</v>
      </c>
      <c r="M2585" s="1"/>
      <c r="N2585" s="1"/>
      <c r="O2585" s="1"/>
      <c r="P2585" s="1"/>
      <c r="Q2585" s="1"/>
      <c r="R2585" s="1"/>
    </row>
    <row r="2586" spans="2:18" x14ac:dyDescent="0.2">
      <c r="G2586" s="4"/>
      <c r="M2586" s="1"/>
      <c r="N2586" s="1"/>
      <c r="O2586" s="1"/>
      <c r="P2586" s="1"/>
      <c r="Q2586" s="1"/>
      <c r="R2586" s="1"/>
    </row>
    <row r="2587" spans="2:18" s="12" customFormat="1" x14ac:dyDescent="0.2">
      <c r="B2587" s="12" t="s">
        <v>6230</v>
      </c>
      <c r="C2587" s="13" t="s">
        <v>969</v>
      </c>
      <c r="D2587" s="13" t="s">
        <v>968</v>
      </c>
      <c r="E2587" s="15"/>
      <c r="F2587" s="15">
        <f>SUM(F2588:F2591)</f>
        <v>15.3</v>
      </c>
      <c r="G2587" s="14">
        <f>G2588</f>
        <v>44518</v>
      </c>
      <c r="M2587" s="13"/>
      <c r="N2587" s="13"/>
      <c r="O2587" s="13"/>
      <c r="P2587" s="13"/>
      <c r="Q2587" s="13"/>
      <c r="R2587" s="13"/>
    </row>
    <row r="2588" spans="2:18" x14ac:dyDescent="0.2">
      <c r="B2588" s="135"/>
      <c r="C2588" s="141" t="s">
        <v>7</v>
      </c>
      <c r="D2588" s="141" t="s">
        <v>2060</v>
      </c>
      <c r="E2588" s="3">
        <v>50</v>
      </c>
      <c r="F2588" s="3">
        <v>10</v>
      </c>
      <c r="G2588" s="4">
        <v>44518</v>
      </c>
    </row>
    <row r="2589" spans="2:18" x14ac:dyDescent="0.2">
      <c r="C2589" s="141" t="s">
        <v>5</v>
      </c>
      <c r="D2589" s="141" t="s">
        <v>2060</v>
      </c>
      <c r="E2589" s="3">
        <v>13</v>
      </c>
      <c r="F2589" s="3">
        <v>3</v>
      </c>
      <c r="G2589" s="4">
        <v>44294</v>
      </c>
    </row>
    <row r="2590" spans="2:18" x14ac:dyDescent="0.2">
      <c r="C2590" s="141" t="s">
        <v>4</v>
      </c>
      <c r="D2590" s="141" t="s">
        <v>2060</v>
      </c>
      <c r="E2590" s="3">
        <v>4.5</v>
      </c>
      <c r="F2590" s="3">
        <v>1.5</v>
      </c>
      <c r="G2590" s="4">
        <v>43943</v>
      </c>
    </row>
    <row r="2591" spans="2:18" x14ac:dyDescent="0.2">
      <c r="C2591" s="141" t="s">
        <v>4</v>
      </c>
      <c r="D2591" s="141" t="s">
        <v>2060</v>
      </c>
      <c r="E2591" s="3">
        <v>2.2999999999999998</v>
      </c>
      <c r="F2591" s="3">
        <v>0.8</v>
      </c>
      <c r="G2591" s="4">
        <v>43195</v>
      </c>
    </row>
    <row r="2592" spans="2:18" x14ac:dyDescent="0.2">
      <c r="C2592" s="141"/>
      <c r="D2592" s="141"/>
      <c r="G2592" s="4"/>
    </row>
    <row r="2593" spans="2:18" s="12" customFormat="1" x14ac:dyDescent="0.2">
      <c r="B2593" s="12" t="s">
        <v>485</v>
      </c>
      <c r="C2593" s="13" t="s">
        <v>969</v>
      </c>
      <c r="D2593" s="13" t="s">
        <v>968</v>
      </c>
      <c r="E2593" s="15"/>
      <c r="F2593" s="15">
        <f>SUM(F2594:F2598)</f>
        <v>15.25</v>
      </c>
      <c r="G2593" s="14">
        <f>G2594</f>
        <v>44516</v>
      </c>
    </row>
    <row r="2594" spans="2:18" x14ac:dyDescent="0.2">
      <c r="C2594" s="2" t="s">
        <v>5</v>
      </c>
      <c r="D2594" s="2" t="s">
        <v>483</v>
      </c>
      <c r="E2594" s="3">
        <v>13</v>
      </c>
      <c r="F2594" s="3">
        <v>1.4</v>
      </c>
      <c r="G2594" s="4">
        <v>44516</v>
      </c>
      <c r="M2594" s="1"/>
      <c r="N2594" s="1"/>
      <c r="O2594" s="1"/>
      <c r="P2594" s="1"/>
      <c r="Q2594" s="1"/>
      <c r="R2594" s="1"/>
    </row>
    <row r="2595" spans="2:18" x14ac:dyDescent="0.2">
      <c r="C2595" s="2" t="s">
        <v>4</v>
      </c>
      <c r="D2595" s="2" t="s">
        <v>347</v>
      </c>
      <c r="E2595" s="3">
        <v>3.5</v>
      </c>
      <c r="F2595" s="3">
        <f>E2595/10</f>
        <v>0.35</v>
      </c>
      <c r="G2595" s="4">
        <v>43046</v>
      </c>
      <c r="M2595" s="1"/>
      <c r="N2595" s="1"/>
      <c r="O2595" s="1"/>
      <c r="P2595" s="1"/>
      <c r="Q2595" s="1"/>
      <c r="R2595" s="1"/>
    </row>
    <row r="2596" spans="2:18" x14ac:dyDescent="0.2">
      <c r="C2596" s="93" t="s">
        <v>7</v>
      </c>
      <c r="D2596" s="93" t="s">
        <v>2104</v>
      </c>
      <c r="E2596" s="3">
        <v>56</v>
      </c>
      <c r="F2596" s="3">
        <v>8</v>
      </c>
      <c r="G2596" s="4">
        <v>44319</v>
      </c>
      <c r="M2596" s="1"/>
      <c r="N2596" s="1"/>
      <c r="O2596" s="1"/>
      <c r="P2596" s="1"/>
      <c r="Q2596" s="1"/>
      <c r="R2596" s="1"/>
    </row>
    <row r="2597" spans="2:18" x14ac:dyDescent="0.2">
      <c r="C2597" s="93" t="s">
        <v>5</v>
      </c>
      <c r="D2597" s="93" t="s">
        <v>2104</v>
      </c>
      <c r="E2597" s="3">
        <v>12.5</v>
      </c>
      <c r="F2597" s="3">
        <v>5</v>
      </c>
      <c r="G2597" s="4">
        <v>43453</v>
      </c>
      <c r="M2597" s="1"/>
      <c r="N2597" s="1"/>
      <c r="O2597" s="1"/>
      <c r="P2597" s="1"/>
      <c r="Q2597" s="1"/>
      <c r="R2597" s="1"/>
    </row>
    <row r="2598" spans="2:18" x14ac:dyDescent="0.2">
      <c r="C2598" s="93" t="s">
        <v>4</v>
      </c>
      <c r="D2598" s="93" t="s">
        <v>2104</v>
      </c>
      <c r="E2598" s="3">
        <v>2.5</v>
      </c>
      <c r="F2598" s="3">
        <v>0.5</v>
      </c>
      <c r="G2598" s="4">
        <v>43401</v>
      </c>
      <c r="M2598" s="1"/>
      <c r="N2598" s="1"/>
      <c r="O2598" s="1"/>
      <c r="P2598" s="1"/>
      <c r="Q2598" s="1"/>
      <c r="R2598" s="1"/>
    </row>
    <row r="2599" spans="2:18" x14ac:dyDescent="0.2">
      <c r="G2599" s="4"/>
      <c r="M2599" s="1"/>
      <c r="N2599" s="1"/>
      <c r="O2599" s="1"/>
      <c r="P2599" s="1"/>
      <c r="Q2599" s="1"/>
      <c r="R2599" s="1"/>
    </row>
    <row r="2600" spans="2:18" s="12" customFormat="1" x14ac:dyDescent="0.2">
      <c r="B2600" s="12" t="s">
        <v>6710</v>
      </c>
      <c r="C2600" s="13" t="s">
        <v>969</v>
      </c>
      <c r="D2600" s="13" t="s">
        <v>968</v>
      </c>
      <c r="E2600" s="15"/>
      <c r="F2600" s="15">
        <f>SUM(F2601:F2603)</f>
        <v>14.857142857142858</v>
      </c>
      <c r="G2600" s="14">
        <f>G2601</f>
        <v>43178</v>
      </c>
      <c r="M2600" s="13"/>
      <c r="N2600" s="13"/>
      <c r="O2600" s="13"/>
      <c r="P2600" s="13"/>
      <c r="Q2600" s="13"/>
      <c r="R2600" s="13"/>
    </row>
    <row r="2601" spans="2:18" x14ac:dyDescent="0.2">
      <c r="B2601" s="184"/>
      <c r="C2601" s="2" t="s">
        <v>8</v>
      </c>
      <c r="D2601" s="2" t="s">
        <v>102</v>
      </c>
      <c r="E2601" s="3">
        <v>30</v>
      </c>
      <c r="F2601" s="3">
        <f>20/7</f>
        <v>2.8571428571428572</v>
      </c>
      <c r="G2601" s="4">
        <v>43178</v>
      </c>
    </row>
    <row r="2602" spans="2:18" x14ac:dyDescent="0.2">
      <c r="C2602" s="2" t="s">
        <v>8</v>
      </c>
      <c r="D2602" s="2" t="s">
        <v>102</v>
      </c>
      <c r="E2602" s="3">
        <v>40</v>
      </c>
      <c r="F2602" s="3">
        <v>7</v>
      </c>
      <c r="G2602" s="4">
        <v>42493</v>
      </c>
    </row>
    <row r="2603" spans="2:18" x14ac:dyDescent="0.2">
      <c r="C2603" s="2" t="s">
        <v>8</v>
      </c>
      <c r="D2603" s="2" t="s">
        <v>102</v>
      </c>
      <c r="E2603" s="3">
        <v>5</v>
      </c>
      <c r="F2603" s="3">
        <v>5</v>
      </c>
      <c r="G2603" s="4">
        <v>42356</v>
      </c>
    </row>
    <row r="2604" spans="2:18" x14ac:dyDescent="0.2">
      <c r="G2604" s="4"/>
    </row>
    <row r="2605" spans="2:18" s="12" customFormat="1" x14ac:dyDescent="0.2">
      <c r="B2605" s="12" t="s">
        <v>724</v>
      </c>
      <c r="C2605" s="13" t="s">
        <v>969</v>
      </c>
      <c r="D2605" s="13" t="s">
        <v>968</v>
      </c>
      <c r="E2605" s="15"/>
      <c r="F2605" s="15">
        <f>SUM(F2606:F2608)</f>
        <v>15.166666666666666</v>
      </c>
      <c r="G2605" s="14">
        <f>G2606</f>
        <v>44903</v>
      </c>
    </row>
    <row r="2606" spans="2:18" x14ac:dyDescent="0.2">
      <c r="C2606" s="2" t="s">
        <v>5</v>
      </c>
      <c r="D2606" s="2" t="s">
        <v>722</v>
      </c>
      <c r="E2606" s="3">
        <v>20</v>
      </c>
      <c r="F2606" s="3">
        <f>13/6</f>
        <v>2.1666666666666665</v>
      </c>
      <c r="G2606" s="4">
        <v>44903</v>
      </c>
    </row>
    <row r="2607" spans="2:18" x14ac:dyDescent="0.2">
      <c r="C2607" s="2" t="s">
        <v>5</v>
      </c>
      <c r="D2607" s="2" t="s">
        <v>722</v>
      </c>
      <c r="E2607" s="3">
        <v>11</v>
      </c>
      <c r="F2607" s="3">
        <v>3</v>
      </c>
      <c r="G2607" s="4">
        <v>44313</v>
      </c>
    </row>
    <row r="2608" spans="2:18" x14ac:dyDescent="0.2">
      <c r="C2608" s="2" t="s">
        <v>5</v>
      </c>
      <c r="D2608" s="2" t="s">
        <v>659</v>
      </c>
      <c r="E2608" s="3">
        <v>10</v>
      </c>
      <c r="F2608" s="3">
        <v>10</v>
      </c>
      <c r="G2608" s="4">
        <v>44854</v>
      </c>
    </row>
    <row r="2609" spans="2:18" x14ac:dyDescent="0.2">
      <c r="G2609" s="4"/>
    </row>
    <row r="2610" spans="2:18" s="12" customFormat="1" x14ac:dyDescent="0.2">
      <c r="B2610" s="12" t="s">
        <v>83</v>
      </c>
      <c r="C2610" s="13" t="s">
        <v>969</v>
      </c>
      <c r="D2610" s="13" t="s">
        <v>968</v>
      </c>
      <c r="E2610" s="15"/>
      <c r="F2610" s="15">
        <f>SUM(F2611:F2612)</f>
        <v>14.666666666666668</v>
      </c>
      <c r="G2610" s="14">
        <f>G2611</f>
        <v>43622</v>
      </c>
      <c r="M2610" s="13"/>
      <c r="N2610" s="13"/>
      <c r="O2610" s="13"/>
      <c r="P2610" s="13"/>
      <c r="Q2610" s="13"/>
      <c r="R2610" s="13"/>
    </row>
    <row r="2611" spans="2:18" x14ac:dyDescent="0.2">
      <c r="C2611" s="2" t="s">
        <v>5</v>
      </c>
      <c r="D2611" s="2" t="s">
        <v>80</v>
      </c>
      <c r="E2611" s="3">
        <v>43</v>
      </c>
      <c r="F2611" s="3">
        <f>+E2611/6</f>
        <v>7.166666666666667</v>
      </c>
      <c r="G2611" s="4">
        <v>43622</v>
      </c>
    </row>
    <row r="2612" spans="2:18" x14ac:dyDescent="0.2">
      <c r="C2612" s="2" t="s">
        <v>4</v>
      </c>
      <c r="D2612" s="2" t="s">
        <v>80</v>
      </c>
      <c r="E2612" s="3">
        <v>49</v>
      </c>
      <c r="F2612" s="3">
        <v>7.5</v>
      </c>
      <c r="G2612" s="4">
        <v>43319</v>
      </c>
    </row>
    <row r="2613" spans="2:18" x14ac:dyDescent="0.2">
      <c r="G2613" s="4"/>
    </row>
    <row r="2614" spans="2:18" x14ac:dyDescent="0.2">
      <c r="B2614" s="12" t="s">
        <v>5022</v>
      </c>
      <c r="C2614" s="13" t="s">
        <v>969</v>
      </c>
      <c r="D2614" s="13" t="s">
        <v>968</v>
      </c>
      <c r="F2614" s="15">
        <f>SUM(F2615:F2620)</f>
        <v>14.583333333333334</v>
      </c>
      <c r="G2614" s="14">
        <f>G2615</f>
        <v>44293</v>
      </c>
    </row>
    <row r="2615" spans="2:18" x14ac:dyDescent="0.2">
      <c r="C2615" s="2" t="s">
        <v>7</v>
      </c>
      <c r="D2615" s="2" t="s">
        <v>877</v>
      </c>
      <c r="E2615" s="3">
        <v>35</v>
      </c>
      <c r="F2615" s="3">
        <f>25/6</f>
        <v>4.166666666666667</v>
      </c>
      <c r="G2615" s="4">
        <v>44293</v>
      </c>
    </row>
    <row r="2616" spans="2:18" x14ac:dyDescent="0.2">
      <c r="C2616" s="2" t="s">
        <v>5</v>
      </c>
      <c r="D2616" s="2" t="s">
        <v>877</v>
      </c>
      <c r="E2616" s="3">
        <v>12</v>
      </c>
      <c r="F2616" s="3">
        <v>3</v>
      </c>
      <c r="G2616" s="4">
        <v>44026</v>
      </c>
    </row>
    <row r="2617" spans="2:18" x14ac:dyDescent="0.2">
      <c r="C2617" s="2" t="s">
        <v>4</v>
      </c>
      <c r="D2617" s="2" t="s">
        <v>877</v>
      </c>
      <c r="E2617" s="3">
        <v>3.3</v>
      </c>
      <c r="F2617" s="3">
        <v>0.5</v>
      </c>
      <c r="G2617" s="4">
        <v>44026</v>
      </c>
    </row>
    <row r="2618" spans="2:18" x14ac:dyDescent="0.2">
      <c r="C2618" s="2" t="s">
        <v>7</v>
      </c>
      <c r="D2618" s="2" t="s">
        <v>310</v>
      </c>
      <c r="E2618" s="3">
        <v>40</v>
      </c>
      <c r="F2618" s="3">
        <v>4</v>
      </c>
      <c r="G2618" s="4">
        <v>43419</v>
      </c>
    </row>
    <row r="2619" spans="2:18" x14ac:dyDescent="0.2">
      <c r="C2619" s="2" t="s">
        <v>5</v>
      </c>
      <c r="D2619" s="2" t="s">
        <v>310</v>
      </c>
      <c r="E2619" s="3">
        <v>14.7</v>
      </c>
      <c r="F2619" s="3">
        <v>2.25</v>
      </c>
      <c r="G2619" s="4">
        <v>43032</v>
      </c>
    </row>
    <row r="2620" spans="2:18" x14ac:dyDescent="0.2">
      <c r="C2620" s="2" t="s">
        <v>5</v>
      </c>
      <c r="D2620" s="55" t="s">
        <v>5013</v>
      </c>
      <c r="E2620" s="3">
        <v>3</v>
      </c>
      <c r="F2620" s="3">
        <f>2/3</f>
        <v>0.66666666666666663</v>
      </c>
      <c r="G2620" s="4">
        <v>42220</v>
      </c>
    </row>
    <row r="2621" spans="2:18" x14ac:dyDescent="0.2">
      <c r="G2621" s="4"/>
    </row>
    <row r="2622" spans="2:18" s="12" customFormat="1" x14ac:dyDescent="0.2">
      <c r="B2622" s="12" t="s">
        <v>740</v>
      </c>
      <c r="C2622" s="13" t="s">
        <v>969</v>
      </c>
      <c r="D2622" s="13" t="s">
        <v>968</v>
      </c>
      <c r="E2622" s="15"/>
      <c r="F2622" s="15">
        <f>SUM(F2623:F2624)</f>
        <v>14.5</v>
      </c>
      <c r="G2622" s="14">
        <f>G2623</f>
        <v>44469</v>
      </c>
    </row>
    <row r="2623" spans="2:18" x14ac:dyDescent="0.2">
      <c r="C2623" s="2" t="s">
        <v>4</v>
      </c>
      <c r="D2623" s="2" t="s">
        <v>699</v>
      </c>
      <c r="E2623" s="3">
        <v>2.5</v>
      </c>
      <c r="F2623" s="3">
        <f>2/6</f>
        <v>0.33333333333333331</v>
      </c>
      <c r="G2623" s="4">
        <v>44469</v>
      </c>
      <c r="M2623" s="1"/>
      <c r="N2623" s="1"/>
      <c r="O2623" s="1"/>
      <c r="P2623" s="1"/>
      <c r="Q2623" s="1"/>
      <c r="R2623" s="1"/>
    </row>
    <row r="2624" spans="2:18" x14ac:dyDescent="0.2">
      <c r="C2624" s="2" t="s">
        <v>8</v>
      </c>
      <c r="D2624" s="2" t="s">
        <v>47</v>
      </c>
      <c r="E2624" s="3">
        <v>145</v>
      </c>
      <c r="F2624" s="3">
        <f>85/6</f>
        <v>14.166666666666666</v>
      </c>
      <c r="G2624" s="4">
        <v>43228</v>
      </c>
      <c r="M2624" s="1"/>
      <c r="N2624" s="1"/>
      <c r="O2624" s="1"/>
      <c r="P2624" s="1"/>
      <c r="Q2624" s="1"/>
      <c r="R2624" s="1"/>
    </row>
    <row r="2625" spans="2:18" x14ac:dyDescent="0.2">
      <c r="G2625" s="4"/>
      <c r="M2625" s="1"/>
      <c r="N2625" s="1"/>
      <c r="O2625" s="1"/>
      <c r="P2625" s="1"/>
      <c r="Q2625" s="1"/>
      <c r="R2625" s="1"/>
    </row>
    <row r="2626" spans="2:18" s="12" customFormat="1" x14ac:dyDescent="0.2">
      <c r="B2626" s="12" t="s">
        <v>13</v>
      </c>
      <c r="C2626" s="13" t="s">
        <v>969</v>
      </c>
      <c r="D2626" s="13" t="s">
        <v>968</v>
      </c>
      <c r="E2626" s="15"/>
      <c r="F2626" s="15">
        <f>SUM(F2627:F2629)</f>
        <v>63.75</v>
      </c>
      <c r="G2626" s="14">
        <f>+G2629</f>
        <v>45230</v>
      </c>
      <c r="M2626" s="13"/>
      <c r="N2626" s="13"/>
      <c r="O2626" s="13"/>
      <c r="P2626" s="13"/>
      <c r="Q2626" s="13"/>
      <c r="R2626" s="13"/>
    </row>
    <row r="2627" spans="2:18" x14ac:dyDescent="0.2">
      <c r="C2627" s="2" t="s">
        <v>9</v>
      </c>
      <c r="D2627" s="2" t="s">
        <v>3</v>
      </c>
      <c r="E2627" s="3">
        <v>90</v>
      </c>
      <c r="F2627" s="3">
        <v>10</v>
      </c>
      <c r="G2627" s="4">
        <v>44721</v>
      </c>
      <c r="I2627" s="1">
        <v>2200</v>
      </c>
      <c r="J2627" s="1">
        <v>2500</v>
      </c>
    </row>
    <row r="2628" spans="2:18" x14ac:dyDescent="0.2">
      <c r="C2628" s="2" t="s">
        <v>7</v>
      </c>
      <c r="D2628" s="2" t="s">
        <v>3</v>
      </c>
      <c r="E2628" s="3">
        <v>25</v>
      </c>
      <c r="F2628" s="3">
        <v>3.75</v>
      </c>
      <c r="G2628" s="4">
        <v>43697</v>
      </c>
      <c r="J2628" s="1">
        <v>2500</v>
      </c>
    </row>
    <row r="2629" spans="2:18" x14ac:dyDescent="0.2">
      <c r="C2629" s="282" t="s">
        <v>53</v>
      </c>
      <c r="D2629" s="282" t="s">
        <v>3</v>
      </c>
      <c r="E2629" s="3">
        <v>200</v>
      </c>
      <c r="F2629" s="3">
        <v>50</v>
      </c>
      <c r="G2629" s="4">
        <v>45230</v>
      </c>
      <c r="I2629" s="1">
        <v>2500</v>
      </c>
      <c r="J2629" s="1">
        <v>2500</v>
      </c>
    </row>
    <row r="2630" spans="2:18" x14ac:dyDescent="0.2">
      <c r="G2630" s="4"/>
    </row>
    <row r="2631" spans="2:18" s="12" customFormat="1" x14ac:dyDescent="0.2">
      <c r="B2631" s="12" t="s">
        <v>6571</v>
      </c>
      <c r="C2631" s="13" t="s">
        <v>969</v>
      </c>
      <c r="D2631" s="13" t="s">
        <v>968</v>
      </c>
      <c r="E2631" s="15"/>
      <c r="F2631" s="15">
        <f>SUM(F2632:F2633)</f>
        <v>14</v>
      </c>
      <c r="G2631" s="14">
        <f>G2632</f>
        <v>44518</v>
      </c>
      <c r="M2631" s="13"/>
      <c r="N2631" s="13"/>
      <c r="O2631" s="13"/>
      <c r="P2631" s="13"/>
      <c r="Q2631" s="13"/>
      <c r="R2631" s="13"/>
    </row>
    <row r="2632" spans="2:18" x14ac:dyDescent="0.2">
      <c r="B2632" s="160"/>
      <c r="C2632" s="161" t="s">
        <v>7</v>
      </c>
      <c r="D2632" s="161" t="s">
        <v>2038</v>
      </c>
      <c r="E2632" s="3">
        <v>21</v>
      </c>
      <c r="F2632" s="3">
        <v>11</v>
      </c>
      <c r="G2632" s="4">
        <v>44518</v>
      </c>
    </row>
    <row r="2633" spans="2:18" x14ac:dyDescent="0.2">
      <c r="B2633" s="160"/>
      <c r="C2633" s="161" t="s">
        <v>5</v>
      </c>
      <c r="D2633" s="161" t="s">
        <v>2038</v>
      </c>
      <c r="E2633" s="3">
        <v>9.1</v>
      </c>
      <c r="F2633" s="3">
        <v>3</v>
      </c>
      <c r="G2633" s="4">
        <v>42087</v>
      </c>
    </row>
    <row r="2634" spans="2:18" x14ac:dyDescent="0.2">
      <c r="C2634" s="161"/>
      <c r="D2634" s="161"/>
      <c r="G2634" s="4"/>
    </row>
    <row r="2635" spans="2:18" s="12" customFormat="1" x14ac:dyDescent="0.2">
      <c r="B2635" s="12" t="s">
        <v>677</v>
      </c>
      <c r="C2635" s="13" t="s">
        <v>969</v>
      </c>
      <c r="D2635" s="13" t="s">
        <v>968</v>
      </c>
      <c r="E2635" s="15"/>
      <c r="F2635" s="15">
        <f>SUM(F2636:F2638)</f>
        <v>14.214285714285714</v>
      </c>
      <c r="G2635" s="14">
        <f>G2636</f>
        <v>44482</v>
      </c>
      <c r="M2635" s="13"/>
      <c r="N2635" s="13"/>
      <c r="O2635" s="13"/>
      <c r="P2635" s="13"/>
      <c r="Q2635" s="13"/>
      <c r="R2635" s="13"/>
    </row>
    <row r="2636" spans="2:18" x14ac:dyDescent="0.2">
      <c r="C2636" s="2" t="s">
        <v>5</v>
      </c>
      <c r="D2636" s="2" t="s">
        <v>676</v>
      </c>
      <c r="E2636" s="3">
        <v>15</v>
      </c>
      <c r="F2636" s="3">
        <v>3</v>
      </c>
      <c r="G2636" s="4">
        <v>44482</v>
      </c>
    </row>
    <row r="2637" spans="2:18" x14ac:dyDescent="0.2">
      <c r="C2637" s="2" t="s">
        <v>4</v>
      </c>
      <c r="D2637" s="2" t="s">
        <v>676</v>
      </c>
      <c r="E2637" s="3">
        <v>4.5</v>
      </c>
      <c r="F2637" s="3">
        <v>0.5</v>
      </c>
      <c r="G2637" s="4">
        <v>44362</v>
      </c>
      <c r="M2637" s="1"/>
      <c r="N2637" s="1"/>
      <c r="O2637" s="1"/>
      <c r="P2637" s="1"/>
      <c r="Q2637" s="1"/>
      <c r="R2637" s="1"/>
    </row>
    <row r="2638" spans="2:18" x14ac:dyDescent="0.2">
      <c r="C2638" s="55" t="s">
        <v>9</v>
      </c>
      <c r="D2638" s="55" t="s">
        <v>2115</v>
      </c>
      <c r="E2638" s="3">
        <v>100</v>
      </c>
      <c r="F2638" s="3">
        <f>75/7</f>
        <v>10.714285714285714</v>
      </c>
      <c r="G2638" s="4">
        <v>44507</v>
      </c>
      <c r="I2638" s="1">
        <v>1600</v>
      </c>
      <c r="J2638" s="1">
        <v>1600</v>
      </c>
      <c r="M2638" s="1"/>
      <c r="N2638" s="1"/>
      <c r="O2638" s="1"/>
      <c r="P2638" s="1"/>
      <c r="Q2638" s="1"/>
      <c r="R2638" s="1"/>
    </row>
    <row r="2639" spans="2:18" x14ac:dyDescent="0.2">
      <c r="C2639" s="55" t="s">
        <v>18</v>
      </c>
      <c r="D2639" s="55" t="s">
        <v>2115</v>
      </c>
      <c r="E2639" s="3">
        <v>40</v>
      </c>
      <c r="F2639" s="3">
        <v>5</v>
      </c>
      <c r="G2639" s="56">
        <v>43069</v>
      </c>
      <c r="J2639" s="1">
        <v>1600</v>
      </c>
      <c r="M2639" s="1"/>
      <c r="N2639" s="1"/>
      <c r="O2639" s="1"/>
      <c r="P2639" s="1"/>
      <c r="Q2639" s="1"/>
      <c r="R2639" s="1"/>
    </row>
    <row r="2640" spans="2:18" x14ac:dyDescent="0.2">
      <c r="G2640" s="4"/>
      <c r="M2640" s="1"/>
      <c r="N2640" s="1"/>
      <c r="O2640" s="1"/>
      <c r="P2640" s="1"/>
      <c r="Q2640" s="1"/>
      <c r="R2640" s="1"/>
    </row>
    <row r="2641" spans="2:18" s="12" customFormat="1" x14ac:dyDescent="0.2">
      <c r="B2641" s="12" t="s">
        <v>515</v>
      </c>
      <c r="C2641" s="13" t="s">
        <v>969</v>
      </c>
      <c r="D2641" s="13" t="s">
        <v>968</v>
      </c>
      <c r="E2641" s="15"/>
      <c r="F2641" s="15">
        <f>SUM(F2642:F2648)</f>
        <v>13.805</v>
      </c>
      <c r="G2641" s="14">
        <f>G2642</f>
        <v>45037</v>
      </c>
    </row>
    <row r="2642" spans="2:18" x14ac:dyDescent="0.2">
      <c r="B2642" s="265" t="s">
        <v>7664</v>
      </c>
      <c r="C2642" s="2" t="s">
        <v>4</v>
      </c>
      <c r="D2642" s="2" t="s">
        <v>509</v>
      </c>
      <c r="E2642" s="3">
        <v>3</v>
      </c>
      <c r="F2642" s="3">
        <v>1.5</v>
      </c>
      <c r="G2642" s="4">
        <v>45037</v>
      </c>
      <c r="M2642" s="1"/>
      <c r="N2642" s="1"/>
      <c r="O2642" s="1"/>
      <c r="P2642" s="1"/>
      <c r="Q2642" s="1"/>
      <c r="R2642" s="1"/>
    </row>
    <row r="2643" spans="2:18" x14ac:dyDescent="0.2">
      <c r="C2643" s="2" t="s">
        <v>18</v>
      </c>
      <c r="D2643" s="2" t="s">
        <v>292</v>
      </c>
      <c r="E2643" s="3">
        <v>38</v>
      </c>
      <c r="F2643" s="3">
        <v>3</v>
      </c>
      <c r="G2643" s="4">
        <v>43104</v>
      </c>
      <c r="M2643" s="1"/>
      <c r="N2643" s="1"/>
      <c r="O2643" s="1"/>
      <c r="P2643" s="1"/>
      <c r="Q2643" s="1"/>
      <c r="R2643" s="1"/>
    </row>
    <row r="2644" spans="2:18" x14ac:dyDescent="0.2">
      <c r="C2644" s="2" t="s">
        <v>7</v>
      </c>
      <c r="D2644" s="2" t="s">
        <v>292</v>
      </c>
      <c r="E2644" s="3">
        <v>6.9</v>
      </c>
      <c r="F2644" s="3">
        <f>E2644/5</f>
        <v>1.3800000000000001</v>
      </c>
      <c r="G2644" s="4">
        <v>42458</v>
      </c>
      <c r="M2644" s="1"/>
      <c r="N2644" s="1"/>
      <c r="O2644" s="1"/>
      <c r="P2644" s="1"/>
      <c r="Q2644" s="1"/>
      <c r="R2644" s="1"/>
    </row>
    <row r="2645" spans="2:18" x14ac:dyDescent="0.2">
      <c r="C2645" s="2" t="s">
        <v>5</v>
      </c>
      <c r="D2645" s="2" t="s">
        <v>292</v>
      </c>
      <c r="E2645" s="3">
        <v>2.7</v>
      </c>
      <c r="F2645" s="3">
        <f>1.7/4</f>
        <v>0.42499999999999999</v>
      </c>
      <c r="G2645" s="4">
        <v>42139</v>
      </c>
      <c r="M2645" s="1"/>
      <c r="N2645" s="1"/>
      <c r="O2645" s="1"/>
      <c r="P2645" s="1"/>
      <c r="Q2645" s="1"/>
      <c r="R2645" s="1"/>
    </row>
    <row r="2646" spans="2:18" x14ac:dyDescent="0.2">
      <c r="C2646" s="161" t="s">
        <v>7</v>
      </c>
      <c r="D2646" s="161" t="s">
        <v>2049</v>
      </c>
      <c r="E2646" s="3">
        <v>50</v>
      </c>
      <c r="F2646" s="3">
        <v>4</v>
      </c>
      <c r="G2646" s="4">
        <v>44252</v>
      </c>
      <c r="M2646" s="1"/>
      <c r="N2646" s="1"/>
      <c r="O2646" s="1"/>
      <c r="P2646" s="1"/>
      <c r="Q2646" s="1"/>
      <c r="R2646" s="1"/>
    </row>
    <row r="2647" spans="2:18" x14ac:dyDescent="0.2">
      <c r="C2647" s="161" t="s">
        <v>5</v>
      </c>
      <c r="D2647" s="161" t="s">
        <v>2049</v>
      </c>
      <c r="E2647" s="3">
        <v>10</v>
      </c>
      <c r="F2647" s="3">
        <v>2.5</v>
      </c>
      <c r="G2647" s="4">
        <v>43059</v>
      </c>
      <c r="M2647" s="1"/>
      <c r="N2647" s="1"/>
      <c r="O2647" s="1"/>
      <c r="P2647" s="1"/>
      <c r="Q2647" s="1"/>
      <c r="R2647" s="1"/>
    </row>
    <row r="2648" spans="2:18" x14ac:dyDescent="0.2">
      <c r="C2648" s="161" t="s">
        <v>4</v>
      </c>
      <c r="D2648" s="161" t="s">
        <v>2049</v>
      </c>
      <c r="E2648" s="3">
        <v>3</v>
      </c>
      <c r="F2648" s="3">
        <v>1</v>
      </c>
      <c r="G2648" s="4">
        <v>42628</v>
      </c>
      <c r="M2648" s="1"/>
      <c r="N2648" s="1"/>
      <c r="O2648" s="1"/>
      <c r="P2648" s="1"/>
      <c r="Q2648" s="1"/>
      <c r="R2648" s="1"/>
    </row>
    <row r="2649" spans="2:18" x14ac:dyDescent="0.2">
      <c r="G2649" s="4"/>
      <c r="M2649" s="1"/>
      <c r="N2649" s="1"/>
      <c r="O2649" s="1"/>
      <c r="P2649" s="1"/>
      <c r="Q2649" s="1"/>
      <c r="R2649" s="1"/>
    </row>
    <row r="2650" spans="2:18" x14ac:dyDescent="0.2">
      <c r="B2650" s="12" t="s">
        <v>1016</v>
      </c>
      <c r="C2650" s="13" t="s">
        <v>969</v>
      </c>
      <c r="D2650" s="13" t="s">
        <v>968</v>
      </c>
      <c r="F2650" s="15">
        <f>SUM(F2651:F2653)</f>
        <v>13</v>
      </c>
      <c r="G2650" s="14">
        <f>G2651</f>
        <v>44690</v>
      </c>
    </row>
    <row r="2651" spans="2:18" x14ac:dyDescent="0.2">
      <c r="C2651" s="2" t="s">
        <v>18</v>
      </c>
      <c r="D2651" s="2" t="s">
        <v>926</v>
      </c>
      <c r="E2651" s="3">
        <v>100</v>
      </c>
      <c r="F2651" s="3">
        <v>9</v>
      </c>
      <c r="G2651" s="4">
        <v>44690</v>
      </c>
      <c r="J2651" s="1">
        <v>4300</v>
      </c>
    </row>
    <row r="2652" spans="2:18" x14ac:dyDescent="0.2">
      <c r="C2652" s="2" t="s">
        <v>5</v>
      </c>
      <c r="D2652" s="2" t="s">
        <v>926</v>
      </c>
      <c r="E2652" s="3">
        <v>15</v>
      </c>
      <c r="F2652" s="3">
        <v>3</v>
      </c>
      <c r="G2652" s="4">
        <v>43816</v>
      </c>
      <c r="J2652" s="1">
        <v>4300</v>
      </c>
    </row>
    <row r="2653" spans="2:18" x14ac:dyDescent="0.2">
      <c r="C2653" s="2" t="s">
        <v>4</v>
      </c>
      <c r="D2653" s="2" t="s">
        <v>926</v>
      </c>
      <c r="E2653" s="3">
        <v>4</v>
      </c>
      <c r="F2653" s="3">
        <v>1</v>
      </c>
      <c r="G2653" s="4">
        <v>43243</v>
      </c>
      <c r="J2653" s="1">
        <v>4300</v>
      </c>
    </row>
    <row r="2654" spans="2:18" x14ac:dyDescent="0.2">
      <c r="G2654" s="4"/>
      <c r="M2654" s="1"/>
      <c r="N2654" s="1"/>
      <c r="O2654" s="1"/>
      <c r="P2654" s="1"/>
      <c r="Q2654" s="1"/>
      <c r="R2654" s="1"/>
    </row>
    <row r="2655" spans="2:18" s="12" customFormat="1" x14ac:dyDescent="0.2">
      <c r="B2655" s="12" t="s">
        <v>139</v>
      </c>
      <c r="C2655" s="13" t="s">
        <v>969</v>
      </c>
      <c r="D2655" s="13" t="s">
        <v>968</v>
      </c>
      <c r="E2655" s="15"/>
      <c r="F2655" s="15">
        <f>SUM(F2656:F2657)</f>
        <v>13</v>
      </c>
      <c r="G2655" s="14">
        <f>G2656</f>
        <v>44880</v>
      </c>
      <c r="M2655" s="13"/>
      <c r="N2655" s="13"/>
      <c r="O2655" s="13"/>
      <c r="P2655" s="13"/>
      <c r="Q2655" s="13"/>
      <c r="R2655" s="13"/>
    </row>
    <row r="2656" spans="2:18" x14ac:dyDescent="0.2">
      <c r="C2656" s="2" t="s">
        <v>8</v>
      </c>
      <c r="D2656" s="2" t="s">
        <v>131</v>
      </c>
      <c r="E2656" s="3">
        <v>135</v>
      </c>
      <c r="F2656" s="3">
        <v>8</v>
      </c>
      <c r="G2656" s="4">
        <v>44880</v>
      </c>
    </row>
    <row r="2657" spans="2:18" x14ac:dyDescent="0.2">
      <c r="C2657" s="2" t="s">
        <v>7</v>
      </c>
      <c r="D2657" s="2" t="s">
        <v>131</v>
      </c>
      <c r="E2657" s="3">
        <v>32</v>
      </c>
      <c r="F2657" s="3">
        <v>5</v>
      </c>
      <c r="G2657" s="4">
        <v>42528</v>
      </c>
    </row>
    <row r="2658" spans="2:18" x14ac:dyDescent="0.2">
      <c r="G2658" s="4"/>
    </row>
    <row r="2659" spans="2:18" s="12" customFormat="1" x14ac:dyDescent="0.2">
      <c r="B2659" s="12" t="s">
        <v>1013</v>
      </c>
      <c r="C2659" s="13" t="s">
        <v>969</v>
      </c>
      <c r="D2659" s="13" t="s">
        <v>968</v>
      </c>
      <c r="E2659" s="15"/>
      <c r="F2659" s="15">
        <f>SUM(F2660:F2664)</f>
        <v>12.5</v>
      </c>
      <c r="G2659" s="14">
        <f>G2660</f>
        <v>44784</v>
      </c>
      <c r="M2659" s="13"/>
      <c r="N2659" s="13"/>
      <c r="O2659" s="13"/>
      <c r="P2659" s="13"/>
      <c r="Q2659" s="13"/>
      <c r="R2659" s="13"/>
    </row>
    <row r="2660" spans="2:18" x14ac:dyDescent="0.2">
      <c r="C2660" s="2" t="s">
        <v>5</v>
      </c>
      <c r="D2660" s="2" t="s">
        <v>716</v>
      </c>
      <c r="E2660" s="3">
        <v>12.5</v>
      </c>
      <c r="F2660" s="3">
        <v>2</v>
      </c>
      <c r="G2660" s="4">
        <v>44784</v>
      </c>
    </row>
    <row r="2661" spans="2:18" x14ac:dyDescent="0.2">
      <c r="C2661" s="2" t="s">
        <v>5</v>
      </c>
      <c r="D2661" s="2" t="s">
        <v>716</v>
      </c>
      <c r="E2661" s="3">
        <v>10</v>
      </c>
      <c r="F2661" s="3">
        <v>2</v>
      </c>
      <c r="G2661" s="4">
        <v>44110</v>
      </c>
    </row>
    <row r="2662" spans="2:18" x14ac:dyDescent="0.2">
      <c r="C2662" s="2" t="s">
        <v>4</v>
      </c>
      <c r="D2662" s="2" t="s">
        <v>716</v>
      </c>
      <c r="E2662" s="3">
        <v>5</v>
      </c>
      <c r="F2662" s="3">
        <v>2</v>
      </c>
      <c r="G2662" s="4">
        <v>43392</v>
      </c>
    </row>
    <row r="2663" spans="2:18" x14ac:dyDescent="0.2">
      <c r="C2663" s="2" t="s">
        <v>5</v>
      </c>
      <c r="D2663" s="2" t="s">
        <v>289</v>
      </c>
      <c r="E2663" s="3">
        <v>30</v>
      </c>
      <c r="F2663" s="3">
        <f>20/5</f>
        <v>4</v>
      </c>
      <c r="G2663" s="4">
        <v>44474</v>
      </c>
    </row>
    <row r="2664" spans="2:18" x14ac:dyDescent="0.2">
      <c r="C2664" s="2" t="s">
        <v>4</v>
      </c>
      <c r="D2664" s="2" t="s">
        <v>289</v>
      </c>
      <c r="E2664" s="3">
        <v>15</v>
      </c>
      <c r="F2664" s="3">
        <f>10/4</f>
        <v>2.5</v>
      </c>
      <c r="G2664" s="4">
        <v>43775</v>
      </c>
    </row>
    <row r="2665" spans="2:18" x14ac:dyDescent="0.2">
      <c r="G2665" s="4"/>
    </row>
    <row r="2666" spans="2:18" s="12" customFormat="1" x14ac:dyDescent="0.2">
      <c r="B2666" s="12" t="s">
        <v>1012</v>
      </c>
      <c r="C2666" s="13" t="s">
        <v>969</v>
      </c>
      <c r="D2666" s="13" t="s">
        <v>968</v>
      </c>
      <c r="E2666" s="15"/>
      <c r="F2666" s="15">
        <f>SUM(F2667:F2668)</f>
        <v>12.5</v>
      </c>
      <c r="G2666" s="14">
        <f>G2667</f>
        <v>44978</v>
      </c>
      <c r="M2666" s="13"/>
      <c r="N2666" s="13"/>
      <c r="O2666" s="13"/>
      <c r="P2666" s="13"/>
      <c r="Q2666" s="13"/>
      <c r="R2666" s="13"/>
    </row>
    <row r="2667" spans="2:18" x14ac:dyDescent="0.2">
      <c r="B2667" s="265" t="s">
        <v>7664</v>
      </c>
      <c r="C2667" s="2" t="s">
        <v>7</v>
      </c>
      <c r="D2667" s="2" t="s">
        <v>1011</v>
      </c>
      <c r="E2667" s="3">
        <v>43</v>
      </c>
      <c r="F2667" s="3">
        <v>6</v>
      </c>
      <c r="G2667" s="4">
        <v>44978</v>
      </c>
    </row>
    <row r="2668" spans="2:18" x14ac:dyDescent="0.2">
      <c r="C2668" s="2" t="s">
        <v>5</v>
      </c>
      <c r="D2668" s="2" t="s">
        <v>1011</v>
      </c>
      <c r="E2668" s="3">
        <v>26</v>
      </c>
      <c r="F2668" s="3">
        <f>13/2</f>
        <v>6.5</v>
      </c>
      <c r="G2668" s="4">
        <v>44453</v>
      </c>
    </row>
    <row r="2669" spans="2:18" x14ac:dyDescent="0.2">
      <c r="G2669" s="4"/>
    </row>
    <row r="2670" spans="2:18" s="12" customFormat="1" x14ac:dyDescent="0.2">
      <c r="B2670" s="12" t="s">
        <v>413</v>
      </c>
      <c r="C2670" s="13" t="s">
        <v>969</v>
      </c>
      <c r="D2670" s="13" t="s">
        <v>968</v>
      </c>
      <c r="E2670" s="15"/>
      <c r="F2670" s="15">
        <f>SUM(F2671:F2672)</f>
        <v>13</v>
      </c>
      <c r="G2670" s="14">
        <f>G2671</f>
        <v>44740</v>
      </c>
    </row>
    <row r="2671" spans="2:18" x14ac:dyDescent="0.2">
      <c r="C2671" s="2" t="s">
        <v>5</v>
      </c>
      <c r="D2671" s="2" t="s">
        <v>408</v>
      </c>
      <c r="E2671" s="3">
        <v>10</v>
      </c>
      <c r="F2671" s="3">
        <v>3</v>
      </c>
      <c r="G2671" s="4">
        <v>44740</v>
      </c>
      <c r="M2671" s="1"/>
      <c r="N2671" s="1"/>
      <c r="O2671" s="1"/>
      <c r="P2671" s="1"/>
      <c r="Q2671" s="1"/>
      <c r="R2671" s="1"/>
    </row>
    <row r="2672" spans="2:18" x14ac:dyDescent="0.2">
      <c r="C2672" s="2" t="s">
        <v>8</v>
      </c>
      <c r="D2672" s="2" t="s">
        <v>3938</v>
      </c>
      <c r="E2672" s="3">
        <v>90</v>
      </c>
      <c r="F2672" s="3">
        <v>10</v>
      </c>
      <c r="G2672" s="4">
        <v>40354</v>
      </c>
      <c r="M2672" s="1"/>
      <c r="N2672" s="1"/>
      <c r="O2672" s="1"/>
      <c r="P2672" s="1"/>
      <c r="Q2672" s="1"/>
      <c r="R2672" s="1"/>
    </row>
    <row r="2673" spans="2:18" x14ac:dyDescent="0.2">
      <c r="G2673" s="4"/>
      <c r="M2673" s="1"/>
      <c r="N2673" s="1"/>
      <c r="O2673" s="1"/>
      <c r="P2673" s="1"/>
      <c r="Q2673" s="1"/>
      <c r="R2673" s="1"/>
    </row>
    <row r="2674" spans="2:18" s="12" customFormat="1" x14ac:dyDescent="0.2">
      <c r="B2674" s="12" t="s">
        <v>270</v>
      </c>
      <c r="C2674" s="13" t="s">
        <v>969</v>
      </c>
      <c r="D2674" s="13" t="s">
        <v>968</v>
      </c>
      <c r="E2674" s="15"/>
      <c r="F2674" s="15">
        <f>SUM(F2675:F2676)</f>
        <v>12.553571428571429</v>
      </c>
      <c r="G2674" s="14">
        <f>G2675</f>
        <v>44622</v>
      </c>
      <c r="M2674" s="13"/>
      <c r="N2674" s="13"/>
      <c r="O2674" s="13"/>
      <c r="P2674" s="13"/>
      <c r="Q2674" s="13"/>
      <c r="R2674" s="13"/>
    </row>
    <row r="2675" spans="2:18" x14ac:dyDescent="0.2">
      <c r="C2675" s="2" t="s">
        <v>8</v>
      </c>
      <c r="D2675" s="2" t="s">
        <v>258</v>
      </c>
      <c r="E2675" s="3">
        <v>111</v>
      </c>
      <c r="F2675" s="3">
        <f>97/14</f>
        <v>6.9285714285714288</v>
      </c>
      <c r="G2675" s="4">
        <v>44622</v>
      </c>
    </row>
    <row r="2676" spans="2:18" x14ac:dyDescent="0.2">
      <c r="C2676" s="2" t="s">
        <v>18</v>
      </c>
      <c r="D2676" s="2" t="s">
        <v>258</v>
      </c>
      <c r="E2676" s="3">
        <v>55</v>
      </c>
      <c r="F2676" s="3">
        <v>5.625</v>
      </c>
      <c r="G2676" s="4">
        <v>44314</v>
      </c>
    </row>
    <row r="2677" spans="2:18" x14ac:dyDescent="0.2">
      <c r="G2677" s="4"/>
    </row>
    <row r="2678" spans="2:18" s="12" customFormat="1" x14ac:dyDescent="0.2">
      <c r="B2678" s="12" t="s">
        <v>605</v>
      </c>
      <c r="C2678" s="13" t="s">
        <v>969</v>
      </c>
      <c r="D2678" s="13" t="s">
        <v>968</v>
      </c>
      <c r="E2678" s="15"/>
      <c r="F2678" s="15">
        <f>SUM(F2679:F2680)</f>
        <v>13.375</v>
      </c>
      <c r="G2678" s="14">
        <f>G2679</f>
        <v>44663</v>
      </c>
    </row>
    <row r="2679" spans="2:18" x14ac:dyDescent="0.2">
      <c r="C2679" s="2" t="s">
        <v>18</v>
      </c>
      <c r="D2679" s="2" t="s">
        <v>599</v>
      </c>
      <c r="E2679" s="3">
        <v>125</v>
      </c>
      <c r="F2679" s="3">
        <f>75/8</f>
        <v>9.375</v>
      </c>
      <c r="G2679" s="4">
        <v>44663</v>
      </c>
      <c r="M2679" s="1"/>
      <c r="N2679" s="1"/>
      <c r="O2679" s="1"/>
      <c r="P2679" s="1"/>
      <c r="Q2679" s="1"/>
      <c r="R2679" s="1"/>
    </row>
    <row r="2680" spans="2:18" x14ac:dyDescent="0.2">
      <c r="C2680" s="2" t="s">
        <v>5</v>
      </c>
      <c r="D2680" s="2" t="s">
        <v>599</v>
      </c>
      <c r="E2680" s="3">
        <v>26</v>
      </c>
      <c r="F2680" s="3">
        <f>16/4</f>
        <v>4</v>
      </c>
      <c r="G2680" s="4">
        <v>43809</v>
      </c>
      <c r="M2680" s="1"/>
      <c r="N2680" s="1"/>
      <c r="O2680" s="1"/>
      <c r="P2680" s="1"/>
      <c r="Q2680" s="1"/>
      <c r="R2680" s="1"/>
    </row>
    <row r="2681" spans="2:18" x14ac:dyDescent="0.2">
      <c r="G2681" s="4"/>
      <c r="M2681" s="1"/>
      <c r="N2681" s="1"/>
      <c r="O2681" s="1"/>
      <c r="P2681" s="1"/>
      <c r="Q2681" s="1"/>
      <c r="R2681" s="1"/>
    </row>
    <row r="2682" spans="2:18" s="12" customFormat="1" x14ac:dyDescent="0.2">
      <c r="B2682" s="12" t="s">
        <v>1009</v>
      </c>
      <c r="C2682" s="13" t="s">
        <v>969</v>
      </c>
      <c r="D2682" s="13" t="s">
        <v>968</v>
      </c>
      <c r="E2682" s="15"/>
      <c r="F2682" s="15">
        <f>SUM(F2683:F2687)</f>
        <v>13</v>
      </c>
      <c r="G2682" s="14">
        <f>G2686</f>
        <v>44964</v>
      </c>
      <c r="M2682" s="13"/>
      <c r="N2682" s="13"/>
      <c r="O2682" s="13"/>
      <c r="P2682" s="13"/>
      <c r="Q2682" s="13"/>
      <c r="R2682" s="13"/>
    </row>
    <row r="2683" spans="2:18" x14ac:dyDescent="0.2">
      <c r="C2683" s="2" t="s">
        <v>7</v>
      </c>
      <c r="D2683" s="2" t="s">
        <v>1008</v>
      </c>
      <c r="E2683" s="3">
        <v>30</v>
      </c>
      <c r="F2683" s="3">
        <v>6</v>
      </c>
      <c r="G2683" s="4">
        <v>44539</v>
      </c>
    </row>
    <row r="2684" spans="2:18" x14ac:dyDescent="0.2">
      <c r="C2684" s="2" t="s">
        <v>5</v>
      </c>
      <c r="D2684" s="2" t="s">
        <v>1008</v>
      </c>
      <c r="E2684" s="3">
        <v>11</v>
      </c>
      <c r="F2684" s="3">
        <v>3</v>
      </c>
      <c r="G2684" s="4">
        <v>43862</v>
      </c>
    </row>
    <row r="2685" spans="2:18" x14ac:dyDescent="0.2">
      <c r="C2685" s="2" t="s">
        <v>4</v>
      </c>
      <c r="D2685" s="2" t="s">
        <v>1008</v>
      </c>
      <c r="E2685" s="3">
        <v>3</v>
      </c>
      <c r="F2685" s="3">
        <v>1.5</v>
      </c>
      <c r="G2685" s="4">
        <v>43525</v>
      </c>
    </row>
    <row r="2686" spans="2:18" x14ac:dyDescent="0.2">
      <c r="C2686" s="2" t="s">
        <v>4</v>
      </c>
      <c r="D2686" s="2" t="s">
        <v>593</v>
      </c>
      <c r="E2686" s="3">
        <v>6.8</v>
      </c>
      <c r="F2686" s="3">
        <v>1.5</v>
      </c>
      <c r="G2686" s="4">
        <v>44964</v>
      </c>
    </row>
    <row r="2687" spans="2:18" x14ac:dyDescent="0.2">
      <c r="C2687" s="2" t="s">
        <v>4</v>
      </c>
      <c r="D2687" s="2" t="s">
        <v>593</v>
      </c>
      <c r="E2687" s="3">
        <v>1.6</v>
      </c>
      <c r="F2687" s="3">
        <v>1</v>
      </c>
      <c r="G2687" s="4">
        <v>44197</v>
      </c>
    </row>
    <row r="2688" spans="2:18" x14ac:dyDescent="0.2">
      <c r="G2688" s="4"/>
    </row>
    <row r="2689" spans="2:18" s="12" customFormat="1" x14ac:dyDescent="0.2">
      <c r="B2689" s="12" t="s">
        <v>886</v>
      </c>
      <c r="C2689" s="13" t="s">
        <v>969</v>
      </c>
      <c r="D2689" s="13" t="s">
        <v>968</v>
      </c>
      <c r="E2689" s="15"/>
      <c r="F2689" s="15">
        <f>SUM(F2690:F2691)</f>
        <v>12.5</v>
      </c>
      <c r="G2689" s="14">
        <f>G2691</f>
        <v>45006</v>
      </c>
      <c r="M2689" s="13"/>
      <c r="N2689" s="13"/>
      <c r="O2689" s="13"/>
      <c r="P2689" s="13"/>
      <c r="Q2689" s="13"/>
      <c r="R2689" s="13"/>
    </row>
    <row r="2690" spans="2:18" x14ac:dyDescent="0.2">
      <c r="C2690" s="2" t="s">
        <v>5</v>
      </c>
      <c r="D2690" s="2" t="s">
        <v>716</v>
      </c>
      <c r="E2690" s="3">
        <v>12.5</v>
      </c>
      <c r="F2690" s="3">
        <v>5</v>
      </c>
      <c r="G2690" s="4">
        <v>44784</v>
      </c>
    </row>
    <row r="2691" spans="2:18" x14ac:dyDescent="0.2">
      <c r="C2691" s="93" t="s">
        <v>18</v>
      </c>
      <c r="D2691" s="93" t="s">
        <v>6008</v>
      </c>
      <c r="E2691" s="3">
        <v>15</v>
      </c>
      <c r="F2691" s="3">
        <f>E2691/2</f>
        <v>7.5</v>
      </c>
      <c r="G2691" s="4">
        <v>45006</v>
      </c>
    </row>
    <row r="2692" spans="2:18" x14ac:dyDescent="0.2">
      <c r="G2692" s="4"/>
    </row>
    <row r="2693" spans="2:18" s="12" customFormat="1" x14ac:dyDescent="0.2">
      <c r="B2693" s="12" t="s">
        <v>98</v>
      </c>
      <c r="C2693" s="13" t="s">
        <v>969</v>
      </c>
      <c r="D2693" s="13" t="s">
        <v>968</v>
      </c>
      <c r="E2693" s="15"/>
      <c r="F2693" s="15">
        <f>SUM(F2694:F2696)</f>
        <v>13</v>
      </c>
      <c r="G2693" s="14">
        <f>G2696</f>
        <v>44642</v>
      </c>
      <c r="M2693" s="13"/>
      <c r="N2693" s="13"/>
      <c r="O2693" s="13"/>
      <c r="P2693" s="13"/>
      <c r="Q2693" s="13"/>
      <c r="R2693" s="13"/>
    </row>
    <row r="2694" spans="2:18" x14ac:dyDescent="0.2">
      <c r="C2694" s="2" t="s">
        <v>7</v>
      </c>
      <c r="D2694" s="2" t="s">
        <v>95</v>
      </c>
      <c r="E2694" s="3">
        <v>25</v>
      </c>
      <c r="F2694" s="3">
        <f>15/5</f>
        <v>3</v>
      </c>
      <c r="G2694" s="4">
        <v>43783</v>
      </c>
    </row>
    <row r="2695" spans="2:18" x14ac:dyDescent="0.2">
      <c r="C2695" s="2" t="s">
        <v>7</v>
      </c>
      <c r="D2695" s="2" t="s">
        <v>95</v>
      </c>
      <c r="E2695" s="3">
        <v>15</v>
      </c>
      <c r="F2695" s="3">
        <v>7.5</v>
      </c>
      <c r="G2695" s="4">
        <v>43559</v>
      </c>
    </row>
    <row r="2696" spans="2:18" x14ac:dyDescent="0.2">
      <c r="C2696" s="2" t="s">
        <v>7</v>
      </c>
      <c r="D2696" s="2" t="s">
        <v>87</v>
      </c>
      <c r="E2696" s="3">
        <v>25</v>
      </c>
      <c r="F2696" s="3">
        <f>15/6</f>
        <v>2.5</v>
      </c>
      <c r="G2696" s="4">
        <v>44642</v>
      </c>
    </row>
    <row r="2697" spans="2:18" x14ac:dyDescent="0.2">
      <c r="G2697" s="4"/>
    </row>
    <row r="2698" spans="2:18" x14ac:dyDescent="0.2">
      <c r="B2698" s="12" t="s">
        <v>1007</v>
      </c>
      <c r="C2698" s="13" t="s">
        <v>969</v>
      </c>
      <c r="D2698" s="13" t="s">
        <v>968</v>
      </c>
      <c r="F2698" s="15">
        <f>SUM(F2699:F2702)</f>
        <v>12.5</v>
      </c>
      <c r="G2698" s="14">
        <f>G2699</f>
        <v>45036</v>
      </c>
    </row>
    <row r="2699" spans="2:18" x14ac:dyDescent="0.2">
      <c r="C2699" s="2" t="s">
        <v>7</v>
      </c>
      <c r="D2699" s="2" t="s">
        <v>796</v>
      </c>
      <c r="E2699" s="3">
        <v>50</v>
      </c>
      <c r="F2699" s="3">
        <v>6</v>
      </c>
      <c r="G2699" s="4">
        <v>45036</v>
      </c>
    </row>
    <row r="2700" spans="2:18" x14ac:dyDescent="0.2">
      <c r="C2700" s="2" t="s">
        <v>5</v>
      </c>
      <c r="D2700" s="2" t="s">
        <v>796</v>
      </c>
      <c r="E2700" s="3">
        <v>16.5</v>
      </c>
      <c r="F2700" s="3">
        <v>1</v>
      </c>
      <c r="G2700" s="4">
        <v>44614</v>
      </c>
    </row>
    <row r="2701" spans="2:18" x14ac:dyDescent="0.2">
      <c r="C2701" s="2" t="s">
        <v>4</v>
      </c>
      <c r="D2701" s="2" t="s">
        <v>796</v>
      </c>
      <c r="E2701" s="3">
        <v>1.2</v>
      </c>
      <c r="F2701" s="3">
        <v>0.5</v>
      </c>
      <c r="G2701" s="4">
        <v>44044</v>
      </c>
    </row>
    <row r="2702" spans="2:18" x14ac:dyDescent="0.2">
      <c r="C2702" s="2" t="s">
        <v>7</v>
      </c>
      <c r="D2702" s="2" t="s">
        <v>108</v>
      </c>
      <c r="E2702" s="3">
        <v>5</v>
      </c>
      <c r="F2702" s="3">
        <v>5</v>
      </c>
      <c r="G2702" s="4">
        <v>43903</v>
      </c>
    </row>
    <row r="2703" spans="2:18" x14ac:dyDescent="0.2">
      <c r="G2703" s="4"/>
    </row>
    <row r="2704" spans="2:18" s="12" customFormat="1" x14ac:dyDescent="0.2">
      <c r="B2704" s="12" t="s">
        <v>721</v>
      </c>
      <c r="C2704" s="13" t="s">
        <v>969</v>
      </c>
      <c r="D2704" s="13" t="s">
        <v>968</v>
      </c>
      <c r="E2704" s="15"/>
      <c r="F2704" s="15">
        <f>SUM(F2705:F2709)</f>
        <v>12.733333333333334</v>
      </c>
      <c r="G2704" s="14">
        <f>G2707</f>
        <v>44483</v>
      </c>
      <c r="M2704" s="13"/>
      <c r="N2704" s="13"/>
      <c r="O2704" s="13"/>
      <c r="P2704" s="13"/>
      <c r="Q2704" s="13"/>
      <c r="R2704" s="13"/>
    </row>
    <row r="2705" spans="2:18" x14ac:dyDescent="0.2">
      <c r="C2705" s="2" t="s">
        <v>5</v>
      </c>
      <c r="D2705" s="2" t="s">
        <v>720</v>
      </c>
      <c r="E2705" s="3">
        <v>20</v>
      </c>
      <c r="F2705" s="3">
        <v>7</v>
      </c>
      <c r="G2705" s="4">
        <v>44455</v>
      </c>
    </row>
    <row r="2706" spans="2:18" x14ac:dyDescent="0.2">
      <c r="C2706" s="2" t="s">
        <v>4</v>
      </c>
      <c r="D2706" s="2" t="s">
        <v>720</v>
      </c>
      <c r="E2706" s="3">
        <v>2.1</v>
      </c>
      <c r="F2706" s="3">
        <v>1</v>
      </c>
      <c r="G2706" s="4">
        <v>44455</v>
      </c>
    </row>
    <row r="2707" spans="2:18" x14ac:dyDescent="0.2">
      <c r="C2707" s="2" t="s">
        <v>5</v>
      </c>
      <c r="D2707" s="2" t="s">
        <v>719</v>
      </c>
      <c r="E2707" s="3">
        <v>11</v>
      </c>
      <c r="F2707" s="3">
        <f>7/3</f>
        <v>2.3333333333333335</v>
      </c>
      <c r="G2707" s="4">
        <v>44483</v>
      </c>
    </row>
    <row r="2708" spans="2:18" x14ac:dyDescent="0.2">
      <c r="C2708" s="2" t="s">
        <v>4</v>
      </c>
      <c r="D2708" s="2" t="s">
        <v>719</v>
      </c>
      <c r="E2708" s="3">
        <v>2.9</v>
      </c>
      <c r="F2708" s="3">
        <v>1.9</v>
      </c>
      <c r="G2708" s="4">
        <v>44272</v>
      </c>
    </row>
    <row r="2709" spans="2:18" x14ac:dyDescent="0.2">
      <c r="C2709" s="2" t="s">
        <v>4</v>
      </c>
      <c r="D2709" s="2" t="s">
        <v>481</v>
      </c>
      <c r="E2709" s="3">
        <v>2</v>
      </c>
      <c r="F2709" s="3">
        <v>0.5</v>
      </c>
      <c r="G2709" s="4">
        <v>43876</v>
      </c>
    </row>
    <row r="2710" spans="2:18" x14ac:dyDescent="0.2">
      <c r="G2710" s="4"/>
    </row>
    <row r="2711" spans="2:18" s="12" customFormat="1" x14ac:dyDescent="0.2">
      <c r="B2711" s="12" t="s">
        <v>5428</v>
      </c>
      <c r="C2711" s="13" t="s">
        <v>969</v>
      </c>
      <c r="D2711" s="13" t="s">
        <v>968</v>
      </c>
      <c r="E2711" s="15"/>
      <c r="F2711" s="15">
        <f>SUM(F2712:F2713)</f>
        <v>13.25</v>
      </c>
      <c r="G2711" s="14">
        <f>G2712</f>
        <v>44307</v>
      </c>
      <c r="M2711" s="13"/>
      <c r="N2711" s="13"/>
      <c r="O2711" s="13"/>
      <c r="P2711" s="13"/>
      <c r="Q2711" s="13"/>
      <c r="R2711" s="13"/>
    </row>
    <row r="2712" spans="2:18" x14ac:dyDescent="0.2">
      <c r="B2712" s="92"/>
      <c r="C2712" s="93" t="s">
        <v>8</v>
      </c>
      <c r="D2712" s="93" t="s">
        <v>5426</v>
      </c>
      <c r="E2712" s="3">
        <v>50</v>
      </c>
      <c r="F2712" s="3">
        <f>30/4</f>
        <v>7.5</v>
      </c>
      <c r="G2712" s="4">
        <v>44307</v>
      </c>
      <c r="I2712" s="1">
        <v>2000</v>
      </c>
      <c r="J2712" s="1">
        <v>2000</v>
      </c>
    </row>
    <row r="2713" spans="2:18" x14ac:dyDescent="0.2">
      <c r="C2713" s="93" t="s">
        <v>18</v>
      </c>
      <c r="D2713" s="93" t="s">
        <v>5426</v>
      </c>
      <c r="E2713" s="3">
        <v>37</v>
      </c>
      <c r="F2713" s="3">
        <f>23/4</f>
        <v>5.75</v>
      </c>
      <c r="G2713" s="4">
        <v>43831</v>
      </c>
      <c r="J2713" s="1">
        <v>2000</v>
      </c>
    </row>
    <row r="2715" spans="2:18" s="12" customFormat="1" x14ac:dyDescent="0.2">
      <c r="B2715" s="12" t="s">
        <v>615</v>
      </c>
      <c r="C2715" s="13" t="s">
        <v>969</v>
      </c>
      <c r="D2715" s="13" t="s">
        <v>968</v>
      </c>
      <c r="E2715" s="15"/>
      <c r="F2715" s="15">
        <f>SUM(F2716:F2718)</f>
        <v>19.755555555555556</v>
      </c>
      <c r="G2715" s="14">
        <f>+G2717</f>
        <v>45124</v>
      </c>
    </row>
    <row r="2716" spans="2:18" x14ac:dyDescent="0.2">
      <c r="C2716" s="2" t="s">
        <v>9</v>
      </c>
      <c r="D2716" s="2" t="s">
        <v>606</v>
      </c>
      <c r="E2716" s="3">
        <v>132</v>
      </c>
      <c r="F2716" s="3">
        <f>72/10</f>
        <v>7.2</v>
      </c>
      <c r="G2716" s="4">
        <v>44215</v>
      </c>
      <c r="I2716" s="1">
        <v>1400</v>
      </c>
      <c r="J2716" s="1">
        <v>1200</v>
      </c>
      <c r="M2716" s="1"/>
      <c r="N2716" s="1"/>
      <c r="O2716" s="1"/>
      <c r="P2716" s="1"/>
      <c r="Q2716" s="1"/>
      <c r="R2716" s="1"/>
    </row>
    <row r="2717" spans="2:18" x14ac:dyDescent="0.2">
      <c r="C2717" s="282" t="s">
        <v>7978</v>
      </c>
      <c r="D2717" s="2" t="s">
        <v>606</v>
      </c>
      <c r="E2717" s="3">
        <v>59</v>
      </c>
      <c r="F2717" s="3">
        <v>6.5555555555555554</v>
      </c>
      <c r="G2717" s="4">
        <v>45124</v>
      </c>
      <c r="I2717" s="1">
        <v>1200</v>
      </c>
      <c r="J2717" s="1">
        <v>1200</v>
      </c>
      <c r="M2717" s="1"/>
      <c r="N2717" s="1"/>
      <c r="O2717" s="1"/>
      <c r="P2717" s="1"/>
      <c r="Q2717" s="1"/>
      <c r="R2717" s="1"/>
    </row>
    <row r="2718" spans="2:18" x14ac:dyDescent="0.2">
      <c r="C2718" s="2" t="s">
        <v>8</v>
      </c>
      <c r="D2718" s="2" t="s">
        <v>606</v>
      </c>
      <c r="E2718" s="3">
        <v>42</v>
      </c>
      <c r="F2718" s="3">
        <f>30/5</f>
        <v>6</v>
      </c>
      <c r="G2718" s="4">
        <v>44153</v>
      </c>
      <c r="M2718" s="1"/>
      <c r="N2718" s="1"/>
      <c r="O2718" s="1"/>
      <c r="P2718" s="1"/>
      <c r="Q2718" s="1"/>
      <c r="R2718" s="1"/>
    </row>
    <row r="2719" spans="2:18" x14ac:dyDescent="0.2">
      <c r="G2719" s="4"/>
      <c r="M2719" s="1"/>
      <c r="N2719" s="1"/>
      <c r="O2719" s="1"/>
      <c r="P2719" s="1"/>
      <c r="Q2719" s="1"/>
      <c r="R2719" s="1"/>
    </row>
    <row r="2720" spans="2:18" s="12" customFormat="1" x14ac:dyDescent="0.2">
      <c r="B2720" s="12" t="s">
        <v>650</v>
      </c>
      <c r="C2720" s="13" t="s">
        <v>969</v>
      </c>
      <c r="D2720" s="13" t="s">
        <v>968</v>
      </c>
      <c r="E2720" s="15"/>
      <c r="F2720" s="15">
        <f>SUM(F2721:F2725)</f>
        <v>12.75</v>
      </c>
      <c r="G2720" s="14">
        <f>G2725</f>
        <v>44833</v>
      </c>
    </row>
    <row r="2721" spans="2:18" x14ac:dyDescent="0.2">
      <c r="C2721" s="2" t="s">
        <v>4</v>
      </c>
      <c r="D2721" s="2" t="s">
        <v>649</v>
      </c>
      <c r="E2721" s="3">
        <v>8</v>
      </c>
      <c r="F2721" s="3">
        <v>3</v>
      </c>
      <c r="G2721" s="4">
        <v>44677</v>
      </c>
      <c r="M2721" s="1"/>
      <c r="N2721" s="1"/>
      <c r="O2721" s="1"/>
      <c r="P2721" s="1"/>
      <c r="Q2721" s="1"/>
      <c r="R2721" s="1"/>
    </row>
    <row r="2722" spans="2:18" x14ac:dyDescent="0.2">
      <c r="C2722" s="2" t="s">
        <v>5</v>
      </c>
      <c r="D2722" s="2" t="s">
        <v>483</v>
      </c>
      <c r="E2722" s="3">
        <v>13</v>
      </c>
      <c r="F2722" s="3">
        <v>1.4</v>
      </c>
      <c r="G2722" s="4">
        <v>44516</v>
      </c>
      <c r="M2722" s="1"/>
      <c r="N2722" s="1"/>
      <c r="O2722" s="1"/>
      <c r="P2722" s="1"/>
      <c r="Q2722" s="1"/>
      <c r="R2722" s="1"/>
    </row>
    <row r="2723" spans="2:18" x14ac:dyDescent="0.2">
      <c r="C2723" s="2" t="s">
        <v>4</v>
      </c>
      <c r="D2723" s="2" t="s">
        <v>347</v>
      </c>
      <c r="E2723" s="3">
        <v>3.5</v>
      </c>
      <c r="F2723" s="3">
        <f>E2723/10</f>
        <v>0.35</v>
      </c>
      <c r="G2723" s="4">
        <v>43046</v>
      </c>
      <c r="L2723" s="1">
        <v>0</v>
      </c>
      <c r="M2723" s="1"/>
      <c r="N2723" s="1"/>
      <c r="O2723" s="1"/>
      <c r="P2723" s="1"/>
      <c r="Q2723" s="1"/>
      <c r="R2723" s="1"/>
    </row>
    <row r="2724" spans="2:18" x14ac:dyDescent="0.2">
      <c r="C2724" s="2" t="s">
        <v>7</v>
      </c>
      <c r="D2724" s="2" t="s">
        <v>52</v>
      </c>
      <c r="E2724" s="3">
        <v>18</v>
      </c>
      <c r="F2724" s="3">
        <v>6</v>
      </c>
      <c r="G2724" s="4">
        <v>43207</v>
      </c>
      <c r="M2724" s="1"/>
      <c r="N2724" s="1"/>
      <c r="O2724" s="1"/>
      <c r="P2724" s="1"/>
      <c r="Q2724" s="1"/>
      <c r="R2724" s="1"/>
    </row>
    <row r="2725" spans="2:18" x14ac:dyDescent="0.2">
      <c r="C2725" s="185" t="s">
        <v>5</v>
      </c>
      <c r="D2725" s="185" t="s">
        <v>2021</v>
      </c>
      <c r="E2725" s="3">
        <v>16</v>
      </c>
      <c r="F2725" s="3">
        <v>2</v>
      </c>
      <c r="G2725" s="4">
        <v>44833</v>
      </c>
      <c r="M2725" s="1"/>
      <c r="N2725" s="1"/>
      <c r="O2725" s="1"/>
      <c r="P2725" s="1"/>
      <c r="Q2725" s="1"/>
      <c r="R2725" s="1"/>
    </row>
    <row r="2726" spans="2:18" x14ac:dyDescent="0.2">
      <c r="C2726" s="185" t="s">
        <v>4</v>
      </c>
      <c r="D2726" s="185" t="s">
        <v>2021</v>
      </c>
      <c r="E2726" s="3">
        <v>4.8</v>
      </c>
      <c r="F2726" s="3">
        <f>E2726/3</f>
        <v>1.5999999999999999</v>
      </c>
      <c r="G2726" s="4">
        <v>44720</v>
      </c>
      <c r="M2726" s="1"/>
      <c r="N2726" s="1"/>
      <c r="O2726" s="1"/>
      <c r="P2726" s="1"/>
      <c r="Q2726" s="1"/>
      <c r="R2726" s="1"/>
    </row>
    <row r="2727" spans="2:18" x14ac:dyDescent="0.2">
      <c r="G2727" s="4"/>
      <c r="M2727" s="1"/>
      <c r="N2727" s="1"/>
      <c r="O2727" s="1"/>
      <c r="P2727" s="1"/>
      <c r="Q2727" s="1"/>
      <c r="R2727" s="1"/>
    </row>
    <row r="2728" spans="2:18" x14ac:dyDescent="0.2">
      <c r="B2728" s="12" t="s">
        <v>1001</v>
      </c>
      <c r="C2728" s="13" t="s">
        <v>969</v>
      </c>
      <c r="D2728" s="13" t="s">
        <v>968</v>
      </c>
      <c r="F2728" s="15">
        <f>SUM(F2729:F2733)</f>
        <v>12.6</v>
      </c>
      <c r="G2728" s="14">
        <f>G2729</f>
        <v>44796</v>
      </c>
    </row>
    <row r="2729" spans="2:18" x14ac:dyDescent="0.2">
      <c r="C2729" s="2" t="s">
        <v>5</v>
      </c>
      <c r="D2729" s="2" t="s">
        <v>701</v>
      </c>
      <c r="E2729" s="3">
        <v>50</v>
      </c>
      <c r="F2729" s="3">
        <f>30/12</f>
        <v>2.5</v>
      </c>
      <c r="G2729" s="4">
        <v>44796</v>
      </c>
    </row>
    <row r="2730" spans="2:18" x14ac:dyDescent="0.2">
      <c r="C2730" s="2" t="s">
        <v>4</v>
      </c>
      <c r="D2730" s="2" t="s">
        <v>701</v>
      </c>
      <c r="E2730" s="3">
        <v>12.5</v>
      </c>
      <c r="F2730" s="3">
        <f>8/5</f>
        <v>1.6</v>
      </c>
      <c r="G2730" s="4">
        <v>44623</v>
      </c>
    </row>
    <row r="2731" spans="2:18" x14ac:dyDescent="0.2">
      <c r="C2731" s="2" t="s">
        <v>4</v>
      </c>
      <c r="D2731" s="2" t="s">
        <v>701</v>
      </c>
      <c r="E2731" s="3">
        <v>7.2</v>
      </c>
      <c r="F2731" s="3">
        <v>2</v>
      </c>
      <c r="G2731" s="4">
        <v>44508</v>
      </c>
    </row>
    <row r="2732" spans="2:18" x14ac:dyDescent="0.2">
      <c r="C2732" s="2" t="s">
        <v>5</v>
      </c>
      <c r="D2732" s="2" t="s">
        <v>676</v>
      </c>
      <c r="E2732" s="3">
        <v>15</v>
      </c>
      <c r="F2732" s="3">
        <v>5</v>
      </c>
      <c r="G2732" s="4">
        <v>44482</v>
      </c>
    </row>
    <row r="2733" spans="2:18" x14ac:dyDescent="0.2">
      <c r="C2733" s="2" t="s">
        <v>4</v>
      </c>
      <c r="D2733" s="2" t="s">
        <v>676</v>
      </c>
      <c r="E2733" s="3">
        <v>4.5</v>
      </c>
      <c r="F2733" s="3">
        <v>1.5</v>
      </c>
      <c r="G2733" s="4">
        <v>44362</v>
      </c>
    </row>
    <row r="2734" spans="2:18" x14ac:dyDescent="0.2">
      <c r="G2734" s="4"/>
    </row>
    <row r="2735" spans="2:18" s="12" customFormat="1" x14ac:dyDescent="0.2">
      <c r="B2735" s="12" t="s">
        <v>660</v>
      </c>
      <c r="C2735" s="13" t="s">
        <v>969</v>
      </c>
      <c r="D2735" s="13" t="s">
        <v>968</v>
      </c>
      <c r="E2735" s="15"/>
      <c r="F2735" s="15">
        <f>SUM(F2736:F2737)</f>
        <v>11.5</v>
      </c>
      <c r="G2735" s="14">
        <f>G2737</f>
        <v>44984</v>
      </c>
      <c r="M2735" s="13"/>
      <c r="N2735" s="13"/>
      <c r="O2735" s="13"/>
      <c r="P2735" s="13"/>
      <c r="Q2735" s="13"/>
      <c r="R2735" s="13"/>
    </row>
    <row r="2736" spans="2:18" x14ac:dyDescent="0.2">
      <c r="C2736" s="2" t="s">
        <v>4</v>
      </c>
      <c r="D2736" s="2" t="s">
        <v>659</v>
      </c>
      <c r="E2736" s="3">
        <v>5</v>
      </c>
      <c r="F2736" s="3">
        <v>5</v>
      </c>
      <c r="G2736" s="4">
        <v>44873</v>
      </c>
      <c r="M2736" s="1"/>
      <c r="N2736" s="1"/>
      <c r="O2736" s="1"/>
      <c r="P2736" s="1"/>
      <c r="Q2736" s="1"/>
      <c r="R2736" s="1"/>
    </row>
    <row r="2737" spans="2:18" x14ac:dyDescent="0.2">
      <c r="C2737" s="2" t="s">
        <v>5</v>
      </c>
      <c r="D2737" s="2" t="s">
        <v>632</v>
      </c>
      <c r="E2737" s="3">
        <v>10.5</v>
      </c>
      <c r="F2737" s="3">
        <v>6.5</v>
      </c>
      <c r="G2737" s="4">
        <v>44984</v>
      </c>
      <c r="M2737" s="1"/>
      <c r="N2737" s="1"/>
      <c r="O2737" s="1"/>
      <c r="P2737" s="1"/>
      <c r="Q2737" s="1"/>
      <c r="R2737" s="1"/>
    </row>
    <row r="2738" spans="2:18" x14ac:dyDescent="0.2">
      <c r="G2738" s="4"/>
      <c r="M2738" s="1"/>
      <c r="N2738" s="1"/>
      <c r="O2738" s="1"/>
      <c r="P2738" s="1"/>
      <c r="Q2738" s="1"/>
      <c r="R2738" s="1"/>
    </row>
    <row r="2739" spans="2:18" s="12" customFormat="1" x14ac:dyDescent="0.2">
      <c r="B2739" s="12" t="s">
        <v>6400</v>
      </c>
      <c r="C2739" s="13" t="s">
        <v>969</v>
      </c>
      <c r="D2739" s="13" t="s">
        <v>968</v>
      </c>
      <c r="E2739" s="15"/>
      <c r="F2739" s="15">
        <f>SUM(F2740:F2741)</f>
        <v>12</v>
      </c>
      <c r="G2739" s="14">
        <f>G2740</f>
        <v>44831</v>
      </c>
      <c r="M2739" s="13"/>
      <c r="N2739" s="13"/>
      <c r="O2739" s="13"/>
      <c r="P2739" s="13"/>
      <c r="Q2739" s="13"/>
      <c r="R2739" s="13"/>
    </row>
    <row r="2740" spans="2:18" x14ac:dyDescent="0.2">
      <c r="B2740" s="160"/>
      <c r="C2740" s="161" t="s">
        <v>7</v>
      </c>
      <c r="D2740" s="161" t="s">
        <v>2044</v>
      </c>
      <c r="E2740" s="3">
        <v>42</v>
      </c>
      <c r="F2740" s="3">
        <v>10</v>
      </c>
      <c r="G2740" s="4">
        <v>44831</v>
      </c>
    </row>
    <row r="2741" spans="2:18" x14ac:dyDescent="0.2">
      <c r="B2741" s="160"/>
      <c r="C2741" s="161" t="s">
        <v>5</v>
      </c>
      <c r="D2741" s="161" t="s">
        <v>2044</v>
      </c>
      <c r="E2741" s="3">
        <v>15</v>
      </c>
      <c r="F2741" s="3">
        <f>10/5</f>
        <v>2</v>
      </c>
      <c r="G2741" s="4">
        <v>44174</v>
      </c>
    </row>
    <row r="2742" spans="2:18" x14ac:dyDescent="0.2">
      <c r="B2742" s="160"/>
      <c r="C2742" s="161"/>
      <c r="D2742" s="161"/>
      <c r="G2742" s="4"/>
    </row>
    <row r="2743" spans="2:18" s="12" customFormat="1" x14ac:dyDescent="0.2">
      <c r="B2743" s="12" t="s">
        <v>6717</v>
      </c>
      <c r="C2743" s="13" t="s">
        <v>969</v>
      </c>
      <c r="D2743" s="13" t="s">
        <v>968</v>
      </c>
      <c r="E2743" s="15"/>
      <c r="F2743" s="15">
        <f>SUM(F2744:F2746)</f>
        <v>11.8</v>
      </c>
      <c r="G2743" s="14">
        <f>G2744</f>
        <v>44650</v>
      </c>
      <c r="M2743" s="13"/>
      <c r="N2743" s="13"/>
      <c r="O2743" s="13"/>
      <c r="P2743" s="13"/>
      <c r="Q2743" s="13"/>
      <c r="R2743" s="13"/>
    </row>
    <row r="2744" spans="2:18" x14ac:dyDescent="0.2">
      <c r="C2744" s="2" t="s">
        <v>7</v>
      </c>
      <c r="D2744" s="2" t="s">
        <v>891</v>
      </c>
      <c r="E2744" s="3">
        <v>40</v>
      </c>
      <c r="F2744" s="3">
        <v>5</v>
      </c>
      <c r="G2744" s="4">
        <v>44650</v>
      </c>
    </row>
    <row r="2745" spans="2:18" x14ac:dyDescent="0.2">
      <c r="C2745" s="2" t="s">
        <v>5</v>
      </c>
      <c r="D2745" s="2" t="s">
        <v>891</v>
      </c>
      <c r="E2745" s="3">
        <v>14</v>
      </c>
      <c r="F2745" s="3">
        <f>9/5</f>
        <v>1.8</v>
      </c>
      <c r="G2745" s="4">
        <v>44131</v>
      </c>
    </row>
    <row r="2746" spans="2:18" x14ac:dyDescent="0.2">
      <c r="C2746" s="161" t="s">
        <v>7</v>
      </c>
      <c r="D2746" s="161" t="s">
        <v>2037</v>
      </c>
      <c r="E2746" s="3">
        <v>25</v>
      </c>
      <c r="F2746" s="3">
        <v>5</v>
      </c>
      <c r="G2746" s="4">
        <v>44572</v>
      </c>
    </row>
    <row r="2747" spans="2:18" x14ac:dyDescent="0.2">
      <c r="G2747" s="4"/>
    </row>
    <row r="2748" spans="2:18" s="12" customFormat="1" x14ac:dyDescent="0.2">
      <c r="B2748" s="12" t="s">
        <v>6423</v>
      </c>
      <c r="C2748" s="13" t="s">
        <v>969</v>
      </c>
      <c r="D2748" s="13" t="s">
        <v>968</v>
      </c>
      <c r="E2748" s="15"/>
      <c r="F2748" s="15">
        <f>SUM(F2749:F2752)</f>
        <v>16.5</v>
      </c>
      <c r="G2748" s="14">
        <f>+G2752</f>
        <v>45147</v>
      </c>
      <c r="M2748" s="13"/>
      <c r="N2748" s="13"/>
      <c r="O2748" s="13"/>
      <c r="P2748" s="13"/>
      <c r="Q2748" s="13"/>
      <c r="R2748" s="13"/>
    </row>
    <row r="2749" spans="2:18" x14ac:dyDescent="0.2">
      <c r="B2749" s="160"/>
      <c r="C2749" s="161" t="s">
        <v>7</v>
      </c>
      <c r="D2749" s="161" t="s">
        <v>6424</v>
      </c>
      <c r="E2749" s="3">
        <v>35</v>
      </c>
      <c r="F2749" s="3">
        <v>10</v>
      </c>
      <c r="G2749" s="4">
        <v>44468</v>
      </c>
    </row>
    <row r="2750" spans="2:18" x14ac:dyDescent="0.2">
      <c r="B2750" s="160"/>
      <c r="C2750" s="161" t="s">
        <v>5</v>
      </c>
      <c r="D2750" s="161" t="s">
        <v>6424</v>
      </c>
      <c r="E2750" s="3">
        <v>8</v>
      </c>
      <c r="F2750" s="3">
        <v>1</v>
      </c>
      <c r="G2750" s="4">
        <v>44179</v>
      </c>
    </row>
    <row r="2751" spans="2:18" x14ac:dyDescent="0.2">
      <c r="B2751" s="160"/>
      <c r="C2751" s="161" t="s">
        <v>4</v>
      </c>
      <c r="D2751" s="161" t="s">
        <v>6424</v>
      </c>
      <c r="E2751" s="3">
        <v>2</v>
      </c>
      <c r="F2751" s="3">
        <f>E2751/4</f>
        <v>0.5</v>
      </c>
      <c r="G2751" s="4">
        <v>43430</v>
      </c>
    </row>
    <row r="2752" spans="2:18" x14ac:dyDescent="0.2">
      <c r="B2752" s="160"/>
      <c r="C2752" s="282" t="s">
        <v>1040</v>
      </c>
      <c r="D2752" s="282" t="s">
        <v>3665</v>
      </c>
      <c r="E2752" s="3">
        <v>50</v>
      </c>
      <c r="F2752" s="3">
        <v>5</v>
      </c>
      <c r="G2752" s="4">
        <v>45147</v>
      </c>
    </row>
    <row r="2753" spans="2:18" x14ac:dyDescent="0.2">
      <c r="B2753" s="160"/>
      <c r="C2753" s="161"/>
      <c r="D2753" s="161"/>
      <c r="G2753" s="4"/>
    </row>
    <row r="2754" spans="2:18" s="12" customFormat="1" x14ac:dyDescent="0.2">
      <c r="B2754" s="12" t="s">
        <v>6425</v>
      </c>
      <c r="C2754" s="13" t="s">
        <v>969</v>
      </c>
      <c r="D2754" s="13" t="s">
        <v>968</v>
      </c>
      <c r="E2754" s="15"/>
      <c r="F2754" s="15">
        <f>SUM(F2755:F2757)</f>
        <v>11.5</v>
      </c>
      <c r="G2754" s="14">
        <f>G2755</f>
        <v>44468</v>
      </c>
      <c r="M2754" s="13"/>
      <c r="N2754" s="13"/>
      <c r="O2754" s="13"/>
      <c r="P2754" s="13"/>
      <c r="Q2754" s="13"/>
      <c r="R2754" s="13"/>
    </row>
    <row r="2755" spans="2:18" x14ac:dyDescent="0.2">
      <c r="B2755" s="160"/>
      <c r="C2755" s="161" t="s">
        <v>7</v>
      </c>
      <c r="D2755" s="161" t="s">
        <v>6424</v>
      </c>
      <c r="E2755" s="3">
        <v>35</v>
      </c>
      <c r="F2755" s="3">
        <v>10</v>
      </c>
      <c r="G2755" s="4">
        <v>44468</v>
      </c>
    </row>
    <row r="2756" spans="2:18" x14ac:dyDescent="0.2">
      <c r="B2756" s="160"/>
      <c r="C2756" s="161" t="s">
        <v>5</v>
      </c>
      <c r="D2756" s="161" t="s">
        <v>6424</v>
      </c>
      <c r="E2756" s="3">
        <v>8</v>
      </c>
      <c r="F2756" s="3">
        <v>1</v>
      </c>
      <c r="G2756" s="4">
        <v>44179</v>
      </c>
    </row>
    <row r="2757" spans="2:18" x14ac:dyDescent="0.2">
      <c r="B2757" s="160"/>
      <c r="C2757" s="161" t="s">
        <v>4</v>
      </c>
      <c r="D2757" s="161" t="s">
        <v>6424</v>
      </c>
      <c r="E2757" s="3">
        <v>2</v>
      </c>
      <c r="F2757" s="3">
        <f>E2757/4</f>
        <v>0.5</v>
      </c>
      <c r="G2757" s="4">
        <v>43430</v>
      </c>
    </row>
    <row r="2758" spans="2:18" x14ac:dyDescent="0.2">
      <c r="B2758" s="160"/>
      <c r="C2758" s="161"/>
      <c r="D2758" s="161"/>
      <c r="G2758" s="4"/>
    </row>
    <row r="2759" spans="2:18" s="12" customFormat="1" x14ac:dyDescent="0.2">
      <c r="B2759" s="12" t="s">
        <v>6387</v>
      </c>
      <c r="C2759" s="13" t="s">
        <v>969</v>
      </c>
      <c r="D2759" s="13" t="s">
        <v>968</v>
      </c>
      <c r="E2759" s="15"/>
      <c r="F2759" s="15">
        <f>SUM(F2760:F2762)</f>
        <v>12</v>
      </c>
      <c r="G2759" s="14">
        <f>G2762</f>
        <v>44540</v>
      </c>
      <c r="M2759" s="13"/>
      <c r="N2759" s="13"/>
      <c r="O2759" s="13"/>
      <c r="P2759" s="13"/>
      <c r="Q2759" s="13"/>
      <c r="R2759" s="13"/>
    </row>
    <row r="2760" spans="2:18" x14ac:dyDescent="0.2">
      <c r="B2760" s="160"/>
      <c r="C2760" s="161" t="s">
        <v>7</v>
      </c>
      <c r="D2760" s="161" t="s">
        <v>2049</v>
      </c>
      <c r="E2760" s="3">
        <v>50</v>
      </c>
      <c r="F2760" s="3">
        <v>4</v>
      </c>
      <c r="G2760" s="4">
        <v>44252</v>
      </c>
    </row>
    <row r="2761" spans="2:18" x14ac:dyDescent="0.2">
      <c r="B2761" s="160"/>
      <c r="C2761" s="161" t="s">
        <v>5</v>
      </c>
      <c r="D2761" s="161" t="s">
        <v>2049</v>
      </c>
      <c r="E2761" s="3">
        <v>10</v>
      </c>
      <c r="F2761" s="3">
        <v>5</v>
      </c>
      <c r="G2761" s="4">
        <v>43059</v>
      </c>
    </row>
    <row r="2762" spans="2:18" x14ac:dyDescent="0.2">
      <c r="B2762" s="160"/>
      <c r="C2762" s="253" t="s">
        <v>5</v>
      </c>
      <c r="D2762" s="253" t="s">
        <v>2013</v>
      </c>
      <c r="E2762" s="3">
        <v>9</v>
      </c>
      <c r="F2762" s="3">
        <v>3</v>
      </c>
      <c r="G2762" s="4">
        <v>44540</v>
      </c>
    </row>
    <row r="2763" spans="2:18" x14ac:dyDescent="0.2">
      <c r="B2763" s="160"/>
      <c r="C2763" s="161"/>
      <c r="D2763" s="161"/>
      <c r="G2763" s="4"/>
    </row>
    <row r="2764" spans="2:18" s="12" customFormat="1" x14ac:dyDescent="0.2">
      <c r="B2764" s="12" t="s">
        <v>405</v>
      </c>
      <c r="C2764" s="13" t="s">
        <v>969</v>
      </c>
      <c r="D2764" s="13" t="s">
        <v>968</v>
      </c>
      <c r="E2764" s="15"/>
      <c r="F2764" s="15">
        <f>SUM(F2765:F2767)</f>
        <v>12.25</v>
      </c>
      <c r="G2764" s="14">
        <f>G2765</f>
        <v>44538</v>
      </c>
    </row>
    <row r="2765" spans="2:18" x14ac:dyDescent="0.2">
      <c r="C2765" s="2" t="s">
        <v>7</v>
      </c>
      <c r="D2765" s="2" t="s">
        <v>403</v>
      </c>
      <c r="E2765" s="3">
        <v>50</v>
      </c>
      <c r="F2765" s="3">
        <f>30/6</f>
        <v>5</v>
      </c>
      <c r="G2765" s="4">
        <v>44538</v>
      </c>
      <c r="M2765" s="1"/>
      <c r="N2765" s="1"/>
      <c r="O2765" s="1"/>
      <c r="P2765" s="1"/>
      <c r="Q2765" s="1"/>
      <c r="R2765" s="1"/>
    </row>
    <row r="2766" spans="2:18" x14ac:dyDescent="0.2">
      <c r="C2766" s="2" t="s">
        <v>5</v>
      </c>
      <c r="D2766" s="2" t="s">
        <v>403</v>
      </c>
      <c r="E2766" s="3">
        <v>12.5</v>
      </c>
      <c r="F2766" s="3">
        <f>+E2766/2</f>
        <v>6.25</v>
      </c>
      <c r="G2766" s="4">
        <v>44306</v>
      </c>
      <c r="M2766" s="1"/>
      <c r="N2766" s="1"/>
      <c r="O2766" s="1"/>
      <c r="P2766" s="1"/>
      <c r="Q2766" s="1"/>
      <c r="R2766" s="1"/>
    </row>
    <row r="2767" spans="2:18" x14ac:dyDescent="0.2">
      <c r="C2767" s="2" t="s">
        <v>4</v>
      </c>
      <c r="D2767" s="2" t="s">
        <v>403</v>
      </c>
      <c r="E2767" s="3">
        <v>3.1</v>
      </c>
      <c r="F2767" s="3">
        <v>1</v>
      </c>
      <c r="G2767" s="4">
        <v>43580</v>
      </c>
      <c r="M2767" s="1"/>
      <c r="N2767" s="1"/>
      <c r="O2767" s="1"/>
      <c r="P2767" s="1"/>
      <c r="Q2767" s="1"/>
      <c r="R2767" s="1"/>
    </row>
    <row r="2768" spans="2:18" x14ac:dyDescent="0.2">
      <c r="G2768" s="4"/>
      <c r="M2768" s="1"/>
      <c r="N2768" s="1"/>
      <c r="O2768" s="1"/>
      <c r="P2768" s="1"/>
      <c r="Q2768" s="1"/>
      <c r="R2768" s="1"/>
    </row>
    <row r="2769" spans="2:18" s="12" customFormat="1" x14ac:dyDescent="0.2">
      <c r="B2769" s="12" t="s">
        <v>451</v>
      </c>
      <c r="C2769" s="13" t="s">
        <v>969</v>
      </c>
      <c r="D2769" s="13" t="s">
        <v>968</v>
      </c>
      <c r="E2769" s="15"/>
      <c r="F2769" s="15">
        <f>SUM(F2770:F2772)</f>
        <v>11.295454545454547</v>
      </c>
      <c r="G2769" s="14">
        <f>G2770</f>
        <v>44776</v>
      </c>
    </row>
    <row r="2770" spans="2:18" x14ac:dyDescent="0.2">
      <c r="C2770" s="2" t="s">
        <v>8</v>
      </c>
      <c r="D2770" s="2" t="s">
        <v>448</v>
      </c>
      <c r="E2770" s="3">
        <v>90</v>
      </c>
      <c r="F2770" s="3">
        <f>50/11</f>
        <v>4.5454545454545459</v>
      </c>
      <c r="G2770" s="4">
        <v>44776</v>
      </c>
      <c r="M2770" s="1"/>
      <c r="N2770" s="1"/>
      <c r="O2770" s="1"/>
      <c r="P2770" s="1"/>
      <c r="Q2770" s="1"/>
      <c r="R2770" s="1"/>
    </row>
    <row r="2771" spans="2:18" x14ac:dyDescent="0.2">
      <c r="C2771" s="2" t="s">
        <v>18</v>
      </c>
      <c r="D2771" s="2" t="s">
        <v>448</v>
      </c>
      <c r="E2771" s="3">
        <v>40</v>
      </c>
      <c r="F2771" s="3">
        <v>3.75</v>
      </c>
      <c r="G2771" s="4">
        <v>44176</v>
      </c>
      <c r="M2771" s="1"/>
      <c r="N2771" s="1"/>
      <c r="O2771" s="1"/>
      <c r="P2771" s="1"/>
      <c r="Q2771" s="1"/>
      <c r="R2771" s="1"/>
    </row>
    <row r="2772" spans="2:18" x14ac:dyDescent="0.2">
      <c r="C2772" s="2" t="s">
        <v>7</v>
      </c>
      <c r="D2772" s="2" t="s">
        <v>448</v>
      </c>
      <c r="E2772" s="3">
        <v>20</v>
      </c>
      <c r="F2772" s="3">
        <v>3</v>
      </c>
      <c r="G2772" s="4">
        <v>43879</v>
      </c>
      <c r="M2772" s="1"/>
      <c r="N2772" s="1"/>
      <c r="O2772" s="1"/>
      <c r="P2772" s="1"/>
      <c r="Q2772" s="1"/>
      <c r="R2772" s="1"/>
    </row>
    <row r="2773" spans="2:18" x14ac:dyDescent="0.2">
      <c r="G2773" s="4"/>
      <c r="M2773" s="1"/>
      <c r="N2773" s="1"/>
      <c r="O2773" s="1"/>
      <c r="P2773" s="1"/>
      <c r="Q2773" s="1"/>
      <c r="R2773" s="1"/>
    </row>
    <row r="2774" spans="2:18" s="12" customFormat="1" x14ac:dyDescent="0.2">
      <c r="B2774" s="12" t="s">
        <v>5002</v>
      </c>
      <c r="C2774" s="13" t="s">
        <v>969</v>
      </c>
      <c r="D2774" s="13" t="s">
        <v>968</v>
      </c>
      <c r="E2774" s="15"/>
      <c r="F2774" s="15">
        <f>SUM(F2775:F2777)</f>
        <v>10.816666666666666</v>
      </c>
      <c r="G2774" s="14">
        <f>G2775</f>
        <v>43069</v>
      </c>
      <c r="M2774" s="13"/>
      <c r="N2774" s="13"/>
      <c r="O2774" s="13"/>
      <c r="P2774" s="13"/>
      <c r="Q2774" s="13"/>
      <c r="R2774" s="13"/>
    </row>
    <row r="2775" spans="2:18" x14ac:dyDescent="0.2">
      <c r="B2775" s="54"/>
      <c r="C2775" s="55" t="s">
        <v>18</v>
      </c>
      <c r="D2775" s="55" t="s">
        <v>2115</v>
      </c>
      <c r="E2775" s="3">
        <v>40</v>
      </c>
      <c r="F2775" s="3">
        <f>30/6</f>
        <v>5</v>
      </c>
      <c r="G2775" s="4">
        <v>43069</v>
      </c>
      <c r="J2775" s="1">
        <v>1600</v>
      </c>
    </row>
    <row r="2776" spans="2:18" x14ac:dyDescent="0.2">
      <c r="B2776" s="54"/>
      <c r="C2776" s="55" t="s">
        <v>7</v>
      </c>
      <c r="D2776" s="55" t="s">
        <v>2115</v>
      </c>
      <c r="E2776" s="3">
        <v>20</v>
      </c>
      <c r="F2776" s="3">
        <f>13/3</f>
        <v>4.333333333333333</v>
      </c>
      <c r="G2776" s="4">
        <v>42317</v>
      </c>
      <c r="J2776" s="1">
        <v>1600</v>
      </c>
    </row>
    <row r="2777" spans="2:18" x14ac:dyDescent="0.2">
      <c r="B2777" s="54"/>
      <c r="C2777" s="55" t="s">
        <v>5</v>
      </c>
      <c r="D2777" s="55" t="s">
        <v>2115</v>
      </c>
      <c r="E2777" s="3">
        <v>8.9</v>
      </c>
      <c r="F2777" s="3">
        <f>E2777/6</f>
        <v>1.4833333333333334</v>
      </c>
      <c r="G2777" s="4">
        <v>41839</v>
      </c>
      <c r="J2777" s="1">
        <v>1600</v>
      </c>
    </row>
    <row r="2778" spans="2:18" x14ac:dyDescent="0.2">
      <c r="B2778" s="54"/>
      <c r="C2778" s="55"/>
      <c r="D2778" s="55"/>
      <c r="G2778" s="4"/>
    </row>
    <row r="2779" spans="2:18" s="12" customFormat="1" x14ac:dyDescent="0.2">
      <c r="B2779" s="12" t="s">
        <v>97</v>
      </c>
      <c r="C2779" s="13" t="s">
        <v>969</v>
      </c>
      <c r="D2779" s="13" t="s">
        <v>968</v>
      </c>
      <c r="E2779" s="15"/>
      <c r="F2779" s="15">
        <f>SUM(F2780:F2782)</f>
        <v>11.2</v>
      </c>
      <c r="G2779" s="14">
        <f>G2780</f>
        <v>43783</v>
      </c>
      <c r="M2779" s="13"/>
      <c r="N2779" s="13"/>
      <c r="O2779" s="13"/>
      <c r="P2779" s="13"/>
      <c r="Q2779" s="13"/>
      <c r="R2779" s="13"/>
    </row>
    <row r="2780" spans="2:18" x14ac:dyDescent="0.2">
      <c r="C2780" s="2" t="s">
        <v>7</v>
      </c>
      <c r="D2780" s="2" t="s">
        <v>95</v>
      </c>
      <c r="E2780" s="3">
        <v>25</v>
      </c>
      <c r="F2780" s="3">
        <f>15/5</f>
        <v>3</v>
      </c>
      <c r="G2780" s="4">
        <v>43783</v>
      </c>
    </row>
    <row r="2781" spans="2:18" x14ac:dyDescent="0.2">
      <c r="C2781" s="2" t="s">
        <v>7</v>
      </c>
      <c r="D2781" s="2" t="s">
        <v>95</v>
      </c>
      <c r="E2781" s="3">
        <v>15</v>
      </c>
      <c r="F2781" s="3">
        <v>3.2</v>
      </c>
      <c r="G2781" s="4">
        <v>43559</v>
      </c>
    </row>
    <row r="2782" spans="2:18" x14ac:dyDescent="0.2">
      <c r="C2782" s="2" t="s">
        <v>5</v>
      </c>
      <c r="D2782" s="2" t="s">
        <v>95</v>
      </c>
      <c r="E2782" s="3">
        <v>10</v>
      </c>
      <c r="F2782" s="3">
        <v>5</v>
      </c>
      <c r="G2782" s="4">
        <v>42304</v>
      </c>
    </row>
    <row r="2783" spans="2:18" x14ac:dyDescent="0.2">
      <c r="G2783" s="4"/>
    </row>
    <row r="2784" spans="2:18" s="12" customFormat="1" x14ac:dyDescent="0.2">
      <c r="B2784" s="12" t="s">
        <v>691</v>
      </c>
      <c r="C2784" s="13" t="s">
        <v>969</v>
      </c>
      <c r="D2784" s="13" t="s">
        <v>968</v>
      </c>
      <c r="E2784" s="15"/>
      <c r="F2784" s="15">
        <f>SUM(F2785:F2787)</f>
        <v>11</v>
      </c>
      <c r="G2784" s="14">
        <f>G2787</f>
        <v>45005</v>
      </c>
      <c r="M2784" s="13"/>
      <c r="N2784" s="13"/>
      <c r="O2784" s="13"/>
      <c r="P2784" s="13"/>
      <c r="Q2784" s="13"/>
      <c r="R2784" s="13"/>
    </row>
    <row r="2785" spans="2:18" x14ac:dyDescent="0.2">
      <c r="C2785" s="2" t="s">
        <v>4</v>
      </c>
      <c r="D2785" s="2" t="s">
        <v>690</v>
      </c>
      <c r="E2785" s="3">
        <v>30</v>
      </c>
      <c r="F2785" s="3">
        <v>5</v>
      </c>
      <c r="G2785" s="4">
        <v>44742</v>
      </c>
    </row>
    <row r="2786" spans="2:18" x14ac:dyDescent="0.2">
      <c r="C2786" s="2" t="s">
        <v>5</v>
      </c>
      <c r="D2786" s="2" t="s">
        <v>689</v>
      </c>
      <c r="E2786" s="3">
        <v>29</v>
      </c>
      <c r="F2786" s="3">
        <v>3</v>
      </c>
      <c r="G2786" s="4">
        <v>44691</v>
      </c>
    </row>
    <row r="2787" spans="2:18" x14ac:dyDescent="0.2">
      <c r="C2787" s="2" t="s">
        <v>5</v>
      </c>
      <c r="D2787" s="2" t="s">
        <v>688</v>
      </c>
      <c r="E2787" s="3">
        <v>13</v>
      </c>
      <c r="F2787" s="3">
        <v>3</v>
      </c>
      <c r="G2787" s="4">
        <v>45005</v>
      </c>
    </row>
    <row r="2788" spans="2:18" x14ac:dyDescent="0.2">
      <c r="G2788" s="4"/>
    </row>
    <row r="2789" spans="2:18" s="12" customFormat="1" x14ac:dyDescent="0.2">
      <c r="B2789" s="12" t="s">
        <v>384</v>
      </c>
      <c r="C2789" s="13" t="s">
        <v>969</v>
      </c>
      <c r="D2789" s="13" t="s">
        <v>968</v>
      </c>
      <c r="E2789" s="15"/>
      <c r="F2789" s="15">
        <f>SUM(F2790:F2792)</f>
        <v>11.375</v>
      </c>
      <c r="G2789" s="14">
        <f>G2790</f>
        <v>44488</v>
      </c>
    </row>
    <row r="2790" spans="2:18" x14ac:dyDescent="0.2">
      <c r="C2790" s="2" t="s">
        <v>5</v>
      </c>
      <c r="D2790" s="2" t="s">
        <v>381</v>
      </c>
      <c r="E2790" s="3">
        <v>86</v>
      </c>
      <c r="F2790" s="3">
        <v>10</v>
      </c>
      <c r="G2790" s="4">
        <v>44488</v>
      </c>
      <c r="M2790" s="1"/>
      <c r="N2790" s="1"/>
      <c r="O2790" s="1"/>
      <c r="P2790" s="1"/>
      <c r="Q2790" s="1"/>
      <c r="R2790" s="1"/>
    </row>
    <row r="2791" spans="2:18" x14ac:dyDescent="0.2">
      <c r="C2791" s="2" t="s">
        <v>4</v>
      </c>
      <c r="D2791" s="2" t="s">
        <v>381</v>
      </c>
      <c r="E2791" s="3">
        <v>8.5</v>
      </c>
      <c r="F2791" s="3">
        <v>1</v>
      </c>
      <c r="G2791" s="4">
        <v>43796</v>
      </c>
      <c r="M2791" s="1"/>
      <c r="N2791" s="1"/>
      <c r="O2791" s="1"/>
      <c r="P2791" s="1"/>
      <c r="Q2791" s="1"/>
      <c r="R2791" s="1"/>
    </row>
    <row r="2792" spans="2:18" x14ac:dyDescent="0.2">
      <c r="C2792" s="2" t="s">
        <v>4</v>
      </c>
      <c r="D2792" s="2" t="s">
        <v>381</v>
      </c>
      <c r="E2792" s="3">
        <v>0.75</v>
      </c>
      <c r="F2792" s="3">
        <f>+E2792/2</f>
        <v>0.375</v>
      </c>
      <c r="G2792" s="4">
        <v>43166</v>
      </c>
      <c r="M2792" s="1"/>
      <c r="N2792" s="1"/>
      <c r="O2792" s="1"/>
      <c r="P2792" s="1"/>
      <c r="Q2792" s="1"/>
      <c r="R2792" s="1"/>
    </row>
    <row r="2793" spans="2:18" x14ac:dyDescent="0.2">
      <c r="G2793" s="4"/>
      <c r="M2793" s="1"/>
      <c r="N2793" s="1"/>
      <c r="O2793" s="1"/>
      <c r="P2793" s="1"/>
      <c r="Q2793" s="1"/>
      <c r="R2793" s="1"/>
    </row>
    <row r="2794" spans="2:18" s="12" customFormat="1" x14ac:dyDescent="0.2">
      <c r="B2794" s="12" t="s">
        <v>452</v>
      </c>
      <c r="C2794" s="13" t="s">
        <v>969</v>
      </c>
      <c r="D2794" s="13" t="s">
        <v>968</v>
      </c>
      <c r="E2794" s="15"/>
      <c r="F2794" s="15">
        <f>SUM(F2795:F2797)</f>
        <v>11.295454545454547</v>
      </c>
      <c r="G2794" s="14">
        <f>G2795</f>
        <v>44776</v>
      </c>
    </row>
    <row r="2795" spans="2:18" x14ac:dyDescent="0.2">
      <c r="C2795" s="2" t="s">
        <v>8</v>
      </c>
      <c r="D2795" s="2" t="s">
        <v>448</v>
      </c>
      <c r="E2795" s="3">
        <v>90</v>
      </c>
      <c r="F2795" s="3">
        <f>50/11</f>
        <v>4.5454545454545459</v>
      </c>
      <c r="G2795" s="4">
        <v>44776</v>
      </c>
      <c r="M2795" s="1"/>
      <c r="N2795" s="1"/>
      <c r="O2795" s="1"/>
      <c r="P2795" s="1"/>
      <c r="Q2795" s="1"/>
      <c r="R2795" s="1"/>
    </row>
    <row r="2796" spans="2:18" x14ac:dyDescent="0.2">
      <c r="C2796" s="2" t="s">
        <v>18</v>
      </c>
      <c r="D2796" s="2" t="s">
        <v>448</v>
      </c>
      <c r="E2796" s="3">
        <v>40</v>
      </c>
      <c r="F2796" s="3">
        <v>3.75</v>
      </c>
      <c r="G2796" s="4">
        <v>44176</v>
      </c>
      <c r="M2796" s="1"/>
      <c r="N2796" s="1"/>
      <c r="O2796" s="1"/>
      <c r="P2796" s="1"/>
      <c r="Q2796" s="1"/>
      <c r="R2796" s="1"/>
    </row>
    <row r="2797" spans="2:18" x14ac:dyDescent="0.2">
      <c r="C2797" s="2" t="s">
        <v>7</v>
      </c>
      <c r="D2797" s="2" t="s">
        <v>448</v>
      </c>
      <c r="E2797" s="3">
        <v>20</v>
      </c>
      <c r="F2797" s="3">
        <v>3</v>
      </c>
      <c r="G2797" s="4">
        <v>43879</v>
      </c>
      <c r="M2797" s="1"/>
      <c r="N2797" s="1"/>
      <c r="O2797" s="1"/>
      <c r="P2797" s="1"/>
      <c r="Q2797" s="1"/>
      <c r="R2797" s="1"/>
    </row>
    <row r="2798" spans="2:18" x14ac:dyDescent="0.2">
      <c r="G2798" s="4"/>
      <c r="M2798" s="1"/>
      <c r="N2798" s="1"/>
      <c r="O2798" s="1"/>
      <c r="P2798" s="1"/>
      <c r="Q2798" s="1"/>
      <c r="R2798" s="1"/>
    </row>
    <row r="2799" spans="2:18" s="12" customFormat="1" x14ac:dyDescent="0.2">
      <c r="B2799" s="12" t="s">
        <v>447</v>
      </c>
      <c r="C2799" s="13" t="s">
        <v>969</v>
      </c>
      <c r="D2799" s="13" t="s">
        <v>968</v>
      </c>
      <c r="E2799" s="15"/>
      <c r="F2799" s="15">
        <f>SUM(F2800:F2802)</f>
        <v>11</v>
      </c>
      <c r="G2799" s="14">
        <f>G2800</f>
        <v>44756</v>
      </c>
    </row>
    <row r="2800" spans="2:18" x14ac:dyDescent="0.2">
      <c r="C2800" s="2" t="s">
        <v>7</v>
      </c>
      <c r="D2800" s="2" t="s">
        <v>446</v>
      </c>
      <c r="E2800" s="3">
        <v>30</v>
      </c>
      <c r="F2800" s="3">
        <v>5</v>
      </c>
      <c r="G2800" s="4">
        <v>44756</v>
      </c>
      <c r="M2800" s="1"/>
      <c r="N2800" s="1"/>
      <c r="O2800" s="1"/>
      <c r="P2800" s="1"/>
      <c r="Q2800" s="1"/>
      <c r="R2800" s="1"/>
    </row>
    <row r="2801" spans="2:18" x14ac:dyDescent="0.2">
      <c r="C2801" s="2" t="s">
        <v>5</v>
      </c>
      <c r="D2801" s="2" t="s">
        <v>446</v>
      </c>
      <c r="E2801" s="3">
        <v>28</v>
      </c>
      <c r="F2801" s="3">
        <v>5</v>
      </c>
      <c r="G2801" s="4">
        <v>44624</v>
      </c>
      <c r="M2801" s="1"/>
      <c r="N2801" s="1"/>
      <c r="O2801" s="1"/>
      <c r="P2801" s="1"/>
      <c r="Q2801" s="1"/>
      <c r="R2801" s="1"/>
    </row>
    <row r="2802" spans="2:18" x14ac:dyDescent="0.2">
      <c r="C2802" s="2" t="s">
        <v>4</v>
      </c>
      <c r="D2802" s="2" t="s">
        <v>446</v>
      </c>
      <c r="E2802" s="3">
        <v>5</v>
      </c>
      <c r="F2802" s="3">
        <v>1</v>
      </c>
      <c r="G2802" s="4">
        <v>44136</v>
      </c>
      <c r="M2802" s="1"/>
      <c r="N2802" s="1"/>
      <c r="O2802" s="1"/>
      <c r="P2802" s="1"/>
      <c r="Q2802" s="1"/>
      <c r="R2802" s="1"/>
    </row>
    <row r="2803" spans="2:18" x14ac:dyDescent="0.2">
      <c r="G2803" s="4"/>
      <c r="M2803" s="1"/>
      <c r="N2803" s="1"/>
      <c r="O2803" s="1"/>
      <c r="P2803" s="1"/>
      <c r="Q2803" s="1"/>
      <c r="R2803" s="1"/>
    </row>
    <row r="2804" spans="2:18" s="12" customFormat="1" x14ac:dyDescent="0.2">
      <c r="B2804" s="12" t="s">
        <v>718</v>
      </c>
      <c r="C2804" s="13" t="s">
        <v>969</v>
      </c>
      <c r="D2804" s="13" t="s">
        <v>968</v>
      </c>
      <c r="E2804" s="15"/>
      <c r="F2804" s="15">
        <f>SUM(F2805:F2807)</f>
        <v>10.7</v>
      </c>
      <c r="G2804" s="14">
        <f>G2807</f>
        <v>44952</v>
      </c>
      <c r="M2804" s="13"/>
      <c r="N2804" s="13"/>
      <c r="O2804" s="13"/>
      <c r="P2804" s="13"/>
      <c r="Q2804" s="13"/>
      <c r="R2804" s="13"/>
    </row>
    <row r="2805" spans="2:18" x14ac:dyDescent="0.2">
      <c r="B2805" s="265" t="s">
        <v>7664</v>
      </c>
      <c r="C2805" s="2" t="s">
        <v>5</v>
      </c>
      <c r="D2805" s="2" t="s">
        <v>716</v>
      </c>
      <c r="E2805" s="3">
        <v>12.5</v>
      </c>
      <c r="F2805" s="3">
        <v>2</v>
      </c>
      <c r="G2805" s="4">
        <v>44784</v>
      </c>
    </row>
    <row r="2806" spans="2:18" x14ac:dyDescent="0.2">
      <c r="C2806" s="2" t="s">
        <v>5</v>
      </c>
      <c r="D2806" s="2" t="s">
        <v>716</v>
      </c>
      <c r="E2806" s="3">
        <v>10</v>
      </c>
      <c r="F2806" s="3">
        <v>4</v>
      </c>
      <c r="G2806" s="4">
        <v>44110</v>
      </c>
    </row>
    <row r="2807" spans="2:18" x14ac:dyDescent="0.2">
      <c r="C2807" s="2" t="s">
        <v>5</v>
      </c>
      <c r="D2807" s="2" t="s">
        <v>666</v>
      </c>
      <c r="E2807" s="3">
        <v>12.7</v>
      </c>
      <c r="F2807" s="3">
        <v>4.7</v>
      </c>
      <c r="G2807" s="4">
        <v>44952</v>
      </c>
    </row>
    <row r="2808" spans="2:18" x14ac:dyDescent="0.2">
      <c r="G2808" s="4"/>
    </row>
    <row r="2809" spans="2:18" s="12" customFormat="1" x14ac:dyDescent="0.2">
      <c r="B2809" s="12" t="s">
        <v>759</v>
      </c>
      <c r="C2809" s="13" t="s">
        <v>969</v>
      </c>
      <c r="D2809" s="13" t="s">
        <v>968</v>
      </c>
      <c r="E2809" s="15"/>
      <c r="F2809" s="15">
        <f>SUM(F2810:F2812)</f>
        <v>10.833333333333332</v>
      </c>
      <c r="G2809" s="14">
        <f>G2810</f>
        <v>43979</v>
      </c>
    </row>
    <row r="2810" spans="2:18" x14ac:dyDescent="0.2">
      <c r="C2810" s="2" t="s">
        <v>4</v>
      </c>
      <c r="D2810" s="2" t="s">
        <v>730</v>
      </c>
      <c r="E2810" s="3">
        <v>1.5</v>
      </c>
      <c r="F2810" s="3">
        <v>0.5</v>
      </c>
      <c r="G2810" s="4">
        <v>43979</v>
      </c>
      <c r="M2810" s="1"/>
      <c r="N2810" s="1"/>
      <c r="O2810" s="1"/>
      <c r="P2810" s="1"/>
      <c r="Q2810" s="1"/>
      <c r="R2810" s="1"/>
    </row>
    <row r="2811" spans="2:18" x14ac:dyDescent="0.2">
      <c r="C2811" s="52" t="s">
        <v>5</v>
      </c>
      <c r="D2811" s="52" t="s">
        <v>2121</v>
      </c>
      <c r="E2811" s="3">
        <f>52.3</f>
        <v>52.3</v>
      </c>
      <c r="F2811" s="3">
        <f>22/3</f>
        <v>7.333333333333333</v>
      </c>
      <c r="G2811" s="4">
        <v>43348</v>
      </c>
      <c r="J2811" s="1">
        <v>700</v>
      </c>
      <c r="M2811" s="1"/>
      <c r="N2811" s="1"/>
      <c r="O2811" s="1"/>
      <c r="P2811" s="1"/>
      <c r="Q2811" s="1"/>
      <c r="R2811" s="1"/>
    </row>
    <row r="2812" spans="2:18" x14ac:dyDescent="0.2">
      <c r="C2812" s="52" t="s">
        <v>7</v>
      </c>
      <c r="D2812" s="52" t="s">
        <v>2119</v>
      </c>
      <c r="E2812" s="3">
        <v>40</v>
      </c>
      <c r="F2812" s="3">
        <v>3</v>
      </c>
      <c r="G2812" s="4">
        <v>43720</v>
      </c>
      <c r="J2812" s="1">
        <v>3400</v>
      </c>
      <c r="M2812" s="1"/>
      <c r="N2812" s="1"/>
      <c r="O2812" s="1"/>
      <c r="P2812" s="1"/>
      <c r="Q2812" s="1"/>
      <c r="R2812" s="1"/>
    </row>
    <row r="2813" spans="2:18" x14ac:dyDescent="0.2">
      <c r="G2813" s="4"/>
      <c r="M2813" s="1"/>
      <c r="N2813" s="1"/>
      <c r="O2813" s="1"/>
      <c r="P2813" s="1"/>
      <c r="Q2813" s="1"/>
      <c r="R2813" s="1"/>
    </row>
    <row r="2814" spans="2:18" s="12" customFormat="1" x14ac:dyDescent="0.2">
      <c r="B2814" s="12" t="s">
        <v>921</v>
      </c>
      <c r="C2814" s="13" t="s">
        <v>969</v>
      </c>
      <c r="D2814" s="13" t="s">
        <v>968</v>
      </c>
      <c r="E2814" s="15"/>
      <c r="F2814" s="15">
        <f>SUM(F2815:F2816)</f>
        <v>11</v>
      </c>
      <c r="G2814" s="14">
        <f>G2815</f>
        <v>45090</v>
      </c>
      <c r="M2814" s="13"/>
      <c r="N2814" s="13"/>
      <c r="O2814" s="13"/>
      <c r="P2814" s="13"/>
      <c r="Q2814" s="13"/>
      <c r="R2814" s="13"/>
    </row>
    <row r="2815" spans="2:18" x14ac:dyDescent="0.2">
      <c r="C2815" s="2" t="s">
        <v>4</v>
      </c>
      <c r="D2815" s="2" t="s">
        <v>705</v>
      </c>
      <c r="E2815" s="3">
        <v>113</v>
      </c>
      <c r="F2815" s="3">
        <v>8</v>
      </c>
      <c r="G2815" s="4">
        <v>45090</v>
      </c>
    </row>
    <row r="2816" spans="2:18" x14ac:dyDescent="0.2">
      <c r="C2816" s="2" t="s">
        <v>5</v>
      </c>
      <c r="D2816" s="2" t="s">
        <v>2132</v>
      </c>
      <c r="E2816" s="3">
        <v>20</v>
      </c>
      <c r="F2816" s="3">
        <v>3</v>
      </c>
      <c r="G2816" s="4">
        <v>44044</v>
      </c>
    </row>
    <row r="2817" spans="2:18" x14ac:dyDescent="0.2">
      <c r="G2817" s="4"/>
    </row>
    <row r="2818" spans="2:18" x14ac:dyDescent="0.2">
      <c r="B2818" s="12" t="s">
        <v>997</v>
      </c>
      <c r="C2818" s="13" t="s">
        <v>969</v>
      </c>
      <c r="D2818" s="13" t="s">
        <v>968</v>
      </c>
      <c r="E2818" s="15"/>
      <c r="F2818" s="15">
        <f>+F2819+F2820</f>
        <v>10.166666666666668</v>
      </c>
      <c r="G2818" s="14">
        <f>+G2819</f>
        <v>44417</v>
      </c>
    </row>
    <row r="2819" spans="2:18" x14ac:dyDescent="0.2">
      <c r="C2819" s="2" t="s">
        <v>18</v>
      </c>
      <c r="D2819" s="2" t="s">
        <v>877</v>
      </c>
      <c r="E2819" s="3">
        <v>85</v>
      </c>
      <c r="F2819" s="3">
        <v>6</v>
      </c>
      <c r="G2819" s="4">
        <v>44417</v>
      </c>
    </row>
    <row r="2820" spans="2:18" x14ac:dyDescent="0.2">
      <c r="C2820" s="2" t="s">
        <v>7</v>
      </c>
      <c r="D2820" s="2" t="s">
        <v>877</v>
      </c>
      <c r="E2820" s="3">
        <v>35</v>
      </c>
      <c r="F2820" s="3">
        <f>25/6</f>
        <v>4.166666666666667</v>
      </c>
      <c r="G2820" s="4">
        <v>44293</v>
      </c>
    </row>
    <row r="2821" spans="2:18" x14ac:dyDescent="0.2">
      <c r="G2821" s="4"/>
    </row>
    <row r="2822" spans="2:18" s="12" customFormat="1" x14ac:dyDescent="0.2">
      <c r="B2822" s="12" t="s">
        <v>738</v>
      </c>
      <c r="C2822" s="13" t="s">
        <v>969</v>
      </c>
      <c r="D2822" s="13" t="s">
        <v>968</v>
      </c>
      <c r="E2822" s="15"/>
      <c r="F2822" s="15">
        <f>SUM(F2823:F2825)</f>
        <v>9.8000000000000007</v>
      </c>
      <c r="G2822" s="14">
        <f>G2823</f>
        <v>44755</v>
      </c>
    </row>
    <row r="2823" spans="2:18" x14ac:dyDescent="0.2">
      <c r="C2823" s="2" t="s">
        <v>7</v>
      </c>
      <c r="D2823" s="2" t="s">
        <v>735</v>
      </c>
      <c r="E2823" s="3">
        <v>25</v>
      </c>
      <c r="F2823" s="3">
        <f>15/5</f>
        <v>3</v>
      </c>
      <c r="G2823" s="4">
        <v>44755</v>
      </c>
    </row>
    <row r="2824" spans="2:18" x14ac:dyDescent="0.2">
      <c r="C2824" s="2" t="s">
        <v>5</v>
      </c>
      <c r="D2824" s="2" t="s">
        <v>735</v>
      </c>
      <c r="E2824" s="3">
        <v>21</v>
      </c>
      <c r="F2824" s="3">
        <f>14/5</f>
        <v>2.8</v>
      </c>
      <c r="G2824" s="4">
        <v>44489</v>
      </c>
    </row>
    <row r="2825" spans="2:18" x14ac:dyDescent="0.2">
      <c r="C2825" s="2" t="s">
        <v>4</v>
      </c>
      <c r="D2825" s="2" t="s">
        <v>735</v>
      </c>
      <c r="E2825" s="3">
        <v>9.1</v>
      </c>
      <c r="F2825" s="3">
        <v>4</v>
      </c>
      <c r="G2825" s="4">
        <v>44131</v>
      </c>
    </row>
    <row r="2826" spans="2:18" x14ac:dyDescent="0.2">
      <c r="G2826" s="4"/>
    </row>
    <row r="2827" spans="2:18" s="12" customFormat="1" x14ac:dyDescent="0.2">
      <c r="B2827" s="12" t="s">
        <v>658</v>
      </c>
      <c r="C2827" s="13" t="s">
        <v>969</v>
      </c>
      <c r="D2827" s="13" t="s">
        <v>968</v>
      </c>
      <c r="E2827" s="15"/>
      <c r="F2827" s="15">
        <f>SUM(F2828:F2832)</f>
        <v>10.45</v>
      </c>
      <c r="G2827" s="14">
        <f>G2828</f>
        <v>44579</v>
      </c>
      <c r="M2827" s="13"/>
      <c r="N2827" s="13"/>
      <c r="O2827" s="13"/>
      <c r="P2827" s="13"/>
      <c r="Q2827" s="13"/>
      <c r="R2827" s="13"/>
    </row>
    <row r="2828" spans="2:18" x14ac:dyDescent="0.2">
      <c r="C2828" s="2" t="s">
        <v>5</v>
      </c>
      <c r="D2828" s="2" t="s">
        <v>656</v>
      </c>
      <c r="E2828" s="3">
        <v>12.6</v>
      </c>
      <c r="F2828" s="3">
        <v>3</v>
      </c>
      <c r="G2828" s="4">
        <v>44579</v>
      </c>
      <c r="M2828" s="1"/>
      <c r="N2828" s="1"/>
      <c r="O2828" s="1"/>
      <c r="P2828" s="1"/>
      <c r="Q2828" s="1"/>
      <c r="R2828" s="1"/>
    </row>
    <row r="2829" spans="2:18" x14ac:dyDescent="0.2">
      <c r="C2829" s="2" t="s">
        <v>4</v>
      </c>
      <c r="D2829" s="2" t="s">
        <v>656</v>
      </c>
      <c r="E2829" s="3">
        <v>3</v>
      </c>
      <c r="F2829" s="3">
        <v>1</v>
      </c>
      <c r="G2829" s="4">
        <v>43999</v>
      </c>
      <c r="M2829" s="1"/>
      <c r="N2829" s="1"/>
      <c r="O2829" s="1"/>
      <c r="P2829" s="1"/>
      <c r="Q2829" s="1"/>
      <c r="R2829" s="1"/>
    </row>
    <row r="2830" spans="2:18" x14ac:dyDescent="0.2">
      <c r="C2830" s="2" t="s">
        <v>7</v>
      </c>
      <c r="D2830" s="2" t="s">
        <v>310</v>
      </c>
      <c r="E2830" s="3">
        <v>40</v>
      </c>
      <c r="F2830" s="3">
        <v>4</v>
      </c>
      <c r="G2830" s="4">
        <v>43419</v>
      </c>
      <c r="M2830" s="1"/>
      <c r="N2830" s="1"/>
      <c r="O2830" s="1"/>
      <c r="P2830" s="1"/>
      <c r="Q2830" s="1"/>
      <c r="R2830" s="1"/>
    </row>
    <row r="2831" spans="2:18" x14ac:dyDescent="0.2">
      <c r="C2831" s="2" t="s">
        <v>5</v>
      </c>
      <c r="D2831" s="2" t="s">
        <v>310</v>
      </c>
      <c r="E2831" s="3">
        <v>14.7</v>
      </c>
      <c r="F2831" s="3">
        <v>2.25</v>
      </c>
      <c r="G2831" s="4">
        <v>43032</v>
      </c>
      <c r="M2831" s="1"/>
      <c r="N2831" s="1"/>
      <c r="O2831" s="1"/>
      <c r="P2831" s="1"/>
      <c r="Q2831" s="1"/>
      <c r="R2831" s="1"/>
    </row>
    <row r="2832" spans="2:18" x14ac:dyDescent="0.2">
      <c r="C2832" s="2" t="s">
        <v>4</v>
      </c>
      <c r="D2832" s="2" t="s">
        <v>302</v>
      </c>
      <c r="E2832" s="3">
        <v>1.8</v>
      </c>
      <c r="F2832" s="3">
        <v>0.2</v>
      </c>
      <c r="G2832" s="4">
        <v>42690</v>
      </c>
      <c r="M2832" s="1"/>
      <c r="N2832" s="1"/>
      <c r="O2832" s="1"/>
      <c r="P2832" s="1"/>
      <c r="Q2832" s="1"/>
      <c r="R2832" s="1"/>
    </row>
    <row r="2833" spans="2:18" x14ac:dyDescent="0.2">
      <c r="G2833" s="4"/>
      <c r="M2833" s="1"/>
      <c r="N2833" s="1"/>
      <c r="O2833" s="1"/>
      <c r="P2833" s="1"/>
      <c r="Q2833" s="1"/>
      <c r="R2833" s="1"/>
    </row>
    <row r="2834" spans="2:18" s="12" customFormat="1" x14ac:dyDescent="0.2">
      <c r="B2834" s="12" t="s">
        <v>996</v>
      </c>
      <c r="C2834" s="13" t="s">
        <v>969</v>
      </c>
      <c r="D2834" s="13" t="s">
        <v>968</v>
      </c>
      <c r="E2834" s="15"/>
      <c r="F2834" s="15">
        <f>SUM(F2835:F2836)</f>
        <v>10.142857142857142</v>
      </c>
      <c r="G2834" s="14">
        <f>G2835</f>
        <v>44628</v>
      </c>
      <c r="M2834" s="13"/>
      <c r="N2834" s="13"/>
      <c r="O2834" s="13"/>
      <c r="P2834" s="13"/>
      <c r="Q2834" s="13"/>
      <c r="R2834" s="13"/>
    </row>
    <row r="2835" spans="2:18" x14ac:dyDescent="0.2">
      <c r="C2835" s="2" t="s">
        <v>7</v>
      </c>
      <c r="D2835" s="2" t="s">
        <v>864</v>
      </c>
      <c r="E2835" s="3">
        <v>50</v>
      </c>
      <c r="F2835" s="3">
        <f>E2835/7</f>
        <v>7.1428571428571432</v>
      </c>
      <c r="G2835" s="4">
        <v>44628</v>
      </c>
    </row>
    <row r="2836" spans="2:18" x14ac:dyDescent="0.2">
      <c r="C2836" s="2" t="s">
        <v>5</v>
      </c>
      <c r="D2836" s="2" t="s">
        <v>864</v>
      </c>
      <c r="E2836" s="3">
        <v>10</v>
      </c>
      <c r="F2836" s="3">
        <v>3</v>
      </c>
      <c r="G2836" s="4">
        <v>44378</v>
      </c>
    </row>
    <row r="2837" spans="2:18" x14ac:dyDescent="0.2">
      <c r="G2837" s="4"/>
    </row>
    <row r="2838" spans="2:18" s="12" customFormat="1" x14ac:dyDescent="0.2">
      <c r="B2838" s="12" t="s">
        <v>995</v>
      </c>
      <c r="C2838" s="18" t="s">
        <v>969</v>
      </c>
      <c r="D2838" s="18" t="s">
        <v>968</v>
      </c>
      <c r="E2838" s="17"/>
      <c r="F2838" s="17">
        <f>SUM(F2839:F2841)</f>
        <v>10</v>
      </c>
      <c r="G2838" s="16">
        <f>G2839</f>
        <v>44963</v>
      </c>
      <c r="M2838" s="13"/>
      <c r="N2838" s="13"/>
      <c r="O2838" s="13"/>
      <c r="P2838" s="13"/>
      <c r="Q2838" s="13"/>
      <c r="R2838" s="13"/>
    </row>
    <row r="2839" spans="2:18" x14ac:dyDescent="0.2">
      <c r="C2839" s="2" t="s">
        <v>5</v>
      </c>
      <c r="D2839" s="2" t="s">
        <v>994</v>
      </c>
      <c r="E2839" s="3">
        <v>23</v>
      </c>
      <c r="F2839" s="3">
        <v>5</v>
      </c>
      <c r="G2839" s="4">
        <v>44963</v>
      </c>
    </row>
    <row r="2840" spans="2:18" x14ac:dyDescent="0.2">
      <c r="C2840" s="2" t="s">
        <v>5</v>
      </c>
      <c r="D2840" s="2" t="s">
        <v>669</v>
      </c>
      <c r="E2840" s="3">
        <v>14</v>
      </c>
      <c r="F2840" s="3">
        <v>3</v>
      </c>
      <c r="G2840" s="4">
        <v>44705</v>
      </c>
    </row>
    <row r="2841" spans="2:18" x14ac:dyDescent="0.2">
      <c r="C2841" s="2" t="s">
        <v>4</v>
      </c>
      <c r="D2841" s="2" t="s">
        <v>669</v>
      </c>
      <c r="E2841" s="3">
        <v>5</v>
      </c>
      <c r="F2841" s="3">
        <v>2</v>
      </c>
      <c r="G2841" s="4">
        <v>44578</v>
      </c>
    </row>
    <row r="2842" spans="2:18" x14ac:dyDescent="0.2">
      <c r="G2842" s="4"/>
    </row>
    <row r="2843" spans="2:18" s="12" customFormat="1" x14ac:dyDescent="0.2">
      <c r="B2843" s="12" t="s">
        <v>625</v>
      </c>
      <c r="C2843" s="13" t="s">
        <v>969</v>
      </c>
      <c r="D2843" s="13" t="s">
        <v>968</v>
      </c>
      <c r="E2843" s="15"/>
      <c r="F2843" s="15">
        <f>SUM(F2844:F2846)</f>
        <v>11.333333333333332</v>
      </c>
      <c r="G2843" s="14">
        <f>G2844</f>
        <v>44930</v>
      </c>
    </row>
    <row r="2844" spans="2:18" x14ac:dyDescent="0.2">
      <c r="C2844" s="2" t="s">
        <v>5</v>
      </c>
      <c r="D2844" s="2" t="s">
        <v>624</v>
      </c>
      <c r="E2844" s="3">
        <v>10</v>
      </c>
      <c r="F2844" s="3">
        <v>2</v>
      </c>
      <c r="G2844" s="4">
        <v>44930</v>
      </c>
      <c r="M2844" s="1"/>
      <c r="N2844" s="1"/>
      <c r="O2844" s="1"/>
      <c r="P2844" s="1"/>
      <c r="Q2844" s="1"/>
      <c r="R2844" s="1"/>
    </row>
    <row r="2845" spans="2:18" x14ac:dyDescent="0.2">
      <c r="C2845" s="52" t="s">
        <v>5</v>
      </c>
      <c r="D2845" s="52" t="s">
        <v>2121</v>
      </c>
      <c r="E2845" s="3">
        <v>52.3</v>
      </c>
      <c r="F2845" s="3">
        <f>22/3</f>
        <v>7.333333333333333</v>
      </c>
      <c r="G2845" s="4">
        <v>43348</v>
      </c>
      <c r="J2845" s="1">
        <v>700</v>
      </c>
      <c r="M2845" s="1"/>
      <c r="N2845" s="1"/>
      <c r="O2845" s="1"/>
      <c r="P2845" s="1"/>
      <c r="Q2845" s="1"/>
      <c r="R2845" s="1"/>
    </row>
    <row r="2846" spans="2:18" x14ac:dyDescent="0.2">
      <c r="C2846" s="253" t="s">
        <v>4</v>
      </c>
      <c r="D2846" s="253" t="s">
        <v>2017</v>
      </c>
      <c r="E2846" s="3">
        <v>12</v>
      </c>
      <c r="F2846" s="3">
        <v>2</v>
      </c>
      <c r="G2846" s="4">
        <v>43872</v>
      </c>
      <c r="M2846" s="1"/>
      <c r="N2846" s="1"/>
      <c r="O2846" s="1"/>
      <c r="P2846" s="1"/>
      <c r="Q2846" s="1"/>
      <c r="R2846" s="1"/>
    </row>
    <row r="2847" spans="2:18" x14ac:dyDescent="0.2">
      <c r="G2847" s="4"/>
      <c r="M2847" s="1"/>
      <c r="N2847" s="1"/>
      <c r="O2847" s="1"/>
      <c r="P2847" s="1"/>
      <c r="Q2847" s="1"/>
      <c r="R2847" s="1"/>
    </row>
    <row r="2848" spans="2:18" s="12" customFormat="1" x14ac:dyDescent="0.2">
      <c r="B2848" s="12" t="s">
        <v>664</v>
      </c>
      <c r="C2848" s="13" t="s">
        <v>969</v>
      </c>
      <c r="D2848" s="13" t="s">
        <v>968</v>
      </c>
      <c r="E2848" s="15"/>
      <c r="F2848" s="15">
        <f>SUM(F2849:F2851)</f>
        <v>10.5</v>
      </c>
      <c r="G2848" s="14">
        <f>G2850</f>
        <v>44887</v>
      </c>
      <c r="M2848" s="13"/>
      <c r="N2848" s="13"/>
      <c r="O2848" s="13"/>
      <c r="P2848" s="13"/>
      <c r="Q2848" s="13"/>
      <c r="R2848" s="13"/>
    </row>
    <row r="2849" spans="2:18" x14ac:dyDescent="0.2">
      <c r="C2849" s="2" t="s">
        <v>5</v>
      </c>
      <c r="D2849" s="2" t="s">
        <v>663</v>
      </c>
      <c r="E2849" s="3">
        <v>17</v>
      </c>
      <c r="F2849" s="3">
        <v>6</v>
      </c>
      <c r="G2849" s="4">
        <v>44679</v>
      </c>
      <c r="M2849" s="1"/>
      <c r="N2849" s="1"/>
      <c r="O2849" s="1"/>
      <c r="P2849" s="1"/>
      <c r="Q2849" s="1"/>
      <c r="R2849" s="1"/>
    </row>
    <row r="2850" spans="2:18" x14ac:dyDescent="0.2">
      <c r="C2850" s="2" t="s">
        <v>4</v>
      </c>
      <c r="D2850" s="2" t="s">
        <v>573</v>
      </c>
      <c r="E2850" s="3">
        <v>10</v>
      </c>
      <c r="F2850" s="3">
        <v>3</v>
      </c>
      <c r="G2850" s="4">
        <v>44887</v>
      </c>
      <c r="M2850" s="1"/>
      <c r="N2850" s="1"/>
      <c r="O2850" s="1"/>
      <c r="P2850" s="1"/>
      <c r="Q2850" s="1"/>
      <c r="R2850" s="1"/>
    </row>
    <row r="2851" spans="2:18" x14ac:dyDescent="0.2">
      <c r="C2851" s="185" t="s">
        <v>4</v>
      </c>
      <c r="D2851" s="185" t="s">
        <v>2026</v>
      </c>
      <c r="E2851" s="3">
        <v>3.5</v>
      </c>
      <c r="F2851" s="3">
        <v>1.5</v>
      </c>
      <c r="G2851" s="4">
        <v>44609</v>
      </c>
      <c r="M2851" s="1"/>
      <c r="N2851" s="1"/>
      <c r="O2851" s="1"/>
      <c r="P2851" s="1"/>
      <c r="Q2851" s="1"/>
      <c r="R2851" s="1"/>
    </row>
    <row r="2852" spans="2:18" x14ac:dyDescent="0.2">
      <c r="G2852" s="4"/>
      <c r="M2852" s="1"/>
      <c r="N2852" s="1"/>
      <c r="O2852" s="1"/>
      <c r="P2852" s="1"/>
      <c r="Q2852" s="1"/>
      <c r="R2852" s="1"/>
    </row>
    <row r="2853" spans="2:18" s="12" customFormat="1" x14ac:dyDescent="0.2">
      <c r="B2853" s="12" t="s">
        <v>739</v>
      </c>
      <c r="C2853" s="13" t="s">
        <v>969</v>
      </c>
      <c r="D2853" s="13" t="s">
        <v>968</v>
      </c>
      <c r="E2853" s="15"/>
      <c r="F2853" s="15">
        <f>SUM(F2854:F2856)</f>
        <v>9.8000000000000007</v>
      </c>
      <c r="G2853" s="14">
        <f>G2854</f>
        <v>44755</v>
      </c>
    </row>
    <row r="2854" spans="2:18" x14ac:dyDescent="0.2">
      <c r="C2854" s="2" t="s">
        <v>7</v>
      </c>
      <c r="D2854" s="2" t="s">
        <v>735</v>
      </c>
      <c r="E2854" s="3">
        <v>25</v>
      </c>
      <c r="F2854" s="3">
        <f>15/5</f>
        <v>3</v>
      </c>
      <c r="G2854" s="4">
        <v>44755</v>
      </c>
    </row>
    <row r="2855" spans="2:18" x14ac:dyDescent="0.2">
      <c r="C2855" s="2" t="s">
        <v>5</v>
      </c>
      <c r="D2855" s="2" t="s">
        <v>735</v>
      </c>
      <c r="E2855" s="3">
        <v>21</v>
      </c>
      <c r="F2855" s="3">
        <f>14/5</f>
        <v>2.8</v>
      </c>
      <c r="G2855" s="4">
        <v>44489</v>
      </c>
    </row>
    <row r="2856" spans="2:18" x14ac:dyDescent="0.2">
      <c r="C2856" s="2" t="s">
        <v>4</v>
      </c>
      <c r="D2856" s="2" t="s">
        <v>735</v>
      </c>
      <c r="E2856" s="3">
        <v>9.1</v>
      </c>
      <c r="F2856" s="3">
        <v>4</v>
      </c>
      <c r="G2856" s="4">
        <v>44131</v>
      </c>
    </row>
    <row r="2857" spans="2:18" x14ac:dyDescent="0.2">
      <c r="G2857" s="4"/>
    </row>
    <row r="2858" spans="2:18" s="12" customFormat="1" x14ac:dyDescent="0.2">
      <c r="B2858" s="12" t="s">
        <v>993</v>
      </c>
      <c r="C2858" s="13" t="s">
        <v>969</v>
      </c>
      <c r="D2858" s="13" t="s">
        <v>968</v>
      </c>
      <c r="E2858" s="15"/>
      <c r="F2858" s="15">
        <f>SUM(F2859:F2860)</f>
        <v>10.142857142857142</v>
      </c>
      <c r="G2858" s="14">
        <f>G2859</f>
        <v>44628</v>
      </c>
      <c r="M2858" s="13"/>
      <c r="N2858" s="13"/>
      <c r="O2858" s="13"/>
      <c r="P2858" s="13"/>
      <c r="Q2858" s="13"/>
      <c r="R2858" s="13"/>
    </row>
    <row r="2859" spans="2:18" x14ac:dyDescent="0.2">
      <c r="C2859" s="2" t="s">
        <v>7</v>
      </c>
      <c r="D2859" s="2" t="s">
        <v>864</v>
      </c>
      <c r="E2859" s="3">
        <v>50</v>
      </c>
      <c r="F2859" s="3">
        <f>E2859/7</f>
        <v>7.1428571428571432</v>
      </c>
      <c r="G2859" s="4">
        <v>44628</v>
      </c>
    </row>
    <row r="2860" spans="2:18" x14ac:dyDescent="0.2">
      <c r="C2860" s="2" t="s">
        <v>5</v>
      </c>
      <c r="D2860" s="2" t="s">
        <v>864</v>
      </c>
      <c r="E2860" s="3">
        <v>10</v>
      </c>
      <c r="F2860" s="3">
        <v>3</v>
      </c>
      <c r="G2860" s="4">
        <v>44378</v>
      </c>
    </row>
    <row r="2861" spans="2:18" x14ac:dyDescent="0.2">
      <c r="G2861" s="4"/>
    </row>
    <row r="2862" spans="2:18" s="12" customFormat="1" x14ac:dyDescent="0.2">
      <c r="B2862" s="12" t="s">
        <v>992</v>
      </c>
      <c r="C2862" s="13" t="s">
        <v>969</v>
      </c>
      <c r="D2862" s="13" t="s">
        <v>968</v>
      </c>
      <c r="E2862" s="15"/>
      <c r="F2862" s="15">
        <f>SUM(F2863:F2866)</f>
        <v>10</v>
      </c>
      <c r="G2862" s="14">
        <f>G2866</f>
        <v>44578</v>
      </c>
      <c r="M2862" s="13"/>
      <c r="N2862" s="13"/>
      <c r="O2862" s="13"/>
      <c r="P2862" s="13"/>
      <c r="Q2862" s="13"/>
      <c r="R2862" s="13"/>
    </row>
    <row r="2863" spans="2:18" x14ac:dyDescent="0.2">
      <c r="C2863" s="2" t="s">
        <v>5</v>
      </c>
      <c r="D2863" s="2" t="s">
        <v>873</v>
      </c>
      <c r="E2863" s="3">
        <v>30</v>
      </c>
      <c r="F2863" s="3">
        <v>4</v>
      </c>
      <c r="G2863" s="4">
        <v>44522</v>
      </c>
    </row>
    <row r="2864" spans="2:18" x14ac:dyDescent="0.2">
      <c r="C2864" s="2" t="s">
        <v>4</v>
      </c>
      <c r="D2864" s="2" t="s">
        <v>873</v>
      </c>
      <c r="E2864" s="3">
        <v>5.5</v>
      </c>
      <c r="F2864" s="3">
        <v>1</v>
      </c>
      <c r="G2864" s="4">
        <v>44096</v>
      </c>
    </row>
    <row r="2865" spans="2:18" x14ac:dyDescent="0.2">
      <c r="C2865" s="2" t="s">
        <v>4</v>
      </c>
      <c r="D2865" s="2" t="s">
        <v>873</v>
      </c>
      <c r="E2865" s="3">
        <v>2</v>
      </c>
      <c r="F2865" s="3">
        <v>2</v>
      </c>
      <c r="G2865" s="4">
        <v>43862</v>
      </c>
    </row>
    <row r="2866" spans="2:18" x14ac:dyDescent="0.2">
      <c r="C2866" s="2" t="s">
        <v>5</v>
      </c>
      <c r="D2866" s="2" t="s">
        <v>819</v>
      </c>
      <c r="E2866" s="3">
        <v>20</v>
      </c>
      <c r="F2866" s="3">
        <v>3</v>
      </c>
      <c r="G2866" s="4">
        <v>44578</v>
      </c>
    </row>
    <row r="2868" spans="2:18" s="12" customFormat="1" x14ac:dyDescent="0.2">
      <c r="B2868" s="12" t="s">
        <v>990</v>
      </c>
      <c r="C2868" s="13" t="s">
        <v>969</v>
      </c>
      <c r="D2868" s="13" t="s">
        <v>968</v>
      </c>
      <c r="E2868" s="15"/>
      <c r="F2868" s="15">
        <f>SUM(F2869:F2871)</f>
        <v>9.8000000000000007</v>
      </c>
      <c r="G2868" s="14">
        <f>G2870</f>
        <v>44455</v>
      </c>
      <c r="M2868" s="13"/>
      <c r="N2868" s="13"/>
      <c r="O2868" s="13"/>
      <c r="P2868" s="13"/>
      <c r="Q2868" s="13"/>
      <c r="R2868" s="13"/>
    </row>
    <row r="2869" spans="2:18" x14ac:dyDescent="0.2">
      <c r="C2869" s="2" t="s">
        <v>5</v>
      </c>
      <c r="D2869" s="2" t="s">
        <v>871</v>
      </c>
      <c r="E2869" s="3">
        <v>21.4</v>
      </c>
      <c r="F2869" s="3">
        <f>11.4/3</f>
        <v>3.8000000000000003</v>
      </c>
      <c r="G2869" s="4">
        <v>44232</v>
      </c>
    </row>
    <row r="2870" spans="2:18" x14ac:dyDescent="0.2">
      <c r="C2870" s="2" t="s">
        <v>5</v>
      </c>
      <c r="D2870" s="2" t="s">
        <v>720</v>
      </c>
      <c r="E2870" s="3">
        <v>20</v>
      </c>
      <c r="F2870" s="3">
        <v>5</v>
      </c>
      <c r="G2870" s="4">
        <v>44455</v>
      </c>
    </row>
    <row r="2871" spans="2:18" x14ac:dyDescent="0.2">
      <c r="C2871" s="161" t="s">
        <v>5</v>
      </c>
      <c r="D2871" s="161" t="s">
        <v>2042</v>
      </c>
      <c r="E2871" s="3">
        <v>18</v>
      </c>
      <c r="F2871" s="3">
        <v>1</v>
      </c>
      <c r="G2871" s="4">
        <v>43445</v>
      </c>
    </row>
    <row r="2872" spans="2:18" x14ac:dyDescent="0.2">
      <c r="G2872" s="4"/>
    </row>
    <row r="2873" spans="2:18" s="12" customFormat="1" x14ac:dyDescent="0.2">
      <c r="B2873" s="12" t="s">
        <v>991</v>
      </c>
      <c r="C2873" s="13" t="s">
        <v>969</v>
      </c>
      <c r="D2873" s="13" t="s">
        <v>968</v>
      </c>
      <c r="E2873" s="15"/>
      <c r="F2873" s="15">
        <f>SUM(F2874:F2879)</f>
        <v>9.5499999999999989</v>
      </c>
      <c r="G2873" s="14">
        <f>G2878</f>
        <v>44637</v>
      </c>
    </row>
    <row r="2874" spans="2:18" x14ac:dyDescent="0.2">
      <c r="C2874" s="2" t="s">
        <v>18</v>
      </c>
      <c r="D2874" s="2" t="s">
        <v>606</v>
      </c>
      <c r="E2874" s="3">
        <v>48</v>
      </c>
      <c r="F2874" s="3">
        <v>4</v>
      </c>
      <c r="G2874" s="4">
        <v>43888</v>
      </c>
      <c r="J2874" s="1">
        <v>1200</v>
      </c>
      <c r="M2874" s="1"/>
      <c r="N2874" s="1"/>
      <c r="O2874" s="1"/>
      <c r="P2874" s="1"/>
      <c r="Q2874" s="1"/>
      <c r="R2874" s="1"/>
    </row>
    <row r="2875" spans="2:18" x14ac:dyDescent="0.2">
      <c r="C2875" s="2" t="s">
        <v>7</v>
      </c>
      <c r="D2875" s="2" t="s">
        <v>606</v>
      </c>
      <c r="E2875" s="3">
        <v>25</v>
      </c>
      <c r="F2875" s="3">
        <v>2</v>
      </c>
      <c r="G2875" s="4">
        <v>43440</v>
      </c>
      <c r="J2875" s="1">
        <v>1200</v>
      </c>
      <c r="M2875" s="1"/>
      <c r="N2875" s="1"/>
      <c r="O2875" s="1"/>
      <c r="P2875" s="1"/>
      <c r="Q2875" s="1"/>
      <c r="R2875" s="1"/>
    </row>
    <row r="2876" spans="2:18" x14ac:dyDescent="0.2">
      <c r="C2876" s="2" t="s">
        <v>5</v>
      </c>
      <c r="D2876" s="2" t="s">
        <v>606</v>
      </c>
      <c r="E2876" s="3">
        <v>5.8</v>
      </c>
      <c r="F2876" s="3">
        <f>E2876/4</f>
        <v>1.45</v>
      </c>
      <c r="G2876" s="4">
        <v>43117</v>
      </c>
      <c r="J2876" s="1">
        <v>1200</v>
      </c>
      <c r="M2876" s="1"/>
      <c r="N2876" s="1"/>
      <c r="O2876" s="1"/>
      <c r="P2876" s="1"/>
      <c r="Q2876" s="1"/>
      <c r="R2876" s="1"/>
    </row>
    <row r="2877" spans="2:18" x14ac:dyDescent="0.2">
      <c r="C2877" s="2" t="s">
        <v>4</v>
      </c>
      <c r="D2877" s="2" t="s">
        <v>606</v>
      </c>
      <c r="E2877" s="3">
        <v>3.3</v>
      </c>
      <c r="F2877" s="3">
        <v>0.5</v>
      </c>
      <c r="G2877" s="4">
        <v>42678</v>
      </c>
      <c r="J2877" s="1">
        <v>1200</v>
      </c>
      <c r="M2877" s="1"/>
      <c r="N2877" s="1"/>
      <c r="O2877" s="1"/>
      <c r="P2877" s="1"/>
      <c r="Q2877" s="1"/>
      <c r="R2877" s="1"/>
    </row>
    <row r="2878" spans="2:18" x14ac:dyDescent="0.2">
      <c r="C2878" s="2" t="s">
        <v>5</v>
      </c>
      <c r="D2878" s="2" t="s">
        <v>302</v>
      </c>
      <c r="E2878" s="3">
        <v>10</v>
      </c>
      <c r="F2878" s="3">
        <v>1.4</v>
      </c>
      <c r="G2878" s="4">
        <v>44637</v>
      </c>
      <c r="M2878" s="1"/>
      <c r="N2878" s="1"/>
      <c r="O2878" s="1"/>
      <c r="P2878" s="1"/>
      <c r="Q2878" s="1"/>
      <c r="R2878" s="1"/>
    </row>
    <row r="2879" spans="2:18" x14ac:dyDescent="0.2">
      <c r="C2879" s="2" t="s">
        <v>4</v>
      </c>
      <c r="D2879" s="2" t="s">
        <v>302</v>
      </c>
      <c r="E2879" s="3">
        <v>1.8</v>
      </c>
      <c r="F2879" s="3">
        <v>0.2</v>
      </c>
      <c r="G2879" s="4">
        <v>42690</v>
      </c>
      <c r="M2879" s="1"/>
      <c r="N2879" s="1"/>
      <c r="O2879" s="1"/>
      <c r="P2879" s="1"/>
      <c r="Q2879" s="1"/>
      <c r="R2879" s="1"/>
    </row>
    <row r="2880" spans="2:18" x14ac:dyDescent="0.2">
      <c r="G2880" s="4"/>
      <c r="M2880" s="1"/>
      <c r="N2880" s="1"/>
      <c r="O2880" s="1"/>
      <c r="P2880" s="1"/>
      <c r="Q2880" s="1"/>
      <c r="R2880" s="1"/>
    </row>
    <row r="2881" spans="2:18" s="12" customFormat="1" x14ac:dyDescent="0.2">
      <c r="B2881" s="12" t="s">
        <v>274</v>
      </c>
      <c r="C2881" s="13" t="s">
        <v>969</v>
      </c>
      <c r="D2881" s="13" t="s">
        <v>968</v>
      </c>
      <c r="E2881" s="15"/>
      <c r="F2881" s="15">
        <f>SUM(F2882:F2883)</f>
        <v>8.9285714285714288</v>
      </c>
      <c r="G2881" s="14">
        <f>G2882</f>
        <v>44622</v>
      </c>
      <c r="M2881" s="13"/>
      <c r="N2881" s="13"/>
      <c r="O2881" s="13"/>
      <c r="P2881" s="13"/>
      <c r="Q2881" s="13"/>
      <c r="R2881" s="13"/>
    </row>
    <row r="2882" spans="2:18" x14ac:dyDescent="0.2">
      <c r="C2882" s="2" t="s">
        <v>8</v>
      </c>
      <c r="D2882" s="2" t="s">
        <v>258</v>
      </c>
      <c r="E2882" s="3">
        <v>111</v>
      </c>
      <c r="F2882" s="3">
        <f>97/14</f>
        <v>6.9285714285714288</v>
      </c>
      <c r="G2882" s="4">
        <v>44622</v>
      </c>
    </row>
    <row r="2883" spans="2:18" x14ac:dyDescent="0.2">
      <c r="C2883" s="2" t="s">
        <v>7</v>
      </c>
      <c r="D2883" s="2" t="s">
        <v>258</v>
      </c>
      <c r="E2883" s="3">
        <v>16</v>
      </c>
      <c r="F2883" s="3">
        <v>2</v>
      </c>
      <c r="G2883" s="4">
        <v>44009</v>
      </c>
    </row>
    <row r="2884" spans="2:18" x14ac:dyDescent="0.2">
      <c r="G2884" s="4"/>
    </row>
    <row r="2885" spans="2:18" s="12" customFormat="1" x14ac:dyDescent="0.2">
      <c r="B2885" s="12" t="s">
        <v>5241</v>
      </c>
      <c r="C2885" s="13" t="s">
        <v>969</v>
      </c>
      <c r="D2885" s="13" t="s">
        <v>968</v>
      </c>
      <c r="E2885" s="15"/>
      <c r="F2885" s="15">
        <f>SUM(F2886:F2887)</f>
        <v>9</v>
      </c>
      <c r="G2885" s="14">
        <f>G2886</f>
        <v>44319</v>
      </c>
      <c r="M2885" s="13"/>
      <c r="N2885" s="13"/>
      <c r="O2885" s="13"/>
      <c r="P2885" s="13"/>
      <c r="Q2885" s="13"/>
      <c r="R2885" s="13"/>
    </row>
    <row r="2886" spans="2:18" x14ac:dyDescent="0.2">
      <c r="B2886" s="92"/>
      <c r="C2886" s="93" t="s">
        <v>7</v>
      </c>
      <c r="D2886" s="93" t="s">
        <v>2104</v>
      </c>
      <c r="E2886" s="3">
        <v>56</v>
      </c>
      <c r="F2886" s="3">
        <v>8</v>
      </c>
      <c r="G2886" s="4">
        <v>44319</v>
      </c>
    </row>
    <row r="2887" spans="2:18" x14ac:dyDescent="0.2">
      <c r="C2887" s="93" t="s">
        <v>4</v>
      </c>
      <c r="D2887" s="93" t="s">
        <v>2104</v>
      </c>
      <c r="E2887" s="3">
        <v>2.5</v>
      </c>
      <c r="F2887" s="3">
        <v>1</v>
      </c>
      <c r="G2887" s="4">
        <v>43401</v>
      </c>
    </row>
    <row r="2888" spans="2:18" x14ac:dyDescent="0.2">
      <c r="C2888" s="93"/>
      <c r="D2888" s="93"/>
      <c r="G2888" s="4"/>
    </row>
    <row r="2889" spans="2:18" s="12" customFormat="1" x14ac:dyDescent="0.2">
      <c r="B2889" s="12" t="s">
        <v>6435</v>
      </c>
      <c r="C2889" s="13" t="s">
        <v>969</v>
      </c>
      <c r="D2889" s="13" t="s">
        <v>968</v>
      </c>
      <c r="E2889" s="15"/>
      <c r="F2889" s="15">
        <f>SUM(F2890:F2891)</f>
        <v>9</v>
      </c>
      <c r="G2889" s="14">
        <f>G2890</f>
        <v>44881</v>
      </c>
      <c r="M2889" s="13"/>
      <c r="N2889" s="13"/>
      <c r="O2889" s="13"/>
      <c r="P2889" s="13"/>
      <c r="Q2889" s="13"/>
      <c r="R2889" s="13"/>
    </row>
    <row r="2890" spans="2:18" x14ac:dyDescent="0.2">
      <c r="B2890" s="160"/>
      <c r="C2890" s="161" t="s">
        <v>7</v>
      </c>
      <c r="D2890" s="161" t="s">
        <v>2040</v>
      </c>
      <c r="E2890" s="3">
        <v>30</v>
      </c>
      <c r="F2890" s="3">
        <f>20/4</f>
        <v>5</v>
      </c>
      <c r="G2890" s="4">
        <v>44881</v>
      </c>
    </row>
    <row r="2891" spans="2:18" x14ac:dyDescent="0.2">
      <c r="B2891" s="160"/>
      <c r="C2891" s="161" t="s">
        <v>5</v>
      </c>
      <c r="D2891" s="161" t="s">
        <v>2040</v>
      </c>
      <c r="E2891" s="3">
        <v>11</v>
      </c>
      <c r="F2891" s="3">
        <v>4</v>
      </c>
      <c r="G2891" s="4">
        <v>44174</v>
      </c>
    </row>
    <row r="2892" spans="2:18" x14ac:dyDescent="0.2">
      <c r="G2892" s="4"/>
    </row>
    <row r="2893" spans="2:18" s="12" customFormat="1" x14ac:dyDescent="0.2">
      <c r="B2893" s="12" t="s">
        <v>307</v>
      </c>
      <c r="C2893" s="13" t="s">
        <v>969</v>
      </c>
      <c r="D2893" s="13" t="s">
        <v>968</v>
      </c>
      <c r="E2893" s="15"/>
      <c r="F2893" s="15">
        <f>SUM(F2894:F2899)</f>
        <v>8.9049999999999994</v>
      </c>
      <c r="G2893" s="14">
        <f>G2898</f>
        <v>44833</v>
      </c>
      <c r="M2893" s="13"/>
      <c r="N2893" s="13"/>
      <c r="O2893" s="13"/>
      <c r="P2893" s="13"/>
      <c r="Q2893" s="13"/>
      <c r="R2893" s="13"/>
    </row>
    <row r="2894" spans="2:18" x14ac:dyDescent="0.2">
      <c r="C2894" s="2" t="s">
        <v>4</v>
      </c>
      <c r="D2894" s="2" t="s">
        <v>302</v>
      </c>
      <c r="E2894" s="3">
        <v>4.5</v>
      </c>
      <c r="F2894" s="3">
        <v>0.5</v>
      </c>
      <c r="G2894" s="4">
        <v>44175</v>
      </c>
    </row>
    <row r="2895" spans="2:18" x14ac:dyDescent="0.2">
      <c r="C2895" s="2" t="s">
        <v>18</v>
      </c>
      <c r="D2895" s="2" t="s">
        <v>292</v>
      </c>
      <c r="E2895" s="3">
        <v>38</v>
      </c>
      <c r="F2895" s="3">
        <v>3</v>
      </c>
      <c r="G2895" s="4">
        <v>43104</v>
      </c>
    </row>
    <row r="2896" spans="2:18" x14ac:dyDescent="0.2">
      <c r="C2896" s="2" t="s">
        <v>7</v>
      </c>
      <c r="D2896" s="2" t="s">
        <v>292</v>
      </c>
      <c r="E2896" s="3">
        <v>6.9</v>
      </c>
      <c r="F2896" s="3">
        <f>E2896/5</f>
        <v>1.3800000000000001</v>
      </c>
      <c r="G2896" s="4">
        <v>42458</v>
      </c>
    </row>
    <row r="2897" spans="2:18" x14ac:dyDescent="0.2">
      <c r="C2897" s="2" t="s">
        <v>5</v>
      </c>
      <c r="D2897" s="2" t="s">
        <v>292</v>
      </c>
      <c r="E2897" s="3">
        <v>2.7</v>
      </c>
      <c r="F2897" s="3">
        <f>1.7/4</f>
        <v>0.42499999999999999</v>
      </c>
      <c r="G2897" s="4">
        <v>42139</v>
      </c>
    </row>
    <row r="2898" spans="2:18" x14ac:dyDescent="0.2">
      <c r="C2898" s="2" t="s">
        <v>5</v>
      </c>
      <c r="D2898" s="185" t="s">
        <v>2021</v>
      </c>
      <c r="E2898" s="3">
        <v>10</v>
      </c>
      <c r="F2898" s="3">
        <v>2</v>
      </c>
      <c r="G2898" s="4">
        <v>44833</v>
      </c>
    </row>
    <row r="2899" spans="2:18" x14ac:dyDescent="0.2">
      <c r="C2899" s="185" t="s">
        <v>4</v>
      </c>
      <c r="D2899" s="185" t="s">
        <v>2021</v>
      </c>
      <c r="E2899" s="3">
        <v>4.8</v>
      </c>
      <c r="F2899" s="3">
        <f>E2899/3</f>
        <v>1.5999999999999999</v>
      </c>
      <c r="G2899" s="4">
        <v>44720</v>
      </c>
    </row>
    <row r="2900" spans="2:18" x14ac:dyDescent="0.2">
      <c r="G2900" s="4"/>
    </row>
    <row r="2901" spans="2:18" s="12" customFormat="1" x14ac:dyDescent="0.2">
      <c r="B2901" s="12" t="s">
        <v>267</v>
      </c>
      <c r="C2901" s="13" t="s">
        <v>969</v>
      </c>
      <c r="D2901" s="13" t="s">
        <v>968</v>
      </c>
      <c r="E2901" s="15"/>
      <c r="F2901" s="15">
        <f>SUM(F2902:F2904)</f>
        <v>9.2916666666666661</v>
      </c>
      <c r="G2901" s="14">
        <f>G2902</f>
        <v>44314</v>
      </c>
      <c r="M2901" s="13"/>
      <c r="N2901" s="13"/>
      <c r="O2901" s="13"/>
      <c r="P2901" s="13"/>
      <c r="Q2901" s="13"/>
      <c r="R2901" s="13"/>
    </row>
    <row r="2902" spans="2:18" x14ac:dyDescent="0.2">
      <c r="C2902" s="2" t="s">
        <v>18</v>
      </c>
      <c r="D2902" s="2" t="s">
        <v>258</v>
      </c>
      <c r="E2902" s="3">
        <v>55</v>
      </c>
      <c r="F2902" s="3">
        <v>5.625</v>
      </c>
      <c r="G2902" s="4">
        <v>44314</v>
      </c>
    </row>
    <row r="2903" spans="2:18" x14ac:dyDescent="0.2">
      <c r="C2903" s="2" t="s">
        <v>7</v>
      </c>
      <c r="D2903" s="2" t="s">
        <v>258</v>
      </c>
      <c r="E2903" s="3">
        <v>16</v>
      </c>
      <c r="F2903" s="3">
        <v>2</v>
      </c>
      <c r="G2903" s="4">
        <v>44009</v>
      </c>
    </row>
    <row r="2904" spans="2:18" x14ac:dyDescent="0.2">
      <c r="C2904" s="2" t="s">
        <v>5</v>
      </c>
      <c r="D2904" s="2" t="s">
        <v>258</v>
      </c>
      <c r="E2904" s="3">
        <v>14</v>
      </c>
      <c r="F2904" s="3">
        <v>1.6666666666666667</v>
      </c>
      <c r="G2904" s="4">
        <v>43690</v>
      </c>
    </row>
    <row r="2905" spans="2:18" x14ac:dyDescent="0.2">
      <c r="G2905" s="4"/>
    </row>
    <row r="2906" spans="2:18" s="12" customFormat="1" x14ac:dyDescent="0.2">
      <c r="B2906" s="12" t="s">
        <v>276</v>
      </c>
      <c r="C2906" s="13" t="s">
        <v>969</v>
      </c>
      <c r="D2906" s="13" t="s">
        <v>968</v>
      </c>
      <c r="E2906" s="15"/>
      <c r="F2906" s="15">
        <f>SUM(F2907:F2908)</f>
        <v>8.9285714285714288</v>
      </c>
      <c r="G2906" s="14">
        <f>G2907</f>
        <v>44622</v>
      </c>
      <c r="M2906" s="13"/>
      <c r="N2906" s="13"/>
      <c r="O2906" s="13"/>
      <c r="P2906" s="13"/>
      <c r="Q2906" s="13"/>
      <c r="R2906" s="13"/>
    </row>
    <row r="2907" spans="2:18" x14ac:dyDescent="0.2">
      <c r="C2907" s="2" t="s">
        <v>8</v>
      </c>
      <c r="D2907" s="2" t="s">
        <v>258</v>
      </c>
      <c r="E2907" s="3">
        <v>111</v>
      </c>
      <c r="F2907" s="3">
        <f>97/14</f>
        <v>6.9285714285714288</v>
      </c>
      <c r="G2907" s="4">
        <v>44622</v>
      </c>
    </row>
    <row r="2908" spans="2:18" x14ac:dyDescent="0.2">
      <c r="C2908" s="2" t="s">
        <v>7</v>
      </c>
      <c r="D2908" s="2" t="s">
        <v>258</v>
      </c>
      <c r="E2908" s="3">
        <v>16</v>
      </c>
      <c r="F2908" s="3">
        <v>2</v>
      </c>
      <c r="G2908" s="4">
        <v>44009</v>
      </c>
    </row>
    <row r="2909" spans="2:18" x14ac:dyDescent="0.2">
      <c r="G2909" s="4"/>
    </row>
    <row r="2910" spans="2:18" s="12" customFormat="1" x14ac:dyDescent="0.2">
      <c r="B2910" s="12" t="s">
        <v>6401</v>
      </c>
      <c r="C2910" s="13" t="s">
        <v>969</v>
      </c>
      <c r="D2910" s="13" t="s">
        <v>968</v>
      </c>
      <c r="E2910" s="15"/>
      <c r="F2910" s="15">
        <f>SUM(F2911:F2913)</f>
        <v>9.15</v>
      </c>
      <c r="G2910" s="14">
        <f>G2911</f>
        <v>44831</v>
      </c>
      <c r="M2910" s="13"/>
      <c r="N2910" s="13"/>
      <c r="O2910" s="13"/>
      <c r="P2910" s="13"/>
      <c r="Q2910" s="13"/>
      <c r="R2910" s="13"/>
    </row>
    <row r="2911" spans="2:18" x14ac:dyDescent="0.2">
      <c r="B2911" s="160"/>
      <c r="C2911" s="161" t="s">
        <v>7</v>
      </c>
      <c r="D2911" s="161" t="s">
        <v>2044</v>
      </c>
      <c r="E2911" s="3">
        <v>42</v>
      </c>
      <c r="F2911" s="3">
        <f>22/4</f>
        <v>5.5</v>
      </c>
      <c r="G2911" s="4">
        <v>44831</v>
      </c>
    </row>
    <row r="2912" spans="2:18" x14ac:dyDescent="0.2">
      <c r="B2912" s="160"/>
      <c r="C2912" s="161" t="s">
        <v>5</v>
      </c>
      <c r="D2912" s="161" t="s">
        <v>2044</v>
      </c>
      <c r="E2912" s="3">
        <v>15</v>
      </c>
      <c r="F2912" s="3">
        <f>10/5</f>
        <v>2</v>
      </c>
      <c r="G2912" s="4">
        <v>44174</v>
      </c>
    </row>
    <row r="2913" spans="2:18" x14ac:dyDescent="0.2">
      <c r="B2913" s="160"/>
      <c r="C2913" s="161" t="s">
        <v>4</v>
      </c>
      <c r="D2913" s="161" t="s">
        <v>2044</v>
      </c>
      <c r="E2913" s="3">
        <v>3.3</v>
      </c>
      <c r="F2913" s="3">
        <f>E2913/2</f>
        <v>1.65</v>
      </c>
      <c r="G2913" s="4">
        <v>43810</v>
      </c>
    </row>
    <row r="2914" spans="2:18" x14ac:dyDescent="0.2">
      <c r="B2914" s="160"/>
      <c r="C2914" s="161"/>
      <c r="D2914" s="161"/>
      <c r="G2914" s="4"/>
    </row>
    <row r="2915" spans="2:18" s="12" customFormat="1" x14ac:dyDescent="0.2">
      <c r="B2915" s="12" t="s">
        <v>872</v>
      </c>
      <c r="C2915" s="13" t="s">
        <v>969</v>
      </c>
      <c r="D2915" s="13" t="s">
        <v>968</v>
      </c>
      <c r="E2915" s="15"/>
      <c r="F2915" s="15">
        <f>SUM(F2916:F2917)</f>
        <v>8.8000000000000007</v>
      </c>
      <c r="G2915" s="14">
        <f>G2917</f>
        <v>44238</v>
      </c>
      <c r="M2915" s="13"/>
      <c r="N2915" s="13"/>
      <c r="O2915" s="13"/>
      <c r="P2915" s="13"/>
      <c r="Q2915" s="13"/>
      <c r="R2915" s="13"/>
    </row>
    <row r="2916" spans="2:18" x14ac:dyDescent="0.2">
      <c r="C2916" s="2" t="s">
        <v>5</v>
      </c>
      <c r="D2916" s="2" t="s">
        <v>871</v>
      </c>
      <c r="E2916" s="3">
        <v>21.4</v>
      </c>
      <c r="F2916" s="3">
        <f>11.4/3</f>
        <v>3.8000000000000003</v>
      </c>
      <c r="G2916" s="4">
        <v>44232</v>
      </c>
    </row>
    <row r="2917" spans="2:18" x14ac:dyDescent="0.2">
      <c r="C2917" s="55" t="s">
        <v>18</v>
      </c>
      <c r="D2917" s="55" t="s">
        <v>2112</v>
      </c>
      <c r="E2917" s="3">
        <v>40</v>
      </c>
      <c r="F2917" s="3">
        <v>5</v>
      </c>
      <c r="G2917" s="4">
        <v>44238</v>
      </c>
      <c r="J2917" s="1">
        <v>790</v>
      </c>
    </row>
    <row r="2918" spans="2:18" x14ac:dyDescent="0.2">
      <c r="G2918" s="4"/>
    </row>
    <row r="2919" spans="2:18" s="12" customFormat="1" x14ac:dyDescent="0.2">
      <c r="B2919" s="12" t="s">
        <v>6402</v>
      </c>
      <c r="C2919" s="13" t="s">
        <v>969</v>
      </c>
      <c r="D2919" s="13" t="s">
        <v>968</v>
      </c>
      <c r="E2919" s="15"/>
      <c r="F2919" s="15">
        <f>SUM(F2920:F2921)</f>
        <v>7.5</v>
      </c>
      <c r="G2919" s="14">
        <f>G2920</f>
        <v>44831</v>
      </c>
      <c r="M2919" s="13"/>
      <c r="N2919" s="13"/>
      <c r="O2919" s="13"/>
      <c r="P2919" s="13"/>
      <c r="Q2919" s="13"/>
      <c r="R2919" s="13"/>
    </row>
    <row r="2920" spans="2:18" x14ac:dyDescent="0.2">
      <c r="B2920" s="160"/>
      <c r="C2920" s="161" t="s">
        <v>7</v>
      </c>
      <c r="D2920" s="161" t="s">
        <v>2044</v>
      </c>
      <c r="E2920" s="3">
        <v>42</v>
      </c>
      <c r="F2920" s="3">
        <f>22/4</f>
        <v>5.5</v>
      </c>
      <c r="G2920" s="4">
        <v>44831</v>
      </c>
    </row>
    <row r="2921" spans="2:18" x14ac:dyDescent="0.2">
      <c r="B2921" s="160"/>
      <c r="C2921" s="161" t="s">
        <v>5</v>
      </c>
      <c r="D2921" s="161" t="s">
        <v>2044</v>
      </c>
      <c r="E2921" s="3">
        <v>15</v>
      </c>
      <c r="F2921" s="3">
        <f>10/5</f>
        <v>2</v>
      </c>
      <c r="G2921" s="4">
        <v>44174</v>
      </c>
    </row>
    <row r="2922" spans="2:18" x14ac:dyDescent="0.2">
      <c r="B2922" s="160"/>
      <c r="C2922" s="161"/>
      <c r="D2922" s="161"/>
      <c r="G2922" s="4"/>
    </row>
    <row r="2923" spans="2:18" s="12" customFormat="1" x14ac:dyDescent="0.2">
      <c r="B2923" s="12" t="s">
        <v>179</v>
      </c>
      <c r="C2923" s="13" t="s">
        <v>969</v>
      </c>
      <c r="D2923" s="13" t="s">
        <v>968</v>
      </c>
      <c r="E2923" s="15"/>
      <c r="F2923" s="15">
        <f>SUM(F2924:F2925)</f>
        <v>7.9666666666666668</v>
      </c>
      <c r="G2923" s="14">
        <f>G2924</f>
        <v>41437</v>
      </c>
      <c r="M2923" s="13"/>
      <c r="N2923" s="13"/>
      <c r="O2923" s="13"/>
      <c r="P2923" s="13"/>
      <c r="Q2923" s="13"/>
      <c r="R2923" s="13"/>
    </row>
    <row r="2924" spans="2:18" x14ac:dyDescent="0.2">
      <c r="C2924" s="2" t="s">
        <v>18</v>
      </c>
      <c r="D2924" s="2" t="s">
        <v>176</v>
      </c>
      <c r="E2924" s="3">
        <v>34</v>
      </c>
      <c r="F2924" s="3">
        <f>14/3</f>
        <v>4.666666666666667</v>
      </c>
      <c r="G2924" s="4">
        <v>41437</v>
      </c>
    </row>
    <row r="2925" spans="2:18" x14ac:dyDescent="0.2">
      <c r="C2925" s="2" t="s">
        <v>7</v>
      </c>
      <c r="D2925" s="2" t="s">
        <v>176</v>
      </c>
      <c r="E2925" s="3">
        <v>16.5</v>
      </c>
      <c r="F2925" s="3">
        <f>E2925/5</f>
        <v>3.3</v>
      </c>
      <c r="G2925" s="4">
        <v>41176</v>
      </c>
    </row>
    <row r="2926" spans="2:18" x14ac:dyDescent="0.2">
      <c r="G2926" s="4"/>
    </row>
    <row r="2927" spans="2:18" s="12" customFormat="1" x14ac:dyDescent="0.2">
      <c r="B2927" s="12" t="s">
        <v>6711</v>
      </c>
      <c r="C2927" s="13" t="s">
        <v>969</v>
      </c>
      <c r="D2927" s="13" t="s">
        <v>968</v>
      </c>
      <c r="E2927" s="15"/>
      <c r="F2927" s="15">
        <f>SUM(F2928:F2929)</f>
        <v>7.8571428571428577</v>
      </c>
      <c r="G2927" s="14">
        <f>G2928</f>
        <v>43178</v>
      </c>
      <c r="M2927" s="13"/>
      <c r="N2927" s="13"/>
      <c r="O2927" s="13"/>
      <c r="P2927" s="13"/>
      <c r="Q2927" s="13"/>
      <c r="R2927" s="13"/>
    </row>
    <row r="2928" spans="2:18" x14ac:dyDescent="0.2">
      <c r="C2928" s="2" t="s">
        <v>8</v>
      </c>
      <c r="D2928" s="2" t="s">
        <v>102</v>
      </c>
      <c r="E2928" s="3">
        <v>30</v>
      </c>
      <c r="F2928" s="3">
        <f>20/7</f>
        <v>2.8571428571428572</v>
      </c>
      <c r="G2928" s="4">
        <v>43178</v>
      </c>
    </row>
    <row r="2929" spans="2:18" x14ac:dyDescent="0.2">
      <c r="C2929" s="55" t="s">
        <v>18</v>
      </c>
      <c r="D2929" s="55" t="s">
        <v>2115</v>
      </c>
      <c r="E2929" s="3">
        <v>40</v>
      </c>
      <c r="F2929" s="3">
        <v>5</v>
      </c>
      <c r="G2929" s="4">
        <v>43069</v>
      </c>
      <c r="J2929" s="1">
        <v>1600</v>
      </c>
    </row>
    <row r="2930" spans="2:18" x14ac:dyDescent="0.2">
      <c r="G2930" s="4"/>
    </row>
    <row r="2931" spans="2:18" s="12" customFormat="1" x14ac:dyDescent="0.2">
      <c r="B2931" s="12" t="s">
        <v>459</v>
      </c>
      <c r="C2931" s="13" t="s">
        <v>969</v>
      </c>
      <c r="D2931" s="13" t="s">
        <v>968</v>
      </c>
      <c r="E2931" s="15"/>
      <c r="F2931" s="15">
        <f>SUM(F2932:F2933)</f>
        <v>8.3000000000000007</v>
      </c>
      <c r="G2931" s="14">
        <f>G2932</f>
        <v>44600</v>
      </c>
    </row>
    <row r="2932" spans="2:18" x14ac:dyDescent="0.2">
      <c r="C2932" s="2" t="s">
        <v>7</v>
      </c>
      <c r="D2932" s="2" t="s">
        <v>456</v>
      </c>
      <c r="E2932" s="3">
        <v>26.8</v>
      </c>
      <c r="F2932" s="3">
        <v>4</v>
      </c>
      <c r="G2932" s="4">
        <v>44600</v>
      </c>
      <c r="M2932" s="1"/>
      <c r="N2932" s="1"/>
      <c r="O2932" s="1"/>
      <c r="P2932" s="1"/>
      <c r="Q2932" s="1"/>
      <c r="R2932" s="1"/>
    </row>
    <row r="2933" spans="2:18" x14ac:dyDescent="0.2">
      <c r="C2933" s="2" t="s">
        <v>5</v>
      </c>
      <c r="D2933" s="2" t="s">
        <v>456</v>
      </c>
      <c r="E2933" s="3">
        <v>8.3000000000000007</v>
      </c>
      <c r="F2933" s="3">
        <v>4.3</v>
      </c>
      <c r="G2933" s="4">
        <v>44053</v>
      </c>
      <c r="M2933" s="1"/>
      <c r="N2933" s="1"/>
      <c r="O2933" s="1"/>
      <c r="P2933" s="1"/>
      <c r="Q2933" s="1"/>
      <c r="R2933" s="1"/>
    </row>
    <row r="2934" spans="2:18" x14ac:dyDescent="0.2">
      <c r="G2934" s="4"/>
      <c r="M2934" s="1"/>
      <c r="N2934" s="1"/>
      <c r="O2934" s="1"/>
      <c r="P2934" s="1"/>
      <c r="Q2934" s="1"/>
      <c r="R2934" s="1"/>
    </row>
    <row r="2935" spans="2:18" s="12" customFormat="1" x14ac:dyDescent="0.2">
      <c r="B2935" s="12" t="s">
        <v>557</v>
      </c>
      <c r="C2935" s="13" t="s">
        <v>969</v>
      </c>
      <c r="D2935" s="13" t="s">
        <v>968</v>
      </c>
      <c r="E2935" s="15"/>
      <c r="F2935" s="15">
        <f>SUM(F2936:F2937)</f>
        <v>7.5</v>
      </c>
      <c r="G2935" s="14">
        <f>G2936</f>
        <v>45077</v>
      </c>
    </row>
    <row r="2936" spans="2:18" x14ac:dyDescent="0.2">
      <c r="C2936" s="2" t="s">
        <v>7</v>
      </c>
      <c r="D2936" s="2" t="s">
        <v>548</v>
      </c>
      <c r="E2936" s="3">
        <v>20</v>
      </c>
      <c r="F2936" s="3">
        <f>12/6</f>
        <v>2</v>
      </c>
      <c r="G2936" s="4">
        <v>45077</v>
      </c>
      <c r="M2936" s="1"/>
      <c r="N2936" s="1"/>
      <c r="O2936" s="1"/>
      <c r="P2936" s="1"/>
      <c r="Q2936" s="1"/>
      <c r="R2936" s="1"/>
    </row>
    <row r="2937" spans="2:18" x14ac:dyDescent="0.2">
      <c r="C2937" s="2" t="s">
        <v>5</v>
      </c>
      <c r="D2937" s="2" t="s">
        <v>548</v>
      </c>
      <c r="E2937" s="3">
        <v>10.5</v>
      </c>
      <c r="F2937" s="3">
        <v>5.5</v>
      </c>
      <c r="G2937" s="4">
        <v>44341</v>
      </c>
      <c r="M2937" s="1"/>
      <c r="N2937" s="1"/>
      <c r="O2937" s="1"/>
      <c r="P2937" s="1"/>
      <c r="Q2937" s="1"/>
      <c r="R2937" s="1"/>
    </row>
    <row r="2938" spans="2:18" x14ac:dyDescent="0.2">
      <c r="G2938" s="4"/>
      <c r="M2938" s="1"/>
      <c r="N2938" s="1"/>
      <c r="O2938" s="1"/>
      <c r="P2938" s="1"/>
      <c r="Q2938" s="1"/>
      <c r="R2938" s="1"/>
    </row>
    <row r="2939" spans="2:18" s="12" customFormat="1" x14ac:dyDescent="0.2">
      <c r="B2939" s="12" t="s">
        <v>450</v>
      </c>
      <c r="C2939" s="13" t="s">
        <v>969</v>
      </c>
      <c r="D2939" s="13" t="s">
        <v>968</v>
      </c>
      <c r="E2939" s="15"/>
      <c r="F2939" s="15">
        <f>SUM(F2940:F2941)</f>
        <v>8.2954545454545467</v>
      </c>
      <c r="G2939" s="14">
        <f>G2940</f>
        <v>44776</v>
      </c>
    </row>
    <row r="2940" spans="2:18" x14ac:dyDescent="0.2">
      <c r="C2940" s="2" t="s">
        <v>8</v>
      </c>
      <c r="D2940" s="2" t="s">
        <v>448</v>
      </c>
      <c r="E2940" s="3">
        <v>90</v>
      </c>
      <c r="F2940" s="3">
        <f>50/11</f>
        <v>4.5454545454545459</v>
      </c>
      <c r="G2940" s="4">
        <v>44776</v>
      </c>
      <c r="M2940" s="1"/>
      <c r="N2940" s="1"/>
      <c r="O2940" s="1"/>
      <c r="P2940" s="1"/>
      <c r="Q2940" s="1"/>
      <c r="R2940" s="1"/>
    </row>
    <row r="2941" spans="2:18" x14ac:dyDescent="0.2">
      <c r="C2941" s="2" t="s">
        <v>18</v>
      </c>
      <c r="D2941" s="2" t="s">
        <v>448</v>
      </c>
      <c r="E2941" s="3">
        <v>40</v>
      </c>
      <c r="F2941" s="3">
        <v>3.75</v>
      </c>
      <c r="G2941" s="4">
        <v>44176</v>
      </c>
      <c r="M2941" s="1"/>
      <c r="N2941" s="1"/>
      <c r="O2941" s="1"/>
      <c r="P2941" s="1"/>
      <c r="Q2941" s="1"/>
      <c r="R2941" s="1"/>
    </row>
    <row r="2942" spans="2:18" x14ac:dyDescent="0.2">
      <c r="G2942" s="4"/>
      <c r="M2942" s="1"/>
      <c r="N2942" s="1"/>
      <c r="O2942" s="1"/>
      <c r="P2942" s="1"/>
      <c r="Q2942" s="1"/>
      <c r="R2942" s="1"/>
    </row>
    <row r="2943" spans="2:18" s="12" customFormat="1" x14ac:dyDescent="0.2">
      <c r="B2943" s="12" t="s">
        <v>432</v>
      </c>
      <c r="C2943" s="13" t="s">
        <v>969</v>
      </c>
      <c r="D2943" s="13" t="s">
        <v>968</v>
      </c>
      <c r="E2943" s="15"/>
      <c r="F2943" s="15">
        <f>SUM(F2944:F2945)</f>
        <v>8</v>
      </c>
      <c r="G2943" s="14">
        <f>G2945</f>
        <v>43355</v>
      </c>
    </row>
    <row r="2944" spans="2:18" x14ac:dyDescent="0.2">
      <c r="C2944" s="2" t="s">
        <v>5</v>
      </c>
      <c r="D2944" s="2" t="s">
        <v>431</v>
      </c>
      <c r="E2944" s="3">
        <v>15</v>
      </c>
      <c r="F2944" s="3">
        <v>3</v>
      </c>
      <c r="G2944" s="4">
        <v>42690</v>
      </c>
      <c r="M2944" s="1"/>
      <c r="N2944" s="1"/>
      <c r="O2944" s="1"/>
      <c r="P2944" s="1"/>
      <c r="Q2944" s="1"/>
      <c r="R2944" s="1"/>
    </row>
    <row r="2945" spans="2:18" x14ac:dyDescent="0.2">
      <c r="C2945" s="2" t="s">
        <v>5</v>
      </c>
      <c r="D2945" s="2" t="s">
        <v>430</v>
      </c>
      <c r="E2945" s="3">
        <v>5</v>
      </c>
      <c r="F2945" s="3">
        <v>5</v>
      </c>
      <c r="G2945" s="4">
        <v>43355</v>
      </c>
      <c r="M2945" s="1"/>
      <c r="N2945" s="1"/>
      <c r="O2945" s="1"/>
      <c r="P2945" s="1"/>
      <c r="Q2945" s="1"/>
      <c r="R2945" s="1"/>
    </row>
    <row r="2946" spans="2:18" x14ac:dyDescent="0.2">
      <c r="G2946" s="4"/>
      <c r="M2946" s="1"/>
      <c r="N2946" s="1"/>
      <c r="O2946" s="1"/>
      <c r="P2946" s="1"/>
      <c r="Q2946" s="1"/>
      <c r="R2946" s="1"/>
    </row>
    <row r="2947" spans="2:18" s="12" customFormat="1" x14ac:dyDescent="0.2">
      <c r="B2947" s="12" t="s">
        <v>734</v>
      </c>
      <c r="C2947" s="13" t="s">
        <v>969</v>
      </c>
      <c r="D2947" s="13" t="s">
        <v>968</v>
      </c>
      <c r="E2947" s="15"/>
      <c r="F2947" s="15">
        <f>SUM(F2948:F2949)</f>
        <v>7.5</v>
      </c>
      <c r="G2947" s="14">
        <f>G2948</f>
        <v>44757</v>
      </c>
    </row>
    <row r="2948" spans="2:18" x14ac:dyDescent="0.2">
      <c r="C2948" s="2" t="s">
        <v>5</v>
      </c>
      <c r="D2948" s="2" t="s">
        <v>730</v>
      </c>
      <c r="E2948" s="3">
        <v>25</v>
      </c>
      <c r="F2948" s="3">
        <v>7</v>
      </c>
      <c r="G2948" s="4">
        <v>44757</v>
      </c>
    </row>
    <row r="2949" spans="2:18" x14ac:dyDescent="0.2">
      <c r="C2949" s="2" t="s">
        <v>4</v>
      </c>
      <c r="D2949" s="2" t="s">
        <v>730</v>
      </c>
      <c r="E2949" s="3">
        <v>4</v>
      </c>
      <c r="F2949" s="3">
        <v>0.5</v>
      </c>
      <c r="G2949" s="4">
        <v>44340</v>
      </c>
    </row>
    <row r="2950" spans="2:18" x14ac:dyDescent="0.2">
      <c r="G2950" s="4"/>
    </row>
    <row r="2951" spans="2:18" s="12" customFormat="1" x14ac:dyDescent="0.2">
      <c r="B2951" s="12" t="s">
        <v>989</v>
      </c>
      <c r="C2951" s="13" t="s">
        <v>969</v>
      </c>
      <c r="D2951" s="13" t="s">
        <v>968</v>
      </c>
      <c r="E2951" s="15"/>
      <c r="F2951" s="15">
        <f>SUM(F2952:F2953)</f>
        <v>7.5</v>
      </c>
      <c r="G2951" s="14">
        <f>G2952</f>
        <v>44796</v>
      </c>
      <c r="M2951" s="13"/>
      <c r="N2951" s="13"/>
      <c r="O2951" s="13"/>
      <c r="P2951" s="13"/>
      <c r="Q2951" s="13"/>
      <c r="R2951" s="13"/>
    </row>
    <row r="2952" spans="2:18" x14ac:dyDescent="0.2">
      <c r="C2952" s="2" t="s">
        <v>5</v>
      </c>
      <c r="D2952" s="2" t="s">
        <v>701</v>
      </c>
      <c r="E2952" s="3">
        <v>50</v>
      </c>
      <c r="F2952" s="3">
        <f>30/12</f>
        <v>2.5</v>
      </c>
      <c r="G2952" s="4">
        <v>44796</v>
      </c>
    </row>
    <row r="2953" spans="2:18" x14ac:dyDescent="0.2">
      <c r="C2953" s="2" t="s">
        <v>4</v>
      </c>
      <c r="D2953" s="2" t="s">
        <v>701</v>
      </c>
      <c r="E2953" s="3">
        <v>12.5</v>
      </c>
      <c r="F2953" s="3">
        <v>5</v>
      </c>
      <c r="G2953" s="4">
        <v>44623</v>
      </c>
    </row>
    <row r="2955" spans="2:18" s="12" customFormat="1" x14ac:dyDescent="0.2">
      <c r="B2955" s="12" t="s">
        <v>180</v>
      </c>
      <c r="C2955" s="13" t="s">
        <v>969</v>
      </c>
      <c r="D2955" s="13" t="s">
        <v>968</v>
      </c>
      <c r="E2955" s="15"/>
      <c r="F2955" s="15">
        <f>SUM(F2956:F2957)</f>
        <v>7.9666666666666668</v>
      </c>
      <c r="G2955" s="14">
        <f>G2956</f>
        <v>41437</v>
      </c>
      <c r="M2955" s="13"/>
      <c r="N2955" s="13"/>
      <c r="O2955" s="13"/>
      <c r="P2955" s="13"/>
      <c r="Q2955" s="13"/>
      <c r="R2955" s="13"/>
    </row>
    <row r="2956" spans="2:18" x14ac:dyDescent="0.2">
      <c r="C2956" s="2" t="s">
        <v>18</v>
      </c>
      <c r="D2956" s="2" t="s">
        <v>176</v>
      </c>
      <c r="E2956" s="3">
        <v>34</v>
      </c>
      <c r="F2956" s="3">
        <f>14/3</f>
        <v>4.666666666666667</v>
      </c>
      <c r="G2956" s="4">
        <v>41437</v>
      </c>
    </row>
    <row r="2957" spans="2:18" x14ac:dyDescent="0.2">
      <c r="C2957" s="2" t="s">
        <v>7</v>
      </c>
      <c r="D2957" s="2" t="s">
        <v>176</v>
      </c>
      <c r="E2957" s="3">
        <v>16.5</v>
      </c>
      <c r="F2957" s="3">
        <f>E2957/5</f>
        <v>3.3</v>
      </c>
      <c r="G2957" s="4">
        <v>41176</v>
      </c>
    </row>
    <row r="2958" spans="2:18" x14ac:dyDescent="0.2">
      <c r="G2958" s="4"/>
    </row>
    <row r="2959" spans="2:18" s="12" customFormat="1" x14ac:dyDescent="0.2">
      <c r="B2959" s="12" t="s">
        <v>6582</v>
      </c>
      <c r="C2959" s="13" t="s">
        <v>969</v>
      </c>
      <c r="D2959" s="13" t="s">
        <v>968</v>
      </c>
      <c r="E2959" s="15"/>
      <c r="F2959" s="15">
        <f>SUM(F2960:F2961)</f>
        <v>8</v>
      </c>
      <c r="G2959" s="14">
        <f>G2960</f>
        <v>44572</v>
      </c>
      <c r="M2959" s="13"/>
      <c r="N2959" s="13"/>
      <c r="O2959" s="13"/>
      <c r="P2959" s="13"/>
      <c r="Q2959" s="13"/>
      <c r="R2959" s="13"/>
    </row>
    <row r="2960" spans="2:18" x14ac:dyDescent="0.2">
      <c r="B2960" s="160"/>
      <c r="C2960" s="161" t="s">
        <v>7</v>
      </c>
      <c r="D2960" s="161" t="s">
        <v>2037</v>
      </c>
      <c r="E2960" s="3">
        <v>25</v>
      </c>
      <c r="F2960" s="3">
        <v>5</v>
      </c>
      <c r="G2960" s="4">
        <v>44572</v>
      </c>
    </row>
    <row r="2961" spans="2:18" x14ac:dyDescent="0.2">
      <c r="B2961" s="160"/>
      <c r="C2961" s="161" t="s">
        <v>5</v>
      </c>
      <c r="D2961" s="161" t="s">
        <v>2037</v>
      </c>
      <c r="E2961" s="3">
        <v>5</v>
      </c>
      <c r="F2961" s="3">
        <v>3</v>
      </c>
      <c r="G2961" s="4">
        <v>43888</v>
      </c>
    </row>
    <row r="2962" spans="2:18" x14ac:dyDescent="0.2">
      <c r="B2962" s="160"/>
      <c r="C2962" s="161"/>
      <c r="D2962" s="161"/>
      <c r="G2962" s="4"/>
    </row>
    <row r="2963" spans="2:18" s="12" customFormat="1" x14ac:dyDescent="0.2">
      <c r="B2963" s="12" t="s">
        <v>6434</v>
      </c>
      <c r="C2963" s="13" t="s">
        <v>969</v>
      </c>
      <c r="D2963" s="13" t="s">
        <v>968</v>
      </c>
      <c r="E2963" s="15"/>
      <c r="F2963" s="15">
        <f>SUM(F2964:F2966)</f>
        <v>7.75</v>
      </c>
      <c r="G2963" s="14">
        <f>G2964</f>
        <v>44881</v>
      </c>
      <c r="M2963" s="13"/>
      <c r="N2963" s="13"/>
      <c r="O2963" s="13"/>
      <c r="P2963" s="13"/>
      <c r="Q2963" s="13"/>
      <c r="R2963" s="13"/>
    </row>
    <row r="2964" spans="2:18" x14ac:dyDescent="0.2">
      <c r="B2964" s="160"/>
      <c r="C2964" s="161" t="s">
        <v>7</v>
      </c>
      <c r="D2964" s="161" t="s">
        <v>2040</v>
      </c>
      <c r="E2964" s="3">
        <v>30</v>
      </c>
      <c r="F2964" s="3">
        <f>20/4</f>
        <v>5</v>
      </c>
      <c r="G2964" s="4">
        <v>44881</v>
      </c>
    </row>
    <row r="2965" spans="2:18" x14ac:dyDescent="0.2">
      <c r="B2965" s="160"/>
      <c r="C2965" s="161" t="s">
        <v>5</v>
      </c>
      <c r="D2965" s="161" t="s">
        <v>2040</v>
      </c>
      <c r="E2965" s="3">
        <v>11</v>
      </c>
      <c r="F2965" s="3">
        <v>1.75</v>
      </c>
      <c r="G2965" s="4">
        <v>44174</v>
      </c>
    </row>
    <row r="2966" spans="2:18" x14ac:dyDescent="0.2">
      <c r="B2966" s="160"/>
      <c r="C2966" s="161" t="s">
        <v>4</v>
      </c>
      <c r="D2966" s="161" t="s">
        <v>2040</v>
      </c>
      <c r="E2966" s="3">
        <v>2.9</v>
      </c>
      <c r="F2966" s="3">
        <v>1</v>
      </c>
      <c r="G2966" s="4">
        <v>43221</v>
      </c>
    </row>
    <row r="2967" spans="2:18" x14ac:dyDescent="0.2">
      <c r="B2967" s="160"/>
      <c r="C2967" s="161"/>
      <c r="D2967" s="161"/>
      <c r="G2967" s="4"/>
    </row>
    <row r="2968" spans="2:18" s="12" customFormat="1" x14ac:dyDescent="0.2">
      <c r="B2968" s="12" t="s">
        <v>376</v>
      </c>
      <c r="C2968" s="13" t="s">
        <v>969</v>
      </c>
      <c r="D2968" s="13" t="s">
        <v>968</v>
      </c>
      <c r="E2968" s="15"/>
      <c r="F2968" s="15">
        <f>SUM(F2969:F2970)</f>
        <v>8</v>
      </c>
      <c r="G2968" s="14">
        <f>G2969</f>
        <v>43909</v>
      </c>
    </row>
    <row r="2969" spans="2:18" x14ac:dyDescent="0.2">
      <c r="C2969" s="2" t="s">
        <v>7</v>
      </c>
      <c r="D2969" s="2" t="s">
        <v>374</v>
      </c>
      <c r="E2969" s="3">
        <v>44</v>
      </c>
      <c r="F2969" s="3">
        <f>30/6</f>
        <v>5</v>
      </c>
      <c r="G2969" s="4">
        <v>43909</v>
      </c>
      <c r="M2969" s="1"/>
      <c r="N2969" s="1"/>
      <c r="O2969" s="1"/>
      <c r="P2969" s="1"/>
      <c r="Q2969" s="1"/>
      <c r="R2969" s="1"/>
    </row>
    <row r="2970" spans="2:18" x14ac:dyDescent="0.2">
      <c r="C2970" s="2" t="s">
        <v>5</v>
      </c>
      <c r="D2970" s="2" t="s">
        <v>374</v>
      </c>
      <c r="E2970" s="3">
        <v>15</v>
      </c>
      <c r="F2970" s="3">
        <v>3</v>
      </c>
      <c r="G2970" s="4">
        <v>43452</v>
      </c>
      <c r="M2970" s="1"/>
      <c r="N2970" s="1"/>
      <c r="O2970" s="1"/>
      <c r="P2970" s="1"/>
      <c r="Q2970" s="1"/>
      <c r="R2970" s="1"/>
    </row>
    <row r="2971" spans="2:18" x14ac:dyDescent="0.2">
      <c r="G2971" s="4"/>
      <c r="M2971" s="1"/>
      <c r="N2971" s="1"/>
      <c r="O2971" s="1"/>
      <c r="P2971" s="1"/>
      <c r="Q2971" s="1"/>
      <c r="R2971" s="1"/>
    </row>
    <row r="2972" spans="2:18" s="12" customFormat="1" x14ac:dyDescent="0.2">
      <c r="B2972" s="12" t="s">
        <v>181</v>
      </c>
      <c r="C2972" s="13" t="s">
        <v>969</v>
      </c>
      <c r="D2972" s="13" t="s">
        <v>968</v>
      </c>
      <c r="E2972" s="15"/>
      <c r="F2972" s="15">
        <f>SUM(F2973:F2974)</f>
        <v>7.9666666666666668</v>
      </c>
      <c r="G2972" s="14">
        <f>G2973</f>
        <v>41437</v>
      </c>
      <c r="M2972" s="13"/>
      <c r="N2972" s="13"/>
      <c r="O2972" s="13"/>
      <c r="P2972" s="13"/>
      <c r="Q2972" s="13"/>
      <c r="R2972" s="13"/>
    </row>
    <row r="2973" spans="2:18" x14ac:dyDescent="0.2">
      <c r="C2973" s="2" t="s">
        <v>18</v>
      </c>
      <c r="D2973" s="2" t="s">
        <v>176</v>
      </c>
      <c r="E2973" s="3">
        <v>34</v>
      </c>
      <c r="F2973" s="3">
        <f>14/3</f>
        <v>4.666666666666667</v>
      </c>
      <c r="G2973" s="4">
        <v>41437</v>
      </c>
    </row>
    <row r="2974" spans="2:18" x14ac:dyDescent="0.2">
      <c r="C2974" s="2" t="s">
        <v>7</v>
      </c>
      <c r="D2974" s="2" t="s">
        <v>176</v>
      </c>
      <c r="E2974" s="3">
        <v>16.5</v>
      </c>
      <c r="F2974" s="3">
        <f>E2974/5</f>
        <v>3.3</v>
      </c>
      <c r="G2974" s="4">
        <v>41176</v>
      </c>
    </row>
    <row r="2975" spans="2:18" x14ac:dyDescent="0.2">
      <c r="G2975" s="4"/>
    </row>
    <row r="2976" spans="2:18" s="12" customFormat="1" x14ac:dyDescent="0.2">
      <c r="B2976" s="12" t="s">
        <v>526</v>
      </c>
      <c r="C2976" s="13" t="s">
        <v>969</v>
      </c>
      <c r="D2976" s="13" t="s">
        <v>968</v>
      </c>
      <c r="E2976" s="15"/>
      <c r="F2976" s="15">
        <f>SUM(F2977:F2981)</f>
        <v>8.375</v>
      </c>
      <c r="G2976" s="14">
        <f>G2978</f>
        <v>44364</v>
      </c>
    </row>
    <row r="2977" spans="2:18" x14ac:dyDescent="0.2">
      <c r="C2977" s="2" t="s">
        <v>4</v>
      </c>
      <c r="D2977" s="2" t="s">
        <v>520</v>
      </c>
      <c r="E2977" s="3">
        <v>3</v>
      </c>
      <c r="F2977" s="3">
        <v>0.5</v>
      </c>
      <c r="G2977" s="4">
        <v>42606</v>
      </c>
      <c r="M2977" s="1"/>
      <c r="N2977" s="1"/>
      <c r="O2977" s="1"/>
      <c r="P2977" s="1"/>
      <c r="Q2977" s="1"/>
      <c r="R2977" s="1"/>
    </row>
    <row r="2978" spans="2:18" x14ac:dyDescent="0.2">
      <c r="C2978" s="2" t="s">
        <v>7</v>
      </c>
      <c r="D2978" s="2" t="s">
        <v>525</v>
      </c>
      <c r="E2978" s="3">
        <v>32</v>
      </c>
      <c r="F2978" s="3">
        <v>3</v>
      </c>
      <c r="G2978" s="4">
        <v>44364</v>
      </c>
      <c r="M2978" s="1"/>
      <c r="N2978" s="1"/>
      <c r="O2978" s="1"/>
      <c r="P2978" s="1"/>
      <c r="Q2978" s="1"/>
      <c r="R2978" s="1"/>
    </row>
    <row r="2979" spans="2:18" x14ac:dyDescent="0.2">
      <c r="C2979" s="2" t="s">
        <v>5</v>
      </c>
      <c r="D2979" s="2" t="s">
        <v>525</v>
      </c>
      <c r="E2979" s="3">
        <v>10.199999999999999</v>
      </c>
      <c r="F2979" s="3">
        <v>2</v>
      </c>
      <c r="G2979" s="4">
        <v>43732</v>
      </c>
      <c r="M2979" s="1"/>
      <c r="N2979" s="1"/>
      <c r="O2979" s="1"/>
      <c r="P2979" s="1"/>
      <c r="Q2979" s="1"/>
      <c r="R2979" s="1"/>
    </row>
    <row r="2980" spans="2:18" x14ac:dyDescent="0.2">
      <c r="C2980" s="2" t="s">
        <v>4</v>
      </c>
      <c r="D2980" s="2" t="s">
        <v>525</v>
      </c>
      <c r="E2980" s="3">
        <v>3</v>
      </c>
      <c r="F2980" s="3">
        <v>1.5</v>
      </c>
      <c r="G2980" s="4">
        <v>43374</v>
      </c>
      <c r="M2980" s="1"/>
      <c r="N2980" s="1"/>
      <c r="O2980" s="1"/>
      <c r="P2980" s="1"/>
      <c r="Q2980" s="1"/>
      <c r="R2980" s="1"/>
    </row>
    <row r="2981" spans="2:18" x14ac:dyDescent="0.2">
      <c r="C2981" s="52" t="s">
        <v>5</v>
      </c>
      <c r="D2981" s="52" t="s">
        <v>2119</v>
      </c>
      <c r="E2981" s="3">
        <v>11.5</v>
      </c>
      <c r="F2981" s="3">
        <f>5.5/4</f>
        <v>1.375</v>
      </c>
      <c r="G2981" s="4">
        <v>43355</v>
      </c>
      <c r="M2981" s="1"/>
      <c r="N2981" s="1"/>
      <c r="O2981" s="1"/>
      <c r="P2981" s="1"/>
      <c r="Q2981" s="1"/>
      <c r="R2981" s="1"/>
    </row>
    <row r="2982" spans="2:18" x14ac:dyDescent="0.2">
      <c r="G2982" s="4"/>
      <c r="M2982" s="1"/>
      <c r="N2982" s="1"/>
      <c r="O2982" s="1"/>
      <c r="P2982" s="1"/>
      <c r="Q2982" s="1"/>
      <c r="R2982" s="1"/>
    </row>
    <row r="2983" spans="2:18" s="12" customFormat="1" x14ac:dyDescent="0.2">
      <c r="B2983" s="12" t="s">
        <v>791</v>
      </c>
      <c r="C2983" s="13" t="s">
        <v>969</v>
      </c>
      <c r="D2983" s="13" t="s">
        <v>968</v>
      </c>
      <c r="E2983" s="15"/>
      <c r="F2983" s="15">
        <f>SUM(F2984:F2987)</f>
        <v>8.1</v>
      </c>
      <c r="G2983" s="14">
        <f>G2984</f>
        <v>44292</v>
      </c>
    </row>
    <row r="2984" spans="2:18" x14ac:dyDescent="0.2">
      <c r="B2984" s="265" t="s">
        <v>7664</v>
      </c>
      <c r="C2984" s="2" t="s">
        <v>4</v>
      </c>
      <c r="D2984" s="2" t="s">
        <v>697</v>
      </c>
      <c r="E2984" s="3">
        <v>5.6</v>
      </c>
      <c r="F2984" s="3">
        <v>1</v>
      </c>
      <c r="G2984" s="4">
        <v>44292</v>
      </c>
      <c r="M2984" s="1"/>
      <c r="N2984" s="1"/>
      <c r="O2984" s="1"/>
      <c r="P2984" s="1"/>
      <c r="Q2984" s="1"/>
      <c r="R2984" s="1"/>
    </row>
    <row r="2985" spans="2:18" x14ac:dyDescent="0.2">
      <c r="C2985" s="52" t="s">
        <v>7</v>
      </c>
      <c r="D2985" s="52" t="s">
        <v>2119</v>
      </c>
      <c r="E2985" s="3">
        <v>40</v>
      </c>
      <c r="F2985" s="3">
        <v>3</v>
      </c>
      <c r="G2985" s="4">
        <v>43720</v>
      </c>
      <c r="M2985" s="1"/>
      <c r="N2985" s="1"/>
      <c r="O2985" s="1"/>
      <c r="P2985" s="1"/>
      <c r="Q2985" s="1"/>
      <c r="R2985" s="1"/>
    </row>
    <row r="2986" spans="2:18" x14ac:dyDescent="0.2">
      <c r="C2986" s="52" t="s">
        <v>5</v>
      </c>
      <c r="D2986" s="52" t="s">
        <v>2119</v>
      </c>
      <c r="E2986" s="3">
        <v>11.5</v>
      </c>
      <c r="F2986" s="3">
        <v>3</v>
      </c>
      <c r="G2986" s="4">
        <v>43355</v>
      </c>
      <c r="M2986" s="1"/>
      <c r="N2986" s="1"/>
      <c r="O2986" s="1"/>
      <c r="P2986" s="1"/>
      <c r="Q2986" s="1"/>
      <c r="R2986" s="1"/>
    </row>
    <row r="2987" spans="2:18" x14ac:dyDescent="0.2">
      <c r="C2987" s="176" t="s">
        <v>4</v>
      </c>
      <c r="D2987" s="176" t="s">
        <v>2035</v>
      </c>
      <c r="E2987" s="3">
        <v>1.1000000000000001</v>
      </c>
      <c r="F2987" s="3">
        <v>1.1000000000000001</v>
      </c>
      <c r="G2987" s="4">
        <v>44133</v>
      </c>
      <c r="M2987" s="1"/>
      <c r="N2987" s="1"/>
      <c r="O2987" s="1"/>
      <c r="P2987" s="1"/>
      <c r="Q2987" s="1"/>
      <c r="R2987" s="1"/>
    </row>
    <row r="2988" spans="2:18" x14ac:dyDescent="0.2">
      <c r="G2988" s="4"/>
      <c r="M2988" s="1"/>
      <c r="N2988" s="1"/>
      <c r="O2988" s="1"/>
      <c r="P2988" s="1"/>
      <c r="Q2988" s="1"/>
      <c r="R2988" s="1"/>
    </row>
    <row r="2989" spans="2:18" s="12" customFormat="1" x14ac:dyDescent="0.2">
      <c r="B2989" s="12" t="s">
        <v>685</v>
      </c>
      <c r="C2989" s="13" t="s">
        <v>969</v>
      </c>
      <c r="D2989" s="13" t="s">
        <v>968</v>
      </c>
      <c r="E2989" s="15"/>
      <c r="F2989" s="15">
        <f>SUM(F2990:F2991)</f>
        <v>6.6666666666666661</v>
      </c>
      <c r="G2989" s="14">
        <f>G2990</f>
        <v>45027</v>
      </c>
      <c r="M2989" s="13"/>
      <c r="N2989" s="13"/>
      <c r="O2989" s="13"/>
      <c r="P2989" s="13"/>
      <c r="Q2989" s="13"/>
      <c r="R2989" s="13"/>
    </row>
    <row r="2990" spans="2:18" x14ac:dyDescent="0.2">
      <c r="B2990" s="265" t="s">
        <v>7664</v>
      </c>
      <c r="C2990" s="2" t="s">
        <v>5</v>
      </c>
      <c r="D2990" s="2" t="s">
        <v>684</v>
      </c>
      <c r="E2990" s="3">
        <v>21</v>
      </c>
      <c r="F2990" s="3">
        <f>11/3</f>
        <v>3.6666666666666665</v>
      </c>
      <c r="G2990" s="4">
        <v>45027</v>
      </c>
    </row>
    <row r="2991" spans="2:18" x14ac:dyDescent="0.2">
      <c r="C2991" s="2" t="s">
        <v>4</v>
      </c>
      <c r="D2991" s="2" t="s">
        <v>355</v>
      </c>
      <c r="E2991" s="3">
        <v>12</v>
      </c>
      <c r="F2991" s="3">
        <v>3</v>
      </c>
      <c r="G2991" s="4">
        <v>44271</v>
      </c>
    </row>
    <row r="2992" spans="2:18" x14ac:dyDescent="0.2">
      <c r="G2992" s="4"/>
    </row>
    <row r="2993" spans="2:18" s="12" customFormat="1" x14ac:dyDescent="0.2">
      <c r="B2993" s="12" t="s">
        <v>325</v>
      </c>
      <c r="C2993" s="13" t="s">
        <v>969</v>
      </c>
      <c r="D2993" s="13" t="s">
        <v>968</v>
      </c>
      <c r="E2993" s="15"/>
      <c r="F2993" s="15">
        <f>SUM(F2994:F2995)</f>
        <v>7</v>
      </c>
      <c r="G2993" s="14">
        <f>G2995</f>
        <v>44200</v>
      </c>
    </row>
    <row r="2994" spans="2:18" x14ac:dyDescent="0.2">
      <c r="C2994" s="2" t="s">
        <v>5</v>
      </c>
      <c r="D2994" s="2" t="s">
        <v>318</v>
      </c>
      <c r="E2994" s="3">
        <v>16</v>
      </c>
      <c r="F2994" s="3">
        <v>2</v>
      </c>
      <c r="G2994" s="4">
        <v>43783</v>
      </c>
      <c r="L2994" s="1">
        <f>+F2994*5</f>
        <v>10</v>
      </c>
      <c r="M2994" s="1"/>
      <c r="N2994" s="1"/>
      <c r="O2994" s="1"/>
      <c r="P2994" s="1"/>
      <c r="Q2994" s="1"/>
      <c r="R2994" s="1"/>
    </row>
    <row r="2995" spans="2:18" x14ac:dyDescent="0.2">
      <c r="C2995" s="2" t="s">
        <v>7</v>
      </c>
      <c r="D2995" s="2" t="s">
        <v>318</v>
      </c>
      <c r="E2995" s="3">
        <v>55</v>
      </c>
      <c r="F2995" s="3">
        <v>5</v>
      </c>
      <c r="G2995" s="4">
        <v>44200</v>
      </c>
      <c r="M2995" s="1"/>
      <c r="N2995" s="1"/>
      <c r="O2995" s="1"/>
      <c r="P2995" s="1"/>
      <c r="Q2995" s="1"/>
      <c r="R2995" s="1"/>
    </row>
    <row r="2996" spans="2:18" x14ac:dyDescent="0.2">
      <c r="G2996" s="4"/>
      <c r="M2996" s="1"/>
      <c r="N2996" s="1"/>
      <c r="O2996" s="1"/>
      <c r="P2996" s="1"/>
      <c r="Q2996" s="1"/>
      <c r="R2996" s="1"/>
    </row>
    <row r="2997" spans="2:18" s="12" customFormat="1" x14ac:dyDescent="0.2">
      <c r="B2997" s="12" t="s">
        <v>324</v>
      </c>
      <c r="C2997" s="13" t="s">
        <v>969</v>
      </c>
      <c r="D2997" s="13" t="s">
        <v>968</v>
      </c>
      <c r="E2997" s="15"/>
      <c r="F2997" s="15">
        <f>SUM(F2998:F2999)</f>
        <v>7</v>
      </c>
      <c r="G2997" s="14">
        <f>G2999</f>
        <v>44200</v>
      </c>
    </row>
    <row r="2998" spans="2:18" x14ac:dyDescent="0.2">
      <c r="C2998" s="2" t="s">
        <v>5</v>
      </c>
      <c r="D2998" s="2" t="s">
        <v>318</v>
      </c>
      <c r="E2998" s="3">
        <v>16</v>
      </c>
      <c r="F2998" s="3">
        <v>2</v>
      </c>
      <c r="G2998" s="4">
        <v>43783</v>
      </c>
      <c r="L2998" s="1">
        <f>+F2998*5</f>
        <v>10</v>
      </c>
      <c r="M2998" s="1"/>
      <c r="N2998" s="1"/>
      <c r="O2998" s="1"/>
      <c r="P2998" s="1"/>
      <c r="Q2998" s="1"/>
      <c r="R2998" s="1"/>
    </row>
    <row r="2999" spans="2:18" x14ac:dyDescent="0.2">
      <c r="C2999" s="2" t="s">
        <v>7</v>
      </c>
      <c r="D2999" s="2" t="s">
        <v>318</v>
      </c>
      <c r="E2999" s="3">
        <v>55</v>
      </c>
      <c r="F2999" s="3">
        <v>5</v>
      </c>
      <c r="G2999" s="4">
        <v>44200</v>
      </c>
      <c r="M2999" s="1"/>
      <c r="N2999" s="1"/>
      <c r="O2999" s="1"/>
      <c r="P2999" s="1"/>
      <c r="Q2999" s="1"/>
      <c r="R2999" s="1"/>
    </row>
    <row r="3000" spans="2:18" x14ac:dyDescent="0.2">
      <c r="G3000" s="4"/>
      <c r="M3000" s="1"/>
      <c r="N3000" s="1"/>
      <c r="O3000" s="1"/>
      <c r="P3000" s="1"/>
      <c r="Q3000" s="1"/>
      <c r="R3000" s="1"/>
    </row>
    <row r="3001" spans="2:18" s="12" customFormat="1" x14ac:dyDescent="0.2">
      <c r="B3001" s="12" t="s">
        <v>710</v>
      </c>
      <c r="C3001" s="13" t="s">
        <v>969</v>
      </c>
      <c r="D3001" s="13" t="s">
        <v>968</v>
      </c>
      <c r="E3001" s="15"/>
      <c r="F3001" s="15">
        <f>SUM(F3002:F3006)</f>
        <v>6.625</v>
      </c>
      <c r="G3001" s="14">
        <f>G3002</f>
        <v>45092</v>
      </c>
      <c r="M3001" s="13"/>
      <c r="N3001" s="13"/>
      <c r="O3001" s="13"/>
      <c r="P3001" s="13"/>
      <c r="Q3001" s="13"/>
      <c r="R3001" s="13"/>
    </row>
    <row r="3002" spans="2:18" x14ac:dyDescent="0.2">
      <c r="B3002" s="265" t="s">
        <v>7664</v>
      </c>
      <c r="C3002" s="2" t="s">
        <v>4</v>
      </c>
      <c r="D3002" s="2" t="s">
        <v>709</v>
      </c>
      <c r="E3002" s="3">
        <v>5.5</v>
      </c>
      <c r="F3002" s="3">
        <v>3</v>
      </c>
      <c r="G3002" s="4">
        <v>45092</v>
      </c>
    </row>
    <row r="3003" spans="2:18" x14ac:dyDescent="0.2">
      <c r="C3003" s="2" t="s">
        <v>4</v>
      </c>
      <c r="D3003" s="2" t="s">
        <v>341</v>
      </c>
      <c r="E3003" s="3">
        <v>3.5</v>
      </c>
      <c r="F3003" s="3">
        <v>1.25</v>
      </c>
      <c r="G3003" s="4">
        <v>44636</v>
      </c>
    </row>
    <row r="3004" spans="2:18" x14ac:dyDescent="0.2">
      <c r="C3004" s="2" t="s">
        <v>4</v>
      </c>
      <c r="D3004" s="2" t="s">
        <v>336</v>
      </c>
      <c r="E3004" s="3">
        <v>3</v>
      </c>
      <c r="F3004" s="3">
        <f>1.5/4</f>
        <v>0.375</v>
      </c>
      <c r="G3004" s="4">
        <v>44327</v>
      </c>
    </row>
    <row r="3005" spans="2:18" x14ac:dyDescent="0.2">
      <c r="C3005" s="2" t="s">
        <v>4</v>
      </c>
      <c r="D3005" s="2" t="s">
        <v>332</v>
      </c>
      <c r="E3005" s="3">
        <v>5.0999999999999996</v>
      </c>
      <c r="F3005" s="3">
        <v>1</v>
      </c>
      <c r="G3005" s="4">
        <v>43990</v>
      </c>
    </row>
    <row r="3006" spans="2:18" x14ac:dyDescent="0.2">
      <c r="C3006" s="2" t="s">
        <v>4</v>
      </c>
      <c r="D3006" s="2" t="s">
        <v>329</v>
      </c>
      <c r="E3006" s="3">
        <v>5</v>
      </c>
      <c r="F3006" s="3">
        <v>1</v>
      </c>
      <c r="G3006" s="4">
        <v>43224</v>
      </c>
      <c r="L3006" s="1">
        <v>0</v>
      </c>
    </row>
    <row r="3007" spans="2:18" x14ac:dyDescent="0.2">
      <c r="G3007" s="4"/>
    </row>
    <row r="3008" spans="2:18" s="12" customFormat="1" x14ac:dyDescent="0.2">
      <c r="B3008" s="12" t="s">
        <v>6436</v>
      </c>
      <c r="C3008" s="13" t="s">
        <v>969</v>
      </c>
      <c r="D3008" s="13" t="s">
        <v>968</v>
      </c>
      <c r="E3008" s="15"/>
      <c r="F3008" s="15">
        <f>SUM(F3009:F3010)</f>
        <v>7</v>
      </c>
      <c r="G3008" s="14">
        <f>G3009</f>
        <v>44881</v>
      </c>
      <c r="M3008" s="13"/>
      <c r="N3008" s="13"/>
      <c r="O3008" s="13"/>
      <c r="P3008" s="13"/>
      <c r="Q3008" s="13"/>
      <c r="R3008" s="13"/>
    </row>
    <row r="3009" spans="2:18" x14ac:dyDescent="0.2">
      <c r="B3009" s="160"/>
      <c r="C3009" s="161" t="s">
        <v>7</v>
      </c>
      <c r="D3009" s="161" t="s">
        <v>2040</v>
      </c>
      <c r="E3009" s="3">
        <v>30</v>
      </c>
      <c r="F3009" s="3">
        <f>20/4</f>
        <v>5</v>
      </c>
      <c r="G3009" s="4">
        <v>44881</v>
      </c>
    </row>
    <row r="3010" spans="2:18" x14ac:dyDescent="0.2">
      <c r="C3010" s="2" t="s">
        <v>5</v>
      </c>
      <c r="D3010" s="2" t="s">
        <v>2040</v>
      </c>
      <c r="E3010" s="3">
        <v>11</v>
      </c>
      <c r="F3010" s="3">
        <v>2</v>
      </c>
      <c r="G3010" s="4">
        <v>44174</v>
      </c>
    </row>
    <row r="3011" spans="2:18" x14ac:dyDescent="0.2">
      <c r="G3011" s="4"/>
    </row>
    <row r="3012" spans="2:18" s="12" customFormat="1" x14ac:dyDescent="0.2">
      <c r="B3012" s="12" t="s">
        <v>4404</v>
      </c>
      <c r="C3012" s="13" t="s">
        <v>969</v>
      </c>
      <c r="D3012" s="13" t="s">
        <v>968</v>
      </c>
      <c r="E3012" s="15"/>
      <c r="F3012" s="15">
        <f>SUM(F3013:F3015)</f>
        <v>6.5</v>
      </c>
      <c r="G3012" s="14">
        <f>G3013</f>
        <v>44044</v>
      </c>
      <c r="M3012" s="13"/>
      <c r="N3012" s="13"/>
      <c r="O3012" s="13"/>
      <c r="P3012" s="13"/>
      <c r="Q3012" s="13"/>
      <c r="R3012" s="13"/>
    </row>
    <row r="3013" spans="2:18" x14ac:dyDescent="0.2">
      <c r="C3013" s="2" t="s">
        <v>5</v>
      </c>
      <c r="D3013" s="2" t="s">
        <v>2132</v>
      </c>
      <c r="E3013" s="3">
        <v>20</v>
      </c>
      <c r="F3013" s="3">
        <f>15/6</f>
        <v>2.5</v>
      </c>
      <c r="G3013" s="4">
        <v>44044</v>
      </c>
    </row>
    <row r="3014" spans="2:18" x14ac:dyDescent="0.2">
      <c r="C3014" s="2" t="s">
        <v>5</v>
      </c>
      <c r="D3014" s="2" t="s">
        <v>2132</v>
      </c>
      <c r="E3014" s="3">
        <v>20</v>
      </c>
      <c r="F3014" s="3">
        <f>12/4</f>
        <v>3</v>
      </c>
      <c r="G3014" s="4">
        <v>43647</v>
      </c>
    </row>
    <row r="3015" spans="2:18" x14ac:dyDescent="0.2">
      <c r="C3015" s="2" t="s">
        <v>4</v>
      </c>
      <c r="D3015" s="2" t="s">
        <v>2132</v>
      </c>
      <c r="E3015" s="3">
        <v>3</v>
      </c>
      <c r="F3015" s="3">
        <v>1</v>
      </c>
      <c r="G3015" s="4">
        <v>42979</v>
      </c>
    </row>
    <row r="3016" spans="2:18" x14ac:dyDescent="0.2">
      <c r="G3016" s="4"/>
    </row>
    <row r="3017" spans="2:18" s="12" customFormat="1" x14ac:dyDescent="0.2">
      <c r="B3017" s="12" t="s">
        <v>634</v>
      </c>
      <c r="C3017" s="13" t="s">
        <v>969</v>
      </c>
      <c r="D3017" s="13" t="s">
        <v>968</v>
      </c>
      <c r="E3017" s="15"/>
      <c r="F3017" s="15">
        <f>SUM(F3018:F3021)</f>
        <v>7</v>
      </c>
      <c r="G3017" s="14">
        <f>G3018</f>
        <v>44984</v>
      </c>
      <c r="M3017" s="13"/>
      <c r="N3017" s="13"/>
      <c r="O3017" s="13"/>
      <c r="P3017" s="13"/>
      <c r="Q3017" s="13"/>
      <c r="R3017" s="13"/>
    </row>
    <row r="3018" spans="2:18" x14ac:dyDescent="0.2">
      <c r="C3018" s="2" t="s">
        <v>5</v>
      </c>
      <c r="D3018" s="2" t="s">
        <v>632</v>
      </c>
      <c r="E3018" s="3">
        <v>10.5</v>
      </c>
      <c r="F3018" s="3">
        <v>4</v>
      </c>
      <c r="G3018" s="4">
        <v>44984</v>
      </c>
      <c r="M3018" s="1"/>
      <c r="N3018" s="1"/>
      <c r="O3018" s="1"/>
      <c r="P3018" s="1"/>
      <c r="Q3018" s="1"/>
      <c r="R3018" s="1"/>
    </row>
    <row r="3019" spans="2:18" x14ac:dyDescent="0.2">
      <c r="C3019" s="2" t="s">
        <v>4</v>
      </c>
      <c r="D3019" s="2" t="s">
        <v>632</v>
      </c>
      <c r="E3019" s="3">
        <v>3</v>
      </c>
      <c r="F3019" s="3">
        <v>1</v>
      </c>
      <c r="G3019" s="4">
        <v>44539</v>
      </c>
      <c r="M3019" s="1"/>
      <c r="N3019" s="1"/>
      <c r="O3019" s="1"/>
      <c r="P3019" s="1"/>
      <c r="Q3019" s="1"/>
      <c r="R3019" s="1"/>
    </row>
    <row r="3020" spans="2:18" x14ac:dyDescent="0.2">
      <c r="C3020" s="2" t="s">
        <v>4</v>
      </c>
      <c r="D3020" s="2" t="s">
        <v>632</v>
      </c>
      <c r="E3020" s="3">
        <v>2</v>
      </c>
      <c r="F3020" s="3">
        <v>1</v>
      </c>
      <c r="G3020" s="4">
        <v>44389</v>
      </c>
      <c r="M3020" s="1"/>
      <c r="N3020" s="1"/>
      <c r="O3020" s="1"/>
      <c r="P3020" s="1"/>
      <c r="Q3020" s="1"/>
      <c r="R3020" s="1"/>
    </row>
    <row r="3021" spans="2:18" x14ac:dyDescent="0.2">
      <c r="C3021" s="2" t="s">
        <v>5</v>
      </c>
      <c r="D3021" s="2" t="s">
        <v>541</v>
      </c>
      <c r="E3021" s="3">
        <v>5</v>
      </c>
      <c r="F3021" s="3">
        <v>1</v>
      </c>
      <c r="G3021" s="4">
        <v>44514</v>
      </c>
      <c r="M3021" s="1"/>
      <c r="N3021" s="1"/>
      <c r="O3021" s="1"/>
      <c r="P3021" s="1"/>
      <c r="Q3021" s="1"/>
      <c r="R3021" s="1"/>
    </row>
    <row r="3022" spans="2:18" x14ac:dyDescent="0.2">
      <c r="G3022" s="4"/>
      <c r="M3022" s="1"/>
      <c r="N3022" s="1"/>
      <c r="O3022" s="1"/>
      <c r="P3022" s="1"/>
      <c r="Q3022" s="1"/>
      <c r="R3022" s="1"/>
    </row>
    <row r="3023" spans="2:18" s="12" customFormat="1" x14ac:dyDescent="0.2">
      <c r="B3023" s="12" t="s">
        <v>900</v>
      </c>
      <c r="C3023" s="13" t="s">
        <v>969</v>
      </c>
      <c r="D3023" s="13" t="s">
        <v>968</v>
      </c>
      <c r="E3023" s="15"/>
      <c r="F3023" s="15">
        <f>SUM(F3024:F3025)</f>
        <v>7</v>
      </c>
      <c r="G3023" s="14">
        <f>G3024</f>
        <v>44417</v>
      </c>
      <c r="M3023" s="13"/>
      <c r="N3023" s="13"/>
      <c r="O3023" s="13"/>
      <c r="P3023" s="13"/>
      <c r="Q3023" s="13"/>
      <c r="R3023" s="13"/>
    </row>
    <row r="3024" spans="2:18" x14ac:dyDescent="0.2">
      <c r="C3024" s="2" t="s">
        <v>18</v>
      </c>
      <c r="D3024" s="2" t="s">
        <v>877</v>
      </c>
      <c r="E3024" s="3">
        <v>85</v>
      </c>
      <c r="F3024" s="3">
        <v>6</v>
      </c>
      <c r="G3024" s="4">
        <v>44417</v>
      </c>
    </row>
    <row r="3025" spans="2:18" x14ac:dyDescent="0.2">
      <c r="C3025" s="185" t="s">
        <v>5</v>
      </c>
      <c r="D3025" s="185" t="s">
        <v>2033</v>
      </c>
      <c r="E3025" s="3">
        <v>9.3000000000000007</v>
      </c>
      <c r="F3025" s="3">
        <v>1</v>
      </c>
      <c r="G3025" s="4">
        <v>44229</v>
      </c>
    </row>
    <row r="3026" spans="2:18" x14ac:dyDescent="0.2">
      <c r="G3026" s="4"/>
    </row>
    <row r="3027" spans="2:18" s="12" customFormat="1" x14ac:dyDescent="0.2">
      <c r="B3027" s="12" t="s">
        <v>698</v>
      </c>
      <c r="C3027" s="13" t="s">
        <v>969</v>
      </c>
      <c r="D3027" s="13" t="s">
        <v>968</v>
      </c>
      <c r="E3027" s="15"/>
      <c r="F3027" s="15">
        <f>SUM(F3028:F3029)</f>
        <v>7</v>
      </c>
      <c r="G3027" s="14">
        <f>G3028</f>
        <v>44875</v>
      </c>
      <c r="M3027" s="13"/>
      <c r="N3027" s="13"/>
      <c r="O3027" s="13"/>
      <c r="P3027" s="13"/>
      <c r="Q3027" s="13"/>
      <c r="R3027" s="13"/>
    </row>
    <row r="3028" spans="2:18" x14ac:dyDescent="0.2">
      <c r="C3028" s="2" t="s">
        <v>5</v>
      </c>
      <c r="D3028" s="2" t="s">
        <v>697</v>
      </c>
      <c r="E3028" s="3">
        <v>23.5</v>
      </c>
      <c r="F3028" s="3">
        <v>2</v>
      </c>
      <c r="G3028" s="4">
        <v>44875</v>
      </c>
    </row>
    <row r="3029" spans="2:18" x14ac:dyDescent="0.2">
      <c r="C3029" s="2" t="s">
        <v>4</v>
      </c>
      <c r="D3029" s="2" t="s">
        <v>688</v>
      </c>
      <c r="E3029" s="3">
        <v>5</v>
      </c>
      <c r="F3029" s="3">
        <v>5</v>
      </c>
      <c r="G3029" s="4">
        <v>44562</v>
      </c>
    </row>
    <row r="3030" spans="2:18" x14ac:dyDescent="0.2">
      <c r="G3030" s="4"/>
    </row>
    <row r="3031" spans="2:18" s="12" customFormat="1" x14ac:dyDescent="0.2">
      <c r="B3031" s="12" t="s">
        <v>287</v>
      </c>
      <c r="C3031" s="13" t="s">
        <v>969</v>
      </c>
      <c r="D3031" s="13" t="s">
        <v>968</v>
      </c>
      <c r="E3031" s="15"/>
      <c r="F3031" s="15">
        <f>SUM(F3032:F3033)</f>
        <v>7</v>
      </c>
      <c r="G3031" s="14">
        <f>G3032</f>
        <v>44309</v>
      </c>
      <c r="M3031" s="13"/>
      <c r="N3031" s="13"/>
      <c r="O3031" s="13"/>
      <c r="P3031" s="13"/>
      <c r="Q3031" s="13"/>
      <c r="R3031" s="13"/>
    </row>
    <row r="3032" spans="2:18" x14ac:dyDescent="0.2">
      <c r="B3032" s="12"/>
      <c r="C3032" s="2" t="s">
        <v>7</v>
      </c>
      <c r="D3032" s="2" t="s">
        <v>286</v>
      </c>
      <c r="E3032" s="3">
        <v>35</v>
      </c>
      <c r="F3032" s="3">
        <f>15/3</f>
        <v>5</v>
      </c>
      <c r="G3032" s="4">
        <v>44309</v>
      </c>
    </row>
    <row r="3033" spans="2:18" x14ac:dyDescent="0.2">
      <c r="C3033" s="93" t="s">
        <v>5</v>
      </c>
      <c r="D3033" s="93" t="s">
        <v>5426</v>
      </c>
      <c r="E3033" s="3">
        <v>18.100000000000001</v>
      </c>
      <c r="F3033" s="3">
        <v>2</v>
      </c>
      <c r="G3033" s="4">
        <v>42719</v>
      </c>
    </row>
    <row r="3034" spans="2:18" x14ac:dyDescent="0.2">
      <c r="G3034" s="4"/>
    </row>
    <row r="3035" spans="2:18" s="12" customFormat="1" x14ac:dyDescent="0.2">
      <c r="B3035" s="12" t="s">
        <v>92</v>
      </c>
      <c r="C3035" s="13" t="s">
        <v>969</v>
      </c>
      <c r="D3035" s="13" t="s">
        <v>968</v>
      </c>
      <c r="E3035" s="15"/>
      <c r="F3035" s="15">
        <f>SUM(F3036:F3037)</f>
        <v>6.5</v>
      </c>
      <c r="G3035" s="14">
        <f>G3036</f>
        <v>44642</v>
      </c>
      <c r="M3035" s="13"/>
      <c r="N3035" s="13"/>
      <c r="O3035" s="13"/>
      <c r="P3035" s="13"/>
      <c r="Q3035" s="13"/>
      <c r="R3035" s="13"/>
    </row>
    <row r="3036" spans="2:18" x14ac:dyDescent="0.2">
      <c r="C3036" s="2" t="s">
        <v>7</v>
      </c>
      <c r="D3036" s="2" t="s">
        <v>87</v>
      </c>
      <c r="E3036" s="3">
        <v>25</v>
      </c>
      <c r="F3036" s="3">
        <f>15/6</f>
        <v>2.5</v>
      </c>
      <c r="G3036" s="4">
        <v>44642</v>
      </c>
    </row>
    <row r="3037" spans="2:18" x14ac:dyDescent="0.2">
      <c r="C3037" s="2" t="s">
        <v>5</v>
      </c>
      <c r="D3037" s="2" t="s">
        <v>87</v>
      </c>
      <c r="E3037" s="3">
        <v>13.5</v>
      </c>
      <c r="F3037" s="3">
        <v>4</v>
      </c>
      <c r="G3037" s="4">
        <v>43978</v>
      </c>
    </row>
    <row r="3038" spans="2:18" x14ac:dyDescent="0.2">
      <c r="G3038" s="4"/>
    </row>
    <row r="3039" spans="2:18" s="12" customFormat="1" x14ac:dyDescent="0.2">
      <c r="B3039" s="12" t="s">
        <v>290</v>
      </c>
      <c r="C3039" s="13" t="s">
        <v>969</v>
      </c>
      <c r="D3039" s="13" t="s">
        <v>968</v>
      </c>
      <c r="E3039" s="15"/>
      <c r="F3039" s="15">
        <f>SUM(F3040:F3041)</f>
        <v>6.5</v>
      </c>
      <c r="G3039" s="14">
        <f>G3040</f>
        <v>44474</v>
      </c>
      <c r="M3039" s="13"/>
      <c r="N3039" s="13"/>
      <c r="O3039" s="13"/>
      <c r="P3039" s="13"/>
      <c r="Q3039" s="13"/>
      <c r="R3039" s="13"/>
    </row>
    <row r="3040" spans="2:18" x14ac:dyDescent="0.2">
      <c r="C3040" s="2" t="s">
        <v>5</v>
      </c>
      <c r="D3040" s="2" t="s">
        <v>289</v>
      </c>
      <c r="E3040" s="3">
        <v>30</v>
      </c>
      <c r="F3040" s="3">
        <f>20/5</f>
        <v>4</v>
      </c>
      <c r="G3040" s="4">
        <v>44474</v>
      </c>
    </row>
    <row r="3041" spans="2:18" x14ac:dyDescent="0.2">
      <c r="C3041" s="2" t="s">
        <v>4</v>
      </c>
      <c r="D3041" s="2" t="s">
        <v>289</v>
      </c>
      <c r="E3041" s="3">
        <v>15</v>
      </c>
      <c r="F3041" s="3">
        <f>10/4</f>
        <v>2.5</v>
      </c>
      <c r="G3041" s="4">
        <v>43775</v>
      </c>
    </row>
    <row r="3042" spans="2:18" x14ac:dyDescent="0.2">
      <c r="G3042" s="4"/>
    </row>
    <row r="3043" spans="2:18" s="12" customFormat="1" x14ac:dyDescent="0.2">
      <c r="B3043" s="12" t="s">
        <v>687</v>
      </c>
      <c r="C3043" s="13" t="s">
        <v>969</v>
      </c>
      <c r="D3043" s="13" t="s">
        <v>968</v>
      </c>
      <c r="E3043" s="15"/>
      <c r="F3043" s="15">
        <f>SUM(F3044:F3045)</f>
        <v>7</v>
      </c>
      <c r="G3043" s="14">
        <f>G3044</f>
        <v>44601</v>
      </c>
      <c r="M3043" s="13"/>
      <c r="N3043" s="13"/>
      <c r="O3043" s="13"/>
      <c r="P3043" s="13"/>
      <c r="Q3043" s="13"/>
      <c r="R3043" s="13"/>
    </row>
    <row r="3044" spans="2:18" x14ac:dyDescent="0.2">
      <c r="C3044" s="2" t="s">
        <v>4</v>
      </c>
      <c r="D3044" s="2" t="s">
        <v>686</v>
      </c>
      <c r="E3044" s="3">
        <v>30</v>
      </c>
      <c r="F3044" s="3">
        <v>5</v>
      </c>
      <c r="G3044" s="4">
        <v>44601</v>
      </c>
    </row>
    <row r="3045" spans="2:18" x14ac:dyDescent="0.2">
      <c r="C3045" s="2" t="s">
        <v>4</v>
      </c>
      <c r="D3045" s="2" t="s">
        <v>654</v>
      </c>
      <c r="E3045" s="3">
        <v>12.8</v>
      </c>
      <c r="F3045" s="3">
        <v>2</v>
      </c>
      <c r="G3045" s="4">
        <v>44601</v>
      </c>
    </row>
    <row r="3046" spans="2:18" x14ac:dyDescent="0.2">
      <c r="G3046" s="4"/>
    </row>
    <row r="3047" spans="2:18" s="12" customFormat="1" x14ac:dyDescent="0.2">
      <c r="B3047" s="12" t="s">
        <v>467</v>
      </c>
      <c r="C3047" s="13" t="s">
        <v>969</v>
      </c>
      <c r="D3047" s="13" t="s">
        <v>968</v>
      </c>
      <c r="E3047" s="15"/>
      <c r="F3047" s="15">
        <f>SUM(F3048:F3049)</f>
        <v>5.5</v>
      </c>
      <c r="G3047" s="14">
        <f>G3048</f>
        <v>44727</v>
      </c>
    </row>
    <row r="3048" spans="2:18" x14ac:dyDescent="0.2">
      <c r="C3048" s="2" t="s">
        <v>5</v>
      </c>
      <c r="D3048" s="2" t="s">
        <v>465</v>
      </c>
      <c r="E3048" s="3">
        <v>15.5</v>
      </c>
      <c r="F3048" s="3">
        <v>3</v>
      </c>
      <c r="G3048" s="4">
        <v>44727</v>
      </c>
      <c r="M3048" s="1"/>
      <c r="N3048" s="1"/>
      <c r="O3048" s="1"/>
      <c r="P3048" s="1"/>
      <c r="Q3048" s="1"/>
      <c r="R3048" s="1"/>
    </row>
    <row r="3049" spans="2:18" x14ac:dyDescent="0.2">
      <c r="C3049" s="2" t="s">
        <v>7</v>
      </c>
      <c r="D3049" s="2" t="s">
        <v>87</v>
      </c>
      <c r="E3049" s="3">
        <v>25</v>
      </c>
      <c r="F3049" s="3">
        <f>15/6</f>
        <v>2.5</v>
      </c>
      <c r="G3049" s="4">
        <v>44642</v>
      </c>
      <c r="M3049" s="1"/>
      <c r="N3049" s="1"/>
      <c r="O3049" s="1"/>
      <c r="P3049" s="1"/>
      <c r="Q3049" s="1"/>
      <c r="R3049" s="1"/>
    </row>
    <row r="3050" spans="2:18" x14ac:dyDescent="0.2">
      <c r="G3050" s="4"/>
      <c r="M3050" s="1"/>
      <c r="N3050" s="1"/>
      <c r="O3050" s="1"/>
      <c r="P3050" s="1"/>
      <c r="Q3050" s="1"/>
      <c r="R3050" s="1"/>
    </row>
    <row r="3051" spans="2:18" s="12" customFormat="1" x14ac:dyDescent="0.2">
      <c r="B3051" s="12" t="s">
        <v>294</v>
      </c>
      <c r="C3051" s="13" t="s">
        <v>969</v>
      </c>
      <c r="D3051" s="13" t="s">
        <v>968</v>
      </c>
      <c r="E3051" s="15"/>
      <c r="F3051" s="15">
        <f>SUM(F3052:F3054)</f>
        <v>5.7133333333333338</v>
      </c>
      <c r="G3051" s="14">
        <f>G3052</f>
        <v>43104</v>
      </c>
      <c r="M3051" s="13"/>
      <c r="N3051" s="13"/>
      <c r="O3051" s="13"/>
      <c r="P3051" s="13"/>
      <c r="Q3051" s="13"/>
      <c r="R3051" s="13"/>
    </row>
    <row r="3052" spans="2:18" x14ac:dyDescent="0.2">
      <c r="C3052" s="2" t="s">
        <v>18</v>
      </c>
      <c r="D3052" s="2" t="s">
        <v>292</v>
      </c>
      <c r="E3052" s="3">
        <v>38</v>
      </c>
      <c r="F3052" s="3">
        <f>20/6</f>
        <v>3.3333333333333335</v>
      </c>
      <c r="G3052" s="4">
        <v>43104</v>
      </c>
    </row>
    <row r="3053" spans="2:18" x14ac:dyDescent="0.2">
      <c r="C3053" s="2" t="s">
        <v>7</v>
      </c>
      <c r="D3053" s="2" t="s">
        <v>292</v>
      </c>
      <c r="E3053" s="3">
        <v>6.9</v>
      </c>
      <c r="F3053" s="3">
        <f>E3053/5</f>
        <v>1.3800000000000001</v>
      </c>
      <c r="G3053" s="4">
        <v>42458</v>
      </c>
    </row>
    <row r="3054" spans="2:18" x14ac:dyDescent="0.2">
      <c r="C3054" s="2" t="s">
        <v>5</v>
      </c>
      <c r="D3054" s="2" t="s">
        <v>292</v>
      </c>
      <c r="E3054" s="3">
        <v>2.7</v>
      </c>
      <c r="F3054" s="3">
        <v>1</v>
      </c>
      <c r="G3054" s="4">
        <v>42139</v>
      </c>
    </row>
    <row r="3055" spans="2:18" x14ac:dyDescent="0.2">
      <c r="G3055" s="4"/>
    </row>
    <row r="3056" spans="2:18" x14ac:dyDescent="0.2">
      <c r="B3056" s="12" t="s">
        <v>971</v>
      </c>
      <c r="C3056" s="13" t="s">
        <v>969</v>
      </c>
      <c r="D3056" s="13" t="s">
        <v>968</v>
      </c>
      <c r="F3056" s="15">
        <f>SUM(F3057:F3060)</f>
        <v>6.166666666666667</v>
      </c>
      <c r="G3056" s="14">
        <f>G3058</f>
        <v>45062</v>
      </c>
    </row>
    <row r="3057" spans="2:18" x14ac:dyDescent="0.2">
      <c r="C3057" s="2" t="s">
        <v>5</v>
      </c>
      <c r="D3057" s="2" t="s">
        <v>796</v>
      </c>
      <c r="E3057" s="3">
        <v>17.5</v>
      </c>
      <c r="F3057" s="3">
        <v>1</v>
      </c>
      <c r="G3057" s="4">
        <v>44614</v>
      </c>
    </row>
    <row r="3058" spans="2:18" x14ac:dyDescent="0.2">
      <c r="C3058" s="2" t="s">
        <v>4</v>
      </c>
      <c r="D3058" s="2" t="s">
        <v>807</v>
      </c>
      <c r="E3058" s="3">
        <v>5</v>
      </c>
      <c r="F3058" s="3">
        <f>5/3</f>
        <v>1.6666666666666667</v>
      </c>
      <c r="G3058" s="4">
        <v>45062</v>
      </c>
    </row>
    <row r="3059" spans="2:18" x14ac:dyDescent="0.2">
      <c r="C3059" s="2" t="s">
        <v>4</v>
      </c>
      <c r="D3059" s="2" t="s">
        <v>565</v>
      </c>
      <c r="E3059" s="3">
        <v>9</v>
      </c>
      <c r="F3059" s="3">
        <v>0.5</v>
      </c>
      <c r="G3059" s="4">
        <v>44859</v>
      </c>
    </row>
    <row r="3060" spans="2:18" x14ac:dyDescent="0.2">
      <c r="C3060" s="185" t="s">
        <v>5</v>
      </c>
      <c r="D3060" s="185" t="s">
        <v>6708</v>
      </c>
      <c r="E3060" s="3">
        <v>21</v>
      </c>
      <c r="F3060" s="3">
        <v>3</v>
      </c>
      <c r="G3060" s="4">
        <v>44515</v>
      </c>
    </row>
    <row r="3061" spans="2:18" x14ac:dyDescent="0.2">
      <c r="G3061" s="4"/>
    </row>
    <row r="3062" spans="2:18" s="12" customFormat="1" x14ac:dyDescent="0.2">
      <c r="B3062" s="12" t="s">
        <v>404</v>
      </c>
      <c r="C3062" s="13" t="s">
        <v>969</v>
      </c>
      <c r="D3062" s="13" t="s">
        <v>968</v>
      </c>
      <c r="E3062" s="15"/>
      <c r="F3062" s="15">
        <f>SUM(F3063:F3064)</f>
        <v>6</v>
      </c>
      <c r="G3062" s="14">
        <f>G3063</f>
        <v>44538</v>
      </c>
    </row>
    <row r="3063" spans="2:18" x14ac:dyDescent="0.2">
      <c r="C3063" s="2" t="s">
        <v>7</v>
      </c>
      <c r="D3063" s="2" t="s">
        <v>403</v>
      </c>
      <c r="E3063" s="3">
        <v>50</v>
      </c>
      <c r="F3063" s="3">
        <f>30/6</f>
        <v>5</v>
      </c>
      <c r="G3063" s="4">
        <v>44538</v>
      </c>
      <c r="M3063" s="1"/>
      <c r="N3063" s="1"/>
      <c r="O3063" s="1"/>
      <c r="P3063" s="1"/>
      <c r="Q3063" s="1"/>
      <c r="R3063" s="1"/>
    </row>
    <row r="3064" spans="2:18" x14ac:dyDescent="0.2">
      <c r="C3064" s="2" t="s">
        <v>4</v>
      </c>
      <c r="D3064" s="2" t="s">
        <v>403</v>
      </c>
      <c r="E3064" s="3">
        <v>3.1</v>
      </c>
      <c r="F3064" s="3">
        <v>1</v>
      </c>
      <c r="G3064" s="4">
        <v>43580</v>
      </c>
      <c r="M3064" s="1"/>
      <c r="N3064" s="1"/>
      <c r="O3064" s="1"/>
      <c r="P3064" s="1"/>
      <c r="Q3064" s="1"/>
      <c r="R3064" s="1"/>
    </row>
    <row r="3065" spans="2:18" x14ac:dyDescent="0.2">
      <c r="G3065" s="4"/>
      <c r="M3065" s="1"/>
      <c r="N3065" s="1"/>
      <c r="O3065" s="1"/>
      <c r="P3065" s="1"/>
      <c r="Q3065" s="1"/>
      <c r="R3065" s="1"/>
    </row>
    <row r="3066" spans="2:18" s="12" customFormat="1" x14ac:dyDescent="0.2">
      <c r="B3066" s="12" t="s">
        <v>6583</v>
      </c>
      <c r="C3066" s="13" t="s">
        <v>969</v>
      </c>
      <c r="D3066" s="13" t="s">
        <v>968</v>
      </c>
      <c r="E3066" s="15"/>
      <c r="F3066" s="15">
        <f>SUM(F3067:F3068)</f>
        <v>6</v>
      </c>
      <c r="G3066" s="14">
        <f>G3067</f>
        <v>44572</v>
      </c>
      <c r="M3066" s="13"/>
      <c r="N3066" s="13"/>
      <c r="O3066" s="13"/>
      <c r="P3066" s="13"/>
      <c r="Q3066" s="13"/>
      <c r="R3066" s="13"/>
    </row>
    <row r="3067" spans="2:18" x14ac:dyDescent="0.2">
      <c r="B3067" s="12"/>
      <c r="C3067" s="161" t="s">
        <v>7</v>
      </c>
      <c r="D3067" s="161" t="s">
        <v>2037</v>
      </c>
      <c r="E3067" s="3">
        <v>25</v>
      </c>
      <c r="F3067" s="3">
        <v>5</v>
      </c>
      <c r="G3067" s="4">
        <v>44572</v>
      </c>
    </row>
    <row r="3068" spans="2:18" x14ac:dyDescent="0.2">
      <c r="C3068" s="161" t="s">
        <v>5</v>
      </c>
      <c r="D3068" s="161" t="s">
        <v>2037</v>
      </c>
      <c r="E3068" s="3">
        <v>5</v>
      </c>
      <c r="F3068" s="3">
        <v>1</v>
      </c>
      <c r="G3068" s="4">
        <v>43888</v>
      </c>
    </row>
    <row r="3069" spans="2:18" x14ac:dyDescent="0.2">
      <c r="C3069" s="161"/>
      <c r="D3069" s="161"/>
      <c r="G3069" s="4"/>
    </row>
    <row r="3070" spans="2:18" s="12" customFormat="1" x14ac:dyDescent="0.2">
      <c r="B3070" s="12" t="s">
        <v>556</v>
      </c>
      <c r="C3070" s="13" t="s">
        <v>969</v>
      </c>
      <c r="D3070" s="13" t="s">
        <v>968</v>
      </c>
      <c r="E3070" s="15"/>
      <c r="F3070" s="15">
        <f>SUM(F3071:F3074)</f>
        <v>5.5714285714285712</v>
      </c>
      <c r="G3070" s="14">
        <f>G3071</f>
        <v>45077</v>
      </c>
    </row>
    <row r="3071" spans="2:18" x14ac:dyDescent="0.2">
      <c r="C3071" s="2" t="s">
        <v>7</v>
      </c>
      <c r="D3071" s="2" t="s">
        <v>548</v>
      </c>
      <c r="E3071" s="3">
        <v>20</v>
      </c>
      <c r="F3071" s="3">
        <f>12/6</f>
        <v>2</v>
      </c>
      <c r="G3071" s="4">
        <v>45077</v>
      </c>
      <c r="M3071" s="1"/>
      <c r="N3071" s="1"/>
      <c r="O3071" s="1"/>
      <c r="P3071" s="1"/>
      <c r="Q3071" s="1"/>
      <c r="R3071" s="1"/>
    </row>
    <row r="3072" spans="2:18" x14ac:dyDescent="0.2">
      <c r="C3072" s="2" t="s">
        <v>5</v>
      </c>
      <c r="D3072" s="2" t="s">
        <v>548</v>
      </c>
      <c r="E3072" s="3">
        <v>10.5</v>
      </c>
      <c r="F3072" s="3">
        <f>5/5</f>
        <v>1</v>
      </c>
      <c r="G3072" s="4">
        <v>44341</v>
      </c>
      <c r="M3072" s="1"/>
      <c r="N3072" s="1"/>
      <c r="O3072" s="1"/>
      <c r="P3072" s="1"/>
      <c r="Q3072" s="1"/>
      <c r="R3072" s="1"/>
    </row>
    <row r="3073" spans="2:18" x14ac:dyDescent="0.2">
      <c r="C3073" s="2" t="s">
        <v>5</v>
      </c>
      <c r="D3073" s="2" t="s">
        <v>87</v>
      </c>
      <c r="E3073" s="3">
        <v>14</v>
      </c>
      <c r="F3073" s="3">
        <v>2</v>
      </c>
      <c r="G3073" s="4">
        <v>43978</v>
      </c>
      <c r="M3073" s="1"/>
      <c r="N3073" s="1"/>
      <c r="O3073" s="1"/>
      <c r="P3073" s="1"/>
      <c r="Q3073" s="1"/>
      <c r="R3073" s="1"/>
    </row>
    <row r="3074" spans="2:18" x14ac:dyDescent="0.2">
      <c r="C3074" s="2" t="s">
        <v>4</v>
      </c>
      <c r="D3074" s="2" t="s">
        <v>87</v>
      </c>
      <c r="E3074" s="3">
        <v>5.3</v>
      </c>
      <c r="F3074" s="3">
        <f>4/7</f>
        <v>0.5714285714285714</v>
      </c>
      <c r="G3074" s="4">
        <v>43398</v>
      </c>
      <c r="M3074" s="1"/>
      <c r="N3074" s="1"/>
      <c r="O3074" s="1"/>
      <c r="P3074" s="1"/>
      <c r="Q3074" s="1"/>
      <c r="R3074" s="1"/>
    </row>
    <row r="3075" spans="2:18" x14ac:dyDescent="0.2">
      <c r="G3075" s="4"/>
      <c r="M3075" s="1"/>
      <c r="N3075" s="1"/>
      <c r="O3075" s="1"/>
      <c r="P3075" s="1"/>
      <c r="Q3075" s="1"/>
      <c r="R3075" s="1"/>
    </row>
    <row r="3076" spans="2:18" s="12" customFormat="1" x14ac:dyDescent="0.2">
      <c r="B3076" s="12" t="s">
        <v>988</v>
      </c>
      <c r="C3076" s="13" t="s">
        <v>969</v>
      </c>
      <c r="D3076" s="13" t="s">
        <v>968</v>
      </c>
      <c r="E3076" s="15"/>
      <c r="F3076" s="15">
        <f>SUM(F3077:F3078)</f>
        <v>6.1428571428571423</v>
      </c>
      <c r="G3076" s="14">
        <f>G3077</f>
        <v>44691</v>
      </c>
      <c r="M3076" s="13"/>
      <c r="N3076" s="13"/>
      <c r="O3076" s="13"/>
      <c r="P3076" s="13"/>
      <c r="Q3076" s="13"/>
      <c r="R3076" s="13"/>
    </row>
    <row r="3077" spans="2:18" x14ac:dyDescent="0.2">
      <c r="C3077" s="2" t="s">
        <v>4</v>
      </c>
      <c r="D3077" s="2" t="s">
        <v>678</v>
      </c>
      <c r="E3077" s="3">
        <v>15</v>
      </c>
      <c r="F3077" s="3">
        <f>15/7</f>
        <v>2.1428571428571428</v>
      </c>
      <c r="G3077" s="4">
        <v>44691</v>
      </c>
    </row>
    <row r="3078" spans="2:18" x14ac:dyDescent="0.2">
      <c r="C3078" s="2" t="s">
        <v>7</v>
      </c>
      <c r="D3078" s="2" t="s">
        <v>310</v>
      </c>
      <c r="E3078" s="3">
        <v>40</v>
      </c>
      <c r="F3078" s="3">
        <v>4</v>
      </c>
      <c r="G3078" s="4">
        <v>43419</v>
      </c>
    </row>
    <row r="3079" spans="2:18" x14ac:dyDescent="0.2">
      <c r="G3079" s="4"/>
    </row>
    <row r="3080" spans="2:18" s="12" customFormat="1" x14ac:dyDescent="0.2">
      <c r="B3080" s="12" t="s">
        <v>987</v>
      </c>
      <c r="C3080" s="13" t="s">
        <v>969</v>
      </c>
      <c r="D3080" s="13" t="s">
        <v>968</v>
      </c>
      <c r="E3080" s="15"/>
      <c r="F3080" s="15">
        <f>SUM(F3081:F3082)</f>
        <v>5.75</v>
      </c>
      <c r="G3080" s="14">
        <f>G3081</f>
        <v>44615</v>
      </c>
      <c r="M3080" s="13"/>
      <c r="N3080" s="13"/>
      <c r="O3080" s="13"/>
      <c r="P3080" s="13"/>
      <c r="Q3080" s="13"/>
      <c r="R3080" s="13"/>
    </row>
    <row r="3081" spans="2:18" x14ac:dyDescent="0.2">
      <c r="C3081" s="2" t="s">
        <v>5</v>
      </c>
      <c r="D3081" s="2" t="s">
        <v>986</v>
      </c>
      <c r="E3081" s="3">
        <v>25</v>
      </c>
      <c r="F3081" s="3">
        <f>15/4</f>
        <v>3.75</v>
      </c>
      <c r="G3081" s="4">
        <v>44615</v>
      </c>
    </row>
    <row r="3082" spans="2:18" x14ac:dyDescent="0.2">
      <c r="C3082" s="2" t="s">
        <v>4</v>
      </c>
      <c r="D3082" s="2" t="s">
        <v>986</v>
      </c>
      <c r="E3082" s="3">
        <v>5</v>
      </c>
      <c r="F3082" s="3">
        <v>2</v>
      </c>
      <c r="G3082" s="4">
        <v>44292</v>
      </c>
    </row>
    <row r="3083" spans="2:18" x14ac:dyDescent="0.2">
      <c r="G3083" s="4"/>
    </row>
    <row r="3084" spans="2:18" s="12" customFormat="1" x14ac:dyDescent="0.2">
      <c r="B3084" s="12" t="s">
        <v>983</v>
      </c>
      <c r="C3084" s="13" t="s">
        <v>969</v>
      </c>
      <c r="D3084" s="13" t="s">
        <v>968</v>
      </c>
      <c r="E3084" s="15"/>
      <c r="F3084" s="15">
        <f>SUM(F3085:F3087)</f>
        <v>6</v>
      </c>
      <c r="G3084" s="14">
        <f>G3085</f>
        <v>44636</v>
      </c>
      <c r="M3084" s="13"/>
      <c r="N3084" s="13"/>
      <c r="O3084" s="13"/>
      <c r="P3084" s="13"/>
      <c r="Q3084" s="13"/>
      <c r="R3084" s="13"/>
    </row>
    <row r="3085" spans="2:18" x14ac:dyDescent="0.2">
      <c r="C3085" s="2" t="s">
        <v>7</v>
      </c>
      <c r="D3085" s="2" t="s">
        <v>860</v>
      </c>
      <c r="E3085" s="3">
        <v>25</v>
      </c>
      <c r="F3085" s="3">
        <v>3</v>
      </c>
      <c r="G3085" s="4">
        <v>44636</v>
      </c>
    </row>
    <row r="3086" spans="2:18" x14ac:dyDescent="0.2">
      <c r="C3086" s="2" t="s">
        <v>5</v>
      </c>
      <c r="D3086" s="2" t="s">
        <v>860</v>
      </c>
      <c r="E3086" s="3">
        <v>12</v>
      </c>
      <c r="F3086" s="3">
        <v>2</v>
      </c>
      <c r="G3086" s="4">
        <v>44179</v>
      </c>
    </row>
    <row r="3087" spans="2:18" x14ac:dyDescent="0.2">
      <c r="C3087" s="2" t="s">
        <v>4</v>
      </c>
      <c r="D3087" s="2" t="s">
        <v>860</v>
      </c>
      <c r="E3087" s="3">
        <v>5.0999999999999996</v>
      </c>
      <c r="F3087" s="3">
        <v>1</v>
      </c>
      <c r="G3087" s="4">
        <v>44046</v>
      </c>
    </row>
    <row r="3088" spans="2:18" x14ac:dyDescent="0.2">
      <c r="G3088" s="4"/>
    </row>
    <row r="3089" spans="2:18" s="12" customFormat="1" x14ac:dyDescent="0.2">
      <c r="B3089" s="12" t="s">
        <v>629</v>
      </c>
      <c r="C3089" s="13" t="s">
        <v>969</v>
      </c>
      <c r="D3089" s="13" t="s">
        <v>968</v>
      </c>
      <c r="E3089" s="15"/>
      <c r="F3089" s="15">
        <f>SUM(F3090:F3092)</f>
        <v>6.2</v>
      </c>
      <c r="G3089" s="14">
        <f>G3090</f>
        <v>44825</v>
      </c>
    </row>
    <row r="3090" spans="2:18" x14ac:dyDescent="0.2">
      <c r="C3090" s="2" t="s">
        <v>5</v>
      </c>
      <c r="D3090" s="2" t="s">
        <v>71</v>
      </c>
      <c r="E3090" s="3">
        <v>10</v>
      </c>
      <c r="F3090" s="3">
        <v>4</v>
      </c>
      <c r="G3090" s="4">
        <v>44825</v>
      </c>
      <c r="M3090" s="1"/>
      <c r="N3090" s="1"/>
      <c r="O3090" s="1"/>
      <c r="P3090" s="1"/>
      <c r="Q3090" s="1"/>
      <c r="R3090" s="1"/>
    </row>
    <row r="3091" spans="2:18" x14ac:dyDescent="0.2">
      <c r="C3091" s="2" t="s">
        <v>4</v>
      </c>
      <c r="D3091" s="2" t="s">
        <v>71</v>
      </c>
      <c r="E3091" s="3">
        <v>1.5</v>
      </c>
      <c r="F3091" s="3">
        <v>1.5</v>
      </c>
      <c r="G3091" s="4">
        <v>44406</v>
      </c>
      <c r="M3091" s="1"/>
      <c r="N3091" s="1"/>
      <c r="O3091" s="1"/>
      <c r="P3091" s="1"/>
      <c r="Q3091" s="1"/>
      <c r="R3091" s="1"/>
    </row>
    <row r="3092" spans="2:18" x14ac:dyDescent="0.2">
      <c r="C3092" s="2" t="s">
        <v>4</v>
      </c>
      <c r="D3092" s="2" t="s">
        <v>144</v>
      </c>
      <c r="E3092" s="3">
        <v>0.7</v>
      </c>
      <c r="F3092" s="3">
        <v>0.7</v>
      </c>
      <c r="G3092" s="4">
        <v>42553</v>
      </c>
      <c r="M3092" s="1"/>
      <c r="N3092" s="1"/>
      <c r="O3092" s="1"/>
      <c r="P3092" s="1"/>
      <c r="Q3092" s="1"/>
      <c r="R3092" s="1"/>
    </row>
    <row r="3093" spans="2:18" x14ac:dyDescent="0.2">
      <c r="G3093" s="4"/>
      <c r="M3093" s="1"/>
      <c r="N3093" s="1"/>
      <c r="O3093" s="1"/>
      <c r="P3093" s="1"/>
      <c r="Q3093" s="1"/>
      <c r="R3093" s="1"/>
    </row>
    <row r="3094" spans="2:18" s="12" customFormat="1" x14ac:dyDescent="0.2">
      <c r="B3094" s="12" t="s">
        <v>702</v>
      </c>
      <c r="C3094" s="13" t="s">
        <v>969</v>
      </c>
      <c r="D3094" s="13" t="s">
        <v>968</v>
      </c>
      <c r="E3094" s="15"/>
      <c r="F3094" s="15">
        <f>SUM(F3095:F3097)</f>
        <v>6.1</v>
      </c>
      <c r="G3094" s="14">
        <f>G3096</f>
        <v>44952</v>
      </c>
      <c r="M3094" s="13"/>
      <c r="N3094" s="13"/>
      <c r="O3094" s="13"/>
      <c r="P3094" s="13"/>
      <c r="Q3094" s="13"/>
      <c r="R3094" s="13"/>
    </row>
    <row r="3095" spans="2:18" x14ac:dyDescent="0.2">
      <c r="C3095" s="2" t="s">
        <v>5</v>
      </c>
      <c r="D3095" s="2" t="s">
        <v>701</v>
      </c>
      <c r="E3095" s="3">
        <v>50</v>
      </c>
      <c r="F3095" s="3">
        <f>30/12</f>
        <v>2.5</v>
      </c>
      <c r="G3095" s="4">
        <v>44796</v>
      </c>
    </row>
    <row r="3096" spans="2:18" x14ac:dyDescent="0.2">
      <c r="C3096" s="2" t="s">
        <v>5</v>
      </c>
      <c r="D3096" s="2" t="s">
        <v>666</v>
      </c>
      <c r="E3096" s="3">
        <v>12.7</v>
      </c>
      <c r="F3096" s="3">
        <f>8/5</f>
        <v>1.6</v>
      </c>
      <c r="G3096" s="4">
        <v>44952</v>
      </c>
    </row>
    <row r="3097" spans="2:18" x14ac:dyDescent="0.2">
      <c r="C3097" s="2" t="s">
        <v>4</v>
      </c>
      <c r="D3097" s="2" t="s">
        <v>122</v>
      </c>
      <c r="E3097" s="3">
        <v>4.5</v>
      </c>
      <c r="F3097" s="3">
        <v>2</v>
      </c>
      <c r="G3097" s="4">
        <v>44434</v>
      </c>
    </row>
    <row r="3098" spans="2:18" x14ac:dyDescent="0.2">
      <c r="G3098" s="4"/>
    </row>
    <row r="3099" spans="2:18" s="12" customFormat="1" x14ac:dyDescent="0.2">
      <c r="B3099" s="12" t="s">
        <v>458</v>
      </c>
      <c r="C3099" s="13" t="s">
        <v>969</v>
      </c>
      <c r="D3099" s="13" t="s">
        <v>968</v>
      </c>
      <c r="E3099" s="15"/>
      <c r="F3099" s="15">
        <f>SUM(F3100:F3101)</f>
        <v>6</v>
      </c>
      <c r="G3099" s="14">
        <f>G3100</f>
        <v>44600</v>
      </c>
    </row>
    <row r="3100" spans="2:18" x14ac:dyDescent="0.2">
      <c r="C3100" s="2" t="s">
        <v>7</v>
      </c>
      <c r="D3100" s="2" t="s">
        <v>456</v>
      </c>
      <c r="E3100" s="3">
        <v>26.8</v>
      </c>
      <c r="F3100" s="3">
        <v>4</v>
      </c>
      <c r="G3100" s="4">
        <v>44600</v>
      </c>
      <c r="M3100" s="1"/>
      <c r="N3100" s="1"/>
      <c r="O3100" s="1"/>
      <c r="P3100" s="1"/>
      <c r="Q3100" s="1"/>
      <c r="R3100" s="1"/>
    </row>
    <row r="3101" spans="2:18" x14ac:dyDescent="0.2">
      <c r="C3101" s="2" t="s">
        <v>5</v>
      </c>
      <c r="D3101" s="2" t="s">
        <v>456</v>
      </c>
      <c r="E3101" s="3">
        <v>8.3000000000000007</v>
      </c>
      <c r="F3101" s="3">
        <v>2</v>
      </c>
      <c r="G3101" s="4">
        <v>44053</v>
      </c>
      <c r="M3101" s="1"/>
      <c r="N3101" s="1"/>
      <c r="O3101" s="1"/>
      <c r="P3101" s="1"/>
      <c r="Q3101" s="1"/>
      <c r="R3101" s="1"/>
    </row>
    <row r="3102" spans="2:18" x14ac:dyDescent="0.2">
      <c r="G3102" s="4"/>
      <c r="M3102" s="1"/>
      <c r="N3102" s="1"/>
      <c r="O3102" s="1"/>
      <c r="P3102" s="1"/>
      <c r="Q3102" s="1"/>
      <c r="R3102" s="1"/>
    </row>
    <row r="3103" spans="2:18" s="12" customFormat="1" x14ac:dyDescent="0.2">
      <c r="B3103" s="12" t="s">
        <v>17</v>
      </c>
      <c r="C3103" s="13" t="s">
        <v>969</v>
      </c>
      <c r="D3103" s="13" t="s">
        <v>968</v>
      </c>
      <c r="E3103" s="15"/>
      <c r="F3103" s="15">
        <f>SUM(F3104:F3106)</f>
        <v>6.4</v>
      </c>
      <c r="G3103" s="14">
        <f>G3104</f>
        <v>43031</v>
      </c>
      <c r="M3103" s="13"/>
      <c r="N3103" s="13"/>
      <c r="O3103" s="13"/>
      <c r="P3103" s="13"/>
      <c r="Q3103" s="13"/>
      <c r="R3103" s="13"/>
    </row>
    <row r="3104" spans="2:18" x14ac:dyDescent="0.2">
      <c r="C3104" s="2" t="s">
        <v>7</v>
      </c>
      <c r="D3104" s="2" t="s">
        <v>15</v>
      </c>
      <c r="E3104" s="3">
        <v>28</v>
      </c>
      <c r="F3104" s="3">
        <v>4</v>
      </c>
      <c r="G3104" s="4">
        <v>43031</v>
      </c>
    </row>
    <row r="3105" spans="2:18" x14ac:dyDescent="0.2">
      <c r="C3105" s="2" t="s">
        <v>5</v>
      </c>
      <c r="D3105" s="2" t="s">
        <v>15</v>
      </c>
      <c r="E3105" s="3">
        <v>10</v>
      </c>
      <c r="F3105" s="3">
        <v>2</v>
      </c>
      <c r="G3105" s="4">
        <v>42508</v>
      </c>
    </row>
    <row r="3106" spans="2:18" x14ac:dyDescent="0.2">
      <c r="C3106" s="2" t="s">
        <v>4</v>
      </c>
      <c r="D3106" s="2" t="s">
        <v>15</v>
      </c>
      <c r="E3106" s="3">
        <v>1.8</v>
      </c>
      <c r="F3106" s="3">
        <v>0.4</v>
      </c>
      <c r="G3106" s="4">
        <v>41976</v>
      </c>
    </row>
    <row r="3107" spans="2:18" x14ac:dyDescent="0.2">
      <c r="G3107" s="4"/>
    </row>
    <row r="3108" spans="2:18" s="12" customFormat="1" x14ac:dyDescent="0.2">
      <c r="B3108" s="12" t="s">
        <v>737</v>
      </c>
      <c r="C3108" s="13" t="s">
        <v>969</v>
      </c>
      <c r="D3108" s="13" t="s">
        <v>968</v>
      </c>
      <c r="E3108" s="15"/>
      <c r="F3108" s="15">
        <f>SUM(F3109:F3110)</f>
        <v>5.8</v>
      </c>
      <c r="G3108" s="14">
        <f>G3109</f>
        <v>44755</v>
      </c>
    </row>
    <row r="3109" spans="2:18" x14ac:dyDescent="0.2">
      <c r="C3109" s="2" t="s">
        <v>7</v>
      </c>
      <c r="D3109" s="2" t="s">
        <v>735</v>
      </c>
      <c r="E3109" s="3">
        <v>25</v>
      </c>
      <c r="F3109" s="3">
        <f>15/5</f>
        <v>3</v>
      </c>
      <c r="G3109" s="4">
        <v>44755</v>
      </c>
    </row>
    <row r="3110" spans="2:18" x14ac:dyDescent="0.2">
      <c r="C3110" s="2" t="s">
        <v>5</v>
      </c>
      <c r="D3110" s="2" t="s">
        <v>735</v>
      </c>
      <c r="E3110" s="3">
        <v>21</v>
      </c>
      <c r="F3110" s="3">
        <f>14/5</f>
        <v>2.8</v>
      </c>
      <c r="G3110" s="4">
        <v>44489</v>
      </c>
    </row>
    <row r="3111" spans="2:18" x14ac:dyDescent="0.2">
      <c r="G3111" s="4"/>
    </row>
    <row r="3112" spans="2:18" s="12" customFormat="1" x14ac:dyDescent="0.2">
      <c r="B3112" s="12" t="s">
        <v>410</v>
      </c>
      <c r="C3112" s="13" t="s">
        <v>969</v>
      </c>
      <c r="D3112" s="13" t="s">
        <v>968</v>
      </c>
      <c r="E3112" s="15"/>
      <c r="F3112" s="15">
        <f>SUM(F3113:F3114)</f>
        <v>5.75</v>
      </c>
      <c r="G3112" s="14">
        <f>G3113</f>
        <v>44740</v>
      </c>
    </row>
    <row r="3113" spans="2:18" x14ac:dyDescent="0.2">
      <c r="B3113" s="12"/>
      <c r="C3113" s="2" t="s">
        <v>5</v>
      </c>
      <c r="D3113" s="2" t="s">
        <v>408</v>
      </c>
      <c r="E3113" s="3">
        <v>10</v>
      </c>
      <c r="F3113" s="3">
        <f>7/4</f>
        <v>1.75</v>
      </c>
      <c r="G3113" s="4">
        <v>44740</v>
      </c>
      <c r="M3113" s="1"/>
      <c r="N3113" s="1"/>
      <c r="O3113" s="1"/>
      <c r="P3113" s="1"/>
      <c r="Q3113" s="1"/>
      <c r="R3113" s="1"/>
    </row>
    <row r="3114" spans="2:18" x14ac:dyDescent="0.2">
      <c r="C3114" s="161" t="s">
        <v>7</v>
      </c>
      <c r="D3114" s="161" t="s">
        <v>2049</v>
      </c>
      <c r="E3114" s="3">
        <v>50</v>
      </c>
      <c r="F3114" s="3">
        <v>4</v>
      </c>
      <c r="G3114" s="4">
        <v>44252</v>
      </c>
      <c r="M3114" s="1"/>
      <c r="N3114" s="1"/>
      <c r="O3114" s="1"/>
      <c r="P3114" s="1"/>
      <c r="Q3114" s="1"/>
      <c r="R3114" s="1"/>
    </row>
    <row r="3115" spans="2:18" x14ac:dyDescent="0.2">
      <c r="G3115" s="4"/>
      <c r="M3115" s="1"/>
      <c r="N3115" s="1"/>
      <c r="O3115" s="1"/>
      <c r="P3115" s="1"/>
      <c r="Q3115" s="1"/>
      <c r="R3115" s="1"/>
    </row>
    <row r="3116" spans="2:18" s="12" customFormat="1" x14ac:dyDescent="0.2">
      <c r="B3116" s="12" t="s">
        <v>648</v>
      </c>
      <c r="C3116" s="13" t="s">
        <v>969</v>
      </c>
      <c r="D3116" s="13" t="s">
        <v>968</v>
      </c>
      <c r="E3116" s="15"/>
      <c r="F3116" s="15">
        <f>SUM(F3117:F3118)</f>
        <v>6</v>
      </c>
      <c r="G3116" s="14">
        <f>G3117</f>
        <v>44642</v>
      </c>
    </row>
    <row r="3117" spans="2:18" x14ac:dyDescent="0.2">
      <c r="C3117" s="2" t="s">
        <v>5</v>
      </c>
      <c r="D3117" s="2" t="s">
        <v>646</v>
      </c>
      <c r="E3117" s="3">
        <v>13</v>
      </c>
      <c r="F3117" s="3">
        <v>5</v>
      </c>
      <c r="G3117" s="4">
        <v>44642</v>
      </c>
      <c r="M3117" s="1"/>
      <c r="N3117" s="1"/>
      <c r="O3117" s="1"/>
      <c r="P3117" s="1"/>
      <c r="Q3117" s="1"/>
      <c r="R3117" s="1"/>
    </row>
    <row r="3118" spans="2:18" x14ac:dyDescent="0.2">
      <c r="C3118" s="2" t="s">
        <v>4</v>
      </c>
      <c r="D3118" s="2" t="s">
        <v>646</v>
      </c>
      <c r="E3118" s="3">
        <v>3.5</v>
      </c>
      <c r="F3118" s="3">
        <v>1</v>
      </c>
      <c r="G3118" s="4">
        <v>44124</v>
      </c>
      <c r="M3118" s="1"/>
      <c r="N3118" s="1"/>
      <c r="O3118" s="1"/>
      <c r="P3118" s="1"/>
      <c r="Q3118" s="1"/>
      <c r="R3118" s="1"/>
    </row>
    <row r="3119" spans="2:18" x14ac:dyDescent="0.2">
      <c r="G3119" s="4"/>
      <c r="M3119" s="1"/>
      <c r="N3119" s="1"/>
      <c r="O3119" s="1"/>
      <c r="P3119" s="1"/>
      <c r="Q3119" s="1"/>
      <c r="R3119" s="1"/>
    </row>
    <row r="3120" spans="2:18" s="12" customFormat="1" x14ac:dyDescent="0.2">
      <c r="B3120" s="12" t="s">
        <v>6572</v>
      </c>
      <c r="C3120" s="13" t="s">
        <v>969</v>
      </c>
      <c r="D3120" s="13" t="s">
        <v>968</v>
      </c>
      <c r="E3120" s="15"/>
      <c r="F3120" s="15">
        <f>SUM(F3121:F3122)</f>
        <v>6</v>
      </c>
      <c r="G3120" s="14">
        <f>G3121</f>
        <v>44518</v>
      </c>
      <c r="M3120" s="13"/>
      <c r="N3120" s="13"/>
      <c r="O3120" s="13"/>
      <c r="P3120" s="13"/>
      <c r="Q3120" s="13"/>
      <c r="R3120" s="13"/>
    </row>
    <row r="3121" spans="2:18" x14ac:dyDescent="0.2">
      <c r="B3121" s="160"/>
      <c r="C3121" s="161" t="s">
        <v>7</v>
      </c>
      <c r="D3121" s="161" t="s">
        <v>2038</v>
      </c>
      <c r="E3121" s="3">
        <v>21</v>
      </c>
      <c r="F3121" s="3">
        <v>5</v>
      </c>
      <c r="G3121" s="4">
        <v>44518</v>
      </c>
    </row>
    <row r="3122" spans="2:18" x14ac:dyDescent="0.2">
      <c r="C3122" s="161" t="s">
        <v>5</v>
      </c>
      <c r="D3122" s="161" t="s">
        <v>2038</v>
      </c>
      <c r="E3122" s="3">
        <v>9.1</v>
      </c>
      <c r="F3122" s="3">
        <v>1</v>
      </c>
      <c r="G3122" s="4">
        <v>42087</v>
      </c>
    </row>
    <row r="3123" spans="2:18" x14ac:dyDescent="0.2">
      <c r="C3123" s="161"/>
      <c r="D3123" s="161"/>
      <c r="G3123" s="4"/>
    </row>
    <row r="3124" spans="2:18" s="12" customFormat="1" x14ac:dyDescent="0.2">
      <c r="B3124" s="12" t="s">
        <v>543</v>
      </c>
      <c r="C3124" s="13" t="s">
        <v>969</v>
      </c>
      <c r="D3124" s="13" t="s">
        <v>968</v>
      </c>
      <c r="E3124" s="15"/>
      <c r="F3124" s="15">
        <f>SUM(F3125:F3128)</f>
        <v>5.5333333333333332</v>
      </c>
      <c r="G3124" s="14">
        <f>G3128</f>
        <v>44686</v>
      </c>
    </row>
    <row r="3125" spans="2:18" x14ac:dyDescent="0.2">
      <c r="C3125" s="2" t="s">
        <v>5</v>
      </c>
      <c r="D3125" s="2" t="s">
        <v>542</v>
      </c>
      <c r="E3125" s="3">
        <v>14</v>
      </c>
      <c r="F3125" s="3">
        <f>8/5</f>
        <v>1.6</v>
      </c>
      <c r="G3125" s="4">
        <v>44447</v>
      </c>
      <c r="M3125" s="1"/>
      <c r="N3125" s="1"/>
      <c r="O3125" s="1"/>
      <c r="P3125" s="1"/>
      <c r="Q3125" s="1"/>
      <c r="R3125" s="1"/>
    </row>
    <row r="3126" spans="2:18" x14ac:dyDescent="0.2">
      <c r="C3126" s="2" t="s">
        <v>5</v>
      </c>
      <c r="D3126" s="2" t="s">
        <v>542</v>
      </c>
      <c r="E3126" s="3">
        <v>12</v>
      </c>
      <c r="F3126" s="3">
        <f>8/5</f>
        <v>1.6</v>
      </c>
      <c r="G3126" s="4">
        <v>43532</v>
      </c>
      <c r="M3126" s="1"/>
      <c r="N3126" s="1"/>
      <c r="O3126" s="1"/>
      <c r="P3126" s="1"/>
      <c r="Q3126" s="1"/>
      <c r="R3126" s="1"/>
    </row>
    <row r="3127" spans="2:18" x14ac:dyDescent="0.2">
      <c r="C3127" s="2" t="s">
        <v>5</v>
      </c>
      <c r="D3127" s="2" t="s">
        <v>541</v>
      </c>
      <c r="E3127" s="3">
        <v>5</v>
      </c>
      <c r="F3127" s="3">
        <v>1</v>
      </c>
      <c r="G3127" s="4">
        <v>44514</v>
      </c>
      <c r="M3127" s="1"/>
      <c r="N3127" s="1"/>
      <c r="O3127" s="1"/>
      <c r="P3127" s="1"/>
      <c r="Q3127" s="1"/>
      <c r="R3127" s="1"/>
    </row>
    <row r="3128" spans="2:18" x14ac:dyDescent="0.2">
      <c r="C3128" s="253" t="s">
        <v>4</v>
      </c>
      <c r="D3128" s="253" t="s">
        <v>2016</v>
      </c>
      <c r="E3128" s="3">
        <v>11</v>
      </c>
      <c r="F3128" s="3">
        <f>8/6</f>
        <v>1.3333333333333333</v>
      </c>
      <c r="G3128" s="4">
        <v>44686</v>
      </c>
      <c r="M3128" s="1"/>
      <c r="N3128" s="1"/>
      <c r="O3128" s="1"/>
      <c r="P3128" s="1"/>
      <c r="Q3128" s="1"/>
      <c r="R3128" s="1"/>
    </row>
    <row r="3129" spans="2:18" x14ac:dyDescent="0.2">
      <c r="G3129" s="4"/>
      <c r="M3129" s="1"/>
      <c r="N3129" s="1"/>
      <c r="O3129" s="1"/>
      <c r="P3129" s="1"/>
      <c r="Q3129" s="1"/>
      <c r="R3129" s="1"/>
    </row>
    <row r="3130" spans="2:18" s="12" customFormat="1" x14ac:dyDescent="0.2">
      <c r="B3130" s="12" t="s">
        <v>977</v>
      </c>
      <c r="C3130" s="13" t="s">
        <v>969</v>
      </c>
      <c r="D3130" s="13" t="s">
        <v>968</v>
      </c>
      <c r="E3130" s="15"/>
      <c r="F3130" s="15">
        <f>SUM(F3131:F3134)</f>
        <v>6.2333333333333325</v>
      </c>
      <c r="G3130" s="14">
        <f>G3133</f>
        <v>44637</v>
      </c>
    </row>
    <row r="3131" spans="2:18" x14ac:dyDescent="0.2">
      <c r="B3131" s="265" t="s">
        <v>7664</v>
      </c>
      <c r="C3131" s="2" t="s">
        <v>5</v>
      </c>
      <c r="D3131" s="2" t="s">
        <v>516</v>
      </c>
      <c r="E3131" s="3">
        <v>14.5</v>
      </c>
      <c r="F3131" s="3">
        <v>1.5</v>
      </c>
      <c r="G3131" s="4">
        <v>43389</v>
      </c>
      <c r="M3131" s="1"/>
      <c r="N3131" s="1"/>
      <c r="O3131" s="1"/>
      <c r="P3131" s="1"/>
      <c r="Q3131" s="1"/>
      <c r="R3131" s="1"/>
    </row>
    <row r="3132" spans="2:18" x14ac:dyDescent="0.2">
      <c r="C3132" s="2" t="s">
        <v>4</v>
      </c>
      <c r="D3132" s="2" t="s">
        <v>516</v>
      </c>
      <c r="E3132" s="3">
        <v>4</v>
      </c>
      <c r="F3132" s="3">
        <f>4/3</f>
        <v>1.3333333333333333</v>
      </c>
      <c r="G3132" s="4">
        <v>42647</v>
      </c>
      <c r="M3132" s="1"/>
      <c r="N3132" s="1"/>
      <c r="O3132" s="1"/>
      <c r="P3132" s="1"/>
      <c r="Q3132" s="1"/>
      <c r="R3132" s="1"/>
    </row>
    <row r="3133" spans="2:18" x14ac:dyDescent="0.2">
      <c r="C3133" s="2" t="s">
        <v>5</v>
      </c>
      <c r="D3133" s="2" t="s">
        <v>302</v>
      </c>
      <c r="E3133" s="3">
        <v>10</v>
      </c>
      <c r="F3133" s="3">
        <v>1.4</v>
      </c>
      <c r="G3133" s="4">
        <v>44637</v>
      </c>
      <c r="M3133" s="1"/>
      <c r="N3133" s="1"/>
      <c r="O3133" s="1"/>
      <c r="P3133" s="1"/>
      <c r="Q3133" s="1"/>
      <c r="R3133" s="1"/>
    </row>
    <row r="3134" spans="2:18" x14ac:dyDescent="0.2">
      <c r="C3134" s="2" t="s">
        <v>4</v>
      </c>
      <c r="D3134" s="2" t="s">
        <v>302</v>
      </c>
      <c r="E3134" s="3">
        <v>4.5</v>
      </c>
      <c r="F3134" s="3">
        <v>2</v>
      </c>
      <c r="G3134" s="4">
        <v>44175</v>
      </c>
      <c r="M3134" s="1"/>
      <c r="N3134" s="1"/>
      <c r="O3134" s="1"/>
      <c r="P3134" s="1"/>
      <c r="Q3134" s="1"/>
      <c r="R3134" s="1"/>
    </row>
    <row r="3135" spans="2:18" x14ac:dyDescent="0.2">
      <c r="G3135" s="4"/>
      <c r="M3135" s="1"/>
      <c r="N3135" s="1"/>
      <c r="O3135" s="1"/>
      <c r="P3135" s="1"/>
      <c r="Q3135" s="1"/>
      <c r="R3135" s="1"/>
    </row>
    <row r="3136" spans="2:18" s="12" customFormat="1" x14ac:dyDescent="0.2">
      <c r="B3136" s="12" t="s">
        <v>442</v>
      </c>
      <c r="C3136" s="13" t="s">
        <v>969</v>
      </c>
      <c r="D3136" s="13" t="s">
        <v>968</v>
      </c>
      <c r="E3136" s="15"/>
      <c r="F3136" s="15">
        <f>SUM(F3137:F3138)</f>
        <v>4.5</v>
      </c>
      <c r="G3136" s="14">
        <f>G3137</f>
        <v>44602</v>
      </c>
    </row>
    <row r="3137" spans="2:18" x14ac:dyDescent="0.2">
      <c r="C3137" s="2" t="s">
        <v>4</v>
      </c>
      <c r="D3137" s="2" t="s">
        <v>439</v>
      </c>
      <c r="E3137" s="3">
        <v>7</v>
      </c>
      <c r="F3137" s="3">
        <v>0.5</v>
      </c>
      <c r="G3137" s="4">
        <v>44602</v>
      </c>
      <c r="M3137" s="1"/>
      <c r="N3137" s="1"/>
      <c r="O3137" s="1"/>
      <c r="P3137" s="1"/>
      <c r="Q3137" s="1"/>
      <c r="R3137" s="1"/>
    </row>
    <row r="3138" spans="2:18" x14ac:dyDescent="0.2">
      <c r="C3138" s="161" t="s">
        <v>7</v>
      </c>
      <c r="D3138" s="161" t="s">
        <v>2049</v>
      </c>
      <c r="E3138" s="3">
        <v>50</v>
      </c>
      <c r="F3138" s="3">
        <v>4</v>
      </c>
      <c r="G3138" s="4">
        <v>44252</v>
      </c>
      <c r="M3138" s="1"/>
      <c r="N3138" s="1"/>
      <c r="O3138" s="1"/>
      <c r="P3138" s="1"/>
      <c r="Q3138" s="1"/>
      <c r="R3138" s="1"/>
    </row>
    <row r="3139" spans="2:18" x14ac:dyDescent="0.2">
      <c r="G3139" s="4"/>
      <c r="M3139" s="1"/>
      <c r="N3139" s="1"/>
      <c r="O3139" s="1"/>
      <c r="P3139" s="1"/>
      <c r="Q3139" s="1"/>
      <c r="R3139" s="1"/>
    </row>
    <row r="3140" spans="2:18" s="12" customFormat="1" x14ac:dyDescent="0.2">
      <c r="B3140" s="12" t="s">
        <v>93</v>
      </c>
      <c r="C3140" s="13" t="s">
        <v>969</v>
      </c>
      <c r="D3140" s="13" t="s">
        <v>968</v>
      </c>
      <c r="E3140" s="15"/>
      <c r="F3140" s="15">
        <f>SUM(F3141:F3144)</f>
        <v>5.3630952380952381</v>
      </c>
      <c r="G3140" s="14">
        <f>G3141</f>
        <v>44642</v>
      </c>
      <c r="M3140" s="13"/>
      <c r="N3140" s="13"/>
      <c r="O3140" s="13"/>
      <c r="P3140" s="13"/>
      <c r="Q3140" s="13"/>
      <c r="R3140" s="13"/>
    </row>
    <row r="3141" spans="2:18" x14ac:dyDescent="0.2">
      <c r="B3141" s="250" t="s">
        <v>7670</v>
      </c>
      <c r="C3141" s="2" t="s">
        <v>7</v>
      </c>
      <c r="D3141" s="2" t="s">
        <v>87</v>
      </c>
      <c r="E3141" s="3">
        <v>25</v>
      </c>
      <c r="F3141" s="3">
        <f>15/6</f>
        <v>2.5</v>
      </c>
      <c r="G3141" s="4">
        <v>44642</v>
      </c>
    </row>
    <row r="3142" spans="2:18" x14ac:dyDescent="0.2">
      <c r="C3142" s="2" t="s">
        <v>5</v>
      </c>
      <c r="D3142" s="2" t="s">
        <v>87</v>
      </c>
      <c r="E3142" s="3">
        <v>13.5</v>
      </c>
      <c r="F3142" s="3">
        <f>10/6</f>
        <v>1.6666666666666667</v>
      </c>
      <c r="G3142" s="4">
        <v>43978</v>
      </c>
    </row>
    <row r="3143" spans="2:18" x14ac:dyDescent="0.2">
      <c r="C3143" s="2" t="s">
        <v>4</v>
      </c>
      <c r="D3143" s="2" t="s">
        <v>87</v>
      </c>
      <c r="E3143" s="3">
        <v>5.3</v>
      </c>
      <c r="F3143" s="3">
        <f>4/7</f>
        <v>0.5714285714285714</v>
      </c>
      <c r="G3143" s="4">
        <v>43398</v>
      </c>
    </row>
    <row r="3144" spans="2:18" x14ac:dyDescent="0.2">
      <c r="C3144" s="2" t="s">
        <v>4</v>
      </c>
      <c r="D3144" s="2" t="s">
        <v>87</v>
      </c>
      <c r="E3144" s="3">
        <v>4</v>
      </c>
      <c r="F3144" s="3">
        <f>2.5/4</f>
        <v>0.625</v>
      </c>
      <c r="G3144" s="4">
        <v>43122</v>
      </c>
    </row>
    <row r="3145" spans="2:18" x14ac:dyDescent="0.2">
      <c r="G3145" s="4"/>
    </row>
    <row r="3146" spans="2:18" s="12" customFormat="1" x14ac:dyDescent="0.2">
      <c r="B3146" s="12" t="s">
        <v>811</v>
      </c>
      <c r="C3146" s="13" t="s">
        <v>969</v>
      </c>
      <c r="D3146" s="13" t="s">
        <v>968</v>
      </c>
      <c r="E3146" s="15"/>
      <c r="F3146" s="15">
        <f>SUM(F3147:F3148)</f>
        <v>5</v>
      </c>
      <c r="G3146" s="14">
        <f>G3147</f>
        <v>44882</v>
      </c>
      <c r="M3146" s="13"/>
      <c r="N3146" s="13"/>
      <c r="O3146" s="13"/>
      <c r="P3146" s="13"/>
      <c r="Q3146" s="13"/>
      <c r="R3146" s="13"/>
    </row>
    <row r="3147" spans="2:18" x14ac:dyDescent="0.2">
      <c r="C3147" s="2" t="s">
        <v>7</v>
      </c>
      <c r="D3147" s="2" t="s">
        <v>810</v>
      </c>
      <c r="E3147" s="3">
        <v>27</v>
      </c>
      <c r="F3147" s="3">
        <v>2</v>
      </c>
      <c r="G3147" s="4">
        <v>44882</v>
      </c>
    </row>
    <row r="3148" spans="2:18" x14ac:dyDescent="0.2">
      <c r="C3148" s="141" t="s">
        <v>5</v>
      </c>
      <c r="D3148" s="141" t="s">
        <v>6320</v>
      </c>
      <c r="E3148" s="3">
        <v>25</v>
      </c>
      <c r="F3148" s="3">
        <v>3</v>
      </c>
      <c r="G3148" s="4">
        <v>44594</v>
      </c>
    </row>
    <row r="3149" spans="2:18" x14ac:dyDescent="0.2">
      <c r="G3149" s="4"/>
    </row>
    <row r="3150" spans="2:18" s="12" customFormat="1" x14ac:dyDescent="0.2">
      <c r="B3150" s="12" t="s">
        <v>982</v>
      </c>
      <c r="C3150" s="13" t="s">
        <v>969</v>
      </c>
      <c r="D3150" s="13" t="s">
        <v>968</v>
      </c>
      <c r="E3150" s="15"/>
      <c r="F3150" s="15">
        <f>SUM(F3151:F3152)</f>
        <v>5</v>
      </c>
      <c r="G3150" s="14">
        <f>G3151</f>
        <v>44838</v>
      </c>
      <c r="M3150" s="13"/>
      <c r="N3150" s="13"/>
      <c r="O3150" s="13"/>
      <c r="P3150" s="13"/>
      <c r="Q3150" s="13"/>
      <c r="R3150" s="13"/>
    </row>
    <row r="3151" spans="2:18" x14ac:dyDescent="0.2">
      <c r="C3151" s="2" t="s">
        <v>5</v>
      </c>
      <c r="D3151" s="2" t="s">
        <v>682</v>
      </c>
      <c r="E3151" s="3">
        <v>15</v>
      </c>
      <c r="F3151" s="3">
        <f>10/3</f>
        <v>3.3333333333333335</v>
      </c>
      <c r="G3151" s="4">
        <v>44838</v>
      </c>
    </row>
    <row r="3152" spans="2:18" x14ac:dyDescent="0.2">
      <c r="C3152" s="2" t="s">
        <v>4</v>
      </c>
      <c r="D3152" s="2" t="s">
        <v>95</v>
      </c>
      <c r="E3152" s="3">
        <v>5</v>
      </c>
      <c r="F3152" s="3">
        <f>E3152/3</f>
        <v>1.6666666666666667</v>
      </c>
      <c r="G3152" s="4">
        <v>41940</v>
      </c>
    </row>
    <row r="3153" spans="2:18" x14ac:dyDescent="0.2">
      <c r="G3153" s="4"/>
    </row>
    <row r="3154" spans="2:18" s="12" customFormat="1" x14ac:dyDescent="0.2">
      <c r="B3154" s="12" t="s">
        <v>641</v>
      </c>
      <c r="C3154" s="13" t="s">
        <v>969</v>
      </c>
      <c r="D3154" s="13" t="s">
        <v>968</v>
      </c>
      <c r="E3154" s="15"/>
      <c r="F3154" s="15">
        <f>SUM(F3155:F3156)</f>
        <v>5</v>
      </c>
      <c r="G3154" s="14">
        <f>G3155</f>
        <v>44959</v>
      </c>
    </row>
    <row r="3155" spans="2:18" x14ac:dyDescent="0.2">
      <c r="C3155" s="2" t="s">
        <v>5</v>
      </c>
      <c r="D3155" s="2" t="s">
        <v>640</v>
      </c>
      <c r="E3155" s="3">
        <v>11</v>
      </c>
      <c r="F3155" s="3">
        <v>4</v>
      </c>
      <c r="G3155" s="4">
        <v>44959</v>
      </c>
      <c r="M3155" s="1"/>
      <c r="N3155" s="1"/>
      <c r="O3155" s="1"/>
      <c r="P3155" s="1"/>
      <c r="Q3155" s="1"/>
      <c r="R3155" s="1"/>
    </row>
    <row r="3156" spans="2:18" x14ac:dyDescent="0.2">
      <c r="C3156" s="2" t="s">
        <v>4</v>
      </c>
      <c r="D3156" s="2" t="s">
        <v>640</v>
      </c>
      <c r="E3156" s="3">
        <v>2.2000000000000002</v>
      </c>
      <c r="F3156" s="3">
        <v>1</v>
      </c>
      <c r="G3156" s="4">
        <v>44959</v>
      </c>
      <c r="M3156" s="1"/>
      <c r="N3156" s="1"/>
      <c r="O3156" s="1"/>
      <c r="P3156" s="1"/>
      <c r="Q3156" s="1"/>
      <c r="R3156" s="1"/>
    </row>
    <row r="3157" spans="2:18" x14ac:dyDescent="0.2">
      <c r="G3157" s="4"/>
      <c r="M3157" s="1"/>
      <c r="N3157" s="1"/>
      <c r="O3157" s="1"/>
      <c r="P3157" s="1"/>
      <c r="Q3157" s="1"/>
      <c r="R3157" s="1"/>
    </row>
    <row r="3158" spans="2:18" s="12" customFormat="1" x14ac:dyDescent="0.2">
      <c r="B3158" s="12" t="s">
        <v>981</v>
      </c>
      <c r="C3158" s="13" t="s">
        <v>969</v>
      </c>
      <c r="D3158" s="13" t="s">
        <v>968</v>
      </c>
      <c r="E3158" s="15"/>
      <c r="F3158" s="15">
        <f>SUM(F3159:F3160)</f>
        <v>4.833333333333333</v>
      </c>
      <c r="G3158" s="14">
        <f>G3159</f>
        <v>44893</v>
      </c>
      <c r="M3158" s="13"/>
      <c r="N3158" s="13"/>
      <c r="O3158" s="13"/>
      <c r="P3158" s="13"/>
      <c r="Q3158" s="13"/>
      <c r="R3158" s="13"/>
    </row>
    <row r="3159" spans="2:18" x14ac:dyDescent="0.2">
      <c r="C3159" s="2" t="s">
        <v>5</v>
      </c>
      <c r="D3159" s="2" t="s">
        <v>779</v>
      </c>
      <c r="E3159" s="3">
        <v>33</v>
      </c>
      <c r="F3159" s="3">
        <f>13/3</f>
        <v>4.333333333333333</v>
      </c>
      <c r="G3159" s="4">
        <v>44893</v>
      </c>
    </row>
    <row r="3160" spans="2:18" x14ac:dyDescent="0.2">
      <c r="C3160" s="2" t="s">
        <v>670</v>
      </c>
      <c r="D3160" s="2" t="s">
        <v>779</v>
      </c>
      <c r="E3160" s="3">
        <v>3</v>
      </c>
      <c r="F3160" s="3">
        <v>0.5</v>
      </c>
      <c r="G3160" s="4">
        <v>44183</v>
      </c>
    </row>
    <row r="3161" spans="2:18" x14ac:dyDescent="0.2">
      <c r="G3161" s="4"/>
    </row>
    <row r="3162" spans="2:18" s="12" customFormat="1" x14ac:dyDescent="0.2">
      <c r="B3162" s="12" t="s">
        <v>6389</v>
      </c>
      <c r="C3162" s="13" t="s">
        <v>969</v>
      </c>
      <c r="D3162" s="13" t="s">
        <v>968</v>
      </c>
      <c r="E3162" s="15"/>
      <c r="F3162" s="15">
        <f>SUM(F3163:F3165)</f>
        <v>5.25</v>
      </c>
      <c r="G3162" s="14">
        <f>G3163</f>
        <v>44252</v>
      </c>
      <c r="M3162" s="13"/>
      <c r="N3162" s="13"/>
      <c r="O3162" s="13"/>
      <c r="P3162" s="13"/>
      <c r="Q3162" s="13"/>
      <c r="R3162" s="13"/>
    </row>
    <row r="3163" spans="2:18" x14ac:dyDescent="0.2">
      <c r="B3163" s="160"/>
      <c r="C3163" s="161" t="s">
        <v>7</v>
      </c>
      <c r="D3163" s="161" t="s">
        <v>2049</v>
      </c>
      <c r="E3163" s="3">
        <v>50</v>
      </c>
      <c r="F3163" s="3">
        <v>4</v>
      </c>
      <c r="G3163" s="4">
        <v>44252</v>
      </c>
    </row>
    <row r="3164" spans="2:18" x14ac:dyDescent="0.2">
      <c r="B3164" s="160"/>
      <c r="C3164" s="185" t="s">
        <v>5</v>
      </c>
      <c r="D3164" s="185" t="s">
        <v>2033</v>
      </c>
      <c r="E3164" s="3">
        <v>9.3000000000000007</v>
      </c>
      <c r="F3164" s="3">
        <v>1</v>
      </c>
      <c r="G3164" s="4">
        <v>44229</v>
      </c>
    </row>
    <row r="3165" spans="2:18" x14ac:dyDescent="0.2">
      <c r="B3165" s="160"/>
      <c r="C3165" s="185" t="s">
        <v>4</v>
      </c>
      <c r="D3165" s="185" t="s">
        <v>2033</v>
      </c>
      <c r="E3165" s="3">
        <v>2</v>
      </c>
      <c r="F3165" s="3">
        <f>1.5/6</f>
        <v>0.25</v>
      </c>
      <c r="G3165" s="4">
        <v>43522</v>
      </c>
    </row>
    <row r="3166" spans="2:18" x14ac:dyDescent="0.2">
      <c r="B3166" s="160"/>
      <c r="C3166" s="185"/>
      <c r="D3166" s="185"/>
      <c r="G3166" s="4"/>
    </row>
    <row r="3167" spans="2:18" s="12" customFormat="1" x14ac:dyDescent="0.2">
      <c r="B3167" s="12" t="s">
        <v>468</v>
      </c>
      <c r="C3167" s="13" t="s">
        <v>969</v>
      </c>
      <c r="D3167" s="13" t="s">
        <v>968</v>
      </c>
      <c r="E3167" s="15"/>
      <c r="F3167" s="15">
        <f>SUM(F3168:F3169)</f>
        <v>4.625</v>
      </c>
      <c r="G3167" s="14">
        <f>G3168</f>
        <v>44727</v>
      </c>
    </row>
    <row r="3168" spans="2:18" x14ac:dyDescent="0.2">
      <c r="C3168" s="2" t="s">
        <v>5</v>
      </c>
      <c r="D3168" s="2" t="s">
        <v>465</v>
      </c>
      <c r="E3168" s="3">
        <v>15.5</v>
      </c>
      <c r="F3168" s="3">
        <v>1.625</v>
      </c>
      <c r="G3168" s="4">
        <v>44727</v>
      </c>
      <c r="M3168" s="1"/>
      <c r="N3168" s="1"/>
      <c r="O3168" s="1"/>
      <c r="P3168" s="1"/>
      <c r="Q3168" s="1"/>
      <c r="R3168" s="1"/>
    </row>
    <row r="3169" spans="2:18" x14ac:dyDescent="0.2">
      <c r="C3169" s="2" t="s">
        <v>5</v>
      </c>
      <c r="D3169" s="2" t="s">
        <v>465</v>
      </c>
      <c r="E3169" s="3">
        <v>12</v>
      </c>
      <c r="F3169" s="3">
        <v>3</v>
      </c>
      <c r="G3169" s="4">
        <v>43948</v>
      </c>
      <c r="M3169" s="1"/>
      <c r="N3169" s="1"/>
      <c r="O3169" s="1"/>
      <c r="P3169" s="1"/>
      <c r="Q3169" s="1"/>
      <c r="R3169" s="1"/>
    </row>
    <row r="3170" spans="2:18" x14ac:dyDescent="0.2">
      <c r="G3170" s="4"/>
      <c r="M3170" s="1"/>
      <c r="N3170" s="1"/>
      <c r="O3170" s="1"/>
      <c r="P3170" s="1"/>
      <c r="Q3170" s="1"/>
      <c r="R3170" s="1"/>
    </row>
    <row r="3171" spans="2:18" s="12" customFormat="1" x14ac:dyDescent="0.2">
      <c r="B3171" s="12" t="s">
        <v>980</v>
      </c>
      <c r="C3171" s="13" t="s">
        <v>969</v>
      </c>
      <c r="D3171" s="13" t="s">
        <v>968</v>
      </c>
      <c r="E3171" s="15"/>
      <c r="F3171" s="15">
        <f>SUM(F3172:F3173)</f>
        <v>5</v>
      </c>
      <c r="G3171" s="14">
        <f>G3172</f>
        <v>44522</v>
      </c>
      <c r="M3171" s="13"/>
      <c r="N3171" s="13"/>
      <c r="O3171" s="13"/>
      <c r="P3171" s="13"/>
      <c r="Q3171" s="13"/>
      <c r="R3171" s="13"/>
    </row>
    <row r="3172" spans="2:18" x14ac:dyDescent="0.2">
      <c r="C3172" s="2" t="s">
        <v>5</v>
      </c>
      <c r="D3172" s="2" t="s">
        <v>873</v>
      </c>
      <c r="E3172" s="3">
        <v>30</v>
      </c>
      <c r="F3172" s="3">
        <v>4</v>
      </c>
      <c r="G3172" s="4">
        <v>44522</v>
      </c>
    </row>
    <row r="3173" spans="2:18" x14ac:dyDescent="0.2">
      <c r="C3173" s="2" t="s">
        <v>4</v>
      </c>
      <c r="D3173" s="2" t="s">
        <v>873</v>
      </c>
      <c r="E3173" s="3">
        <v>5.5</v>
      </c>
      <c r="F3173" s="3">
        <v>1</v>
      </c>
      <c r="G3173" s="4">
        <v>44096</v>
      </c>
    </row>
    <row r="3175" spans="2:18" s="12" customFormat="1" x14ac:dyDescent="0.2">
      <c r="B3175" s="12" t="s">
        <v>979</v>
      </c>
      <c r="C3175" s="13" t="s">
        <v>969</v>
      </c>
      <c r="D3175" s="13" t="s">
        <v>968</v>
      </c>
      <c r="E3175" s="15"/>
      <c r="F3175" s="15">
        <f>SUM(F3176:F3177)</f>
        <v>4.833333333333333</v>
      </c>
      <c r="G3175" s="14">
        <f>G3176</f>
        <v>44893</v>
      </c>
      <c r="M3175" s="13"/>
      <c r="N3175" s="13"/>
      <c r="O3175" s="13"/>
      <c r="P3175" s="13"/>
      <c r="Q3175" s="13"/>
      <c r="R3175" s="13"/>
    </row>
    <row r="3176" spans="2:18" x14ac:dyDescent="0.2">
      <c r="C3176" s="2" t="s">
        <v>5</v>
      </c>
      <c r="D3176" s="2" t="s">
        <v>779</v>
      </c>
      <c r="E3176" s="3">
        <v>33</v>
      </c>
      <c r="F3176" s="3">
        <f>13/3</f>
        <v>4.333333333333333</v>
      </c>
      <c r="G3176" s="4">
        <v>44893</v>
      </c>
    </row>
    <row r="3177" spans="2:18" x14ac:dyDescent="0.2">
      <c r="C3177" s="2" t="s">
        <v>670</v>
      </c>
      <c r="D3177" s="2" t="s">
        <v>779</v>
      </c>
      <c r="E3177" s="3">
        <v>3</v>
      </c>
      <c r="F3177" s="3">
        <v>0.5</v>
      </c>
      <c r="G3177" s="4">
        <v>44183</v>
      </c>
    </row>
    <row r="3178" spans="2:18" x14ac:dyDescent="0.2">
      <c r="C3178" s="2" t="s">
        <v>4</v>
      </c>
      <c r="D3178" s="2" t="s">
        <v>302</v>
      </c>
      <c r="E3178" s="3">
        <v>1.8</v>
      </c>
      <c r="F3178" s="3">
        <v>0.2</v>
      </c>
      <c r="G3178" s="4">
        <v>42690</v>
      </c>
    </row>
    <row r="3179" spans="2:18" x14ac:dyDescent="0.2">
      <c r="G3179" s="4"/>
    </row>
    <row r="3180" spans="2:18" s="12" customFormat="1" x14ac:dyDescent="0.2">
      <c r="B3180" s="12" t="s">
        <v>815</v>
      </c>
      <c r="C3180" s="13" t="s">
        <v>969</v>
      </c>
      <c r="D3180" s="13" t="s">
        <v>968</v>
      </c>
      <c r="E3180" s="15"/>
      <c r="F3180" s="15">
        <f>SUM(F3181:F3182)</f>
        <v>5</v>
      </c>
      <c r="G3180" s="14">
        <f>G3182</f>
        <v>44866</v>
      </c>
      <c r="M3180" s="13"/>
      <c r="N3180" s="13"/>
      <c r="O3180" s="13"/>
      <c r="P3180" s="13"/>
      <c r="Q3180" s="13"/>
      <c r="R3180" s="13"/>
    </row>
    <row r="3181" spans="2:18" x14ac:dyDescent="0.2">
      <c r="C3181" s="2" t="s">
        <v>5</v>
      </c>
      <c r="D3181" s="2" t="s">
        <v>642</v>
      </c>
      <c r="E3181" s="3">
        <v>12</v>
      </c>
      <c r="F3181" s="3">
        <f>6/3</f>
        <v>2</v>
      </c>
      <c r="G3181" s="4">
        <v>44860</v>
      </c>
    </row>
    <row r="3182" spans="2:18" x14ac:dyDescent="0.2">
      <c r="C3182" s="2" t="s">
        <v>5</v>
      </c>
      <c r="D3182" s="2" t="s">
        <v>2028</v>
      </c>
      <c r="E3182" s="3">
        <v>18</v>
      </c>
      <c r="F3182" s="3">
        <v>3</v>
      </c>
      <c r="G3182" s="4">
        <v>44866</v>
      </c>
    </row>
    <row r="3183" spans="2:18" x14ac:dyDescent="0.2">
      <c r="G3183" s="4"/>
    </row>
    <row r="3184" spans="2:18" s="12" customFormat="1" x14ac:dyDescent="0.2">
      <c r="B3184" s="12" t="s">
        <v>487</v>
      </c>
      <c r="C3184" s="13" t="s">
        <v>969</v>
      </c>
      <c r="D3184" s="13" t="s">
        <v>968</v>
      </c>
      <c r="E3184" s="15"/>
      <c r="F3184" s="15">
        <f>SUM(F3185:F3187)</f>
        <v>4.9000000000000004</v>
      </c>
      <c r="G3184" s="14">
        <f>G3185</f>
        <v>44516</v>
      </c>
    </row>
    <row r="3185" spans="2:18" x14ac:dyDescent="0.2">
      <c r="C3185" s="2" t="s">
        <v>5</v>
      </c>
      <c r="D3185" s="2" t="s">
        <v>483</v>
      </c>
      <c r="E3185" s="3">
        <v>13</v>
      </c>
      <c r="F3185" s="3">
        <v>1.4</v>
      </c>
      <c r="G3185" s="4">
        <v>44516</v>
      </c>
      <c r="M3185" s="1"/>
      <c r="N3185" s="1"/>
      <c r="O3185" s="1"/>
      <c r="P3185" s="1"/>
      <c r="Q3185" s="1"/>
      <c r="R3185" s="1"/>
    </row>
    <row r="3186" spans="2:18" x14ac:dyDescent="0.2">
      <c r="C3186" s="2" t="s">
        <v>4</v>
      </c>
      <c r="D3186" s="2" t="s">
        <v>483</v>
      </c>
      <c r="E3186" s="3">
        <v>2.5</v>
      </c>
      <c r="F3186" s="3">
        <v>1.5</v>
      </c>
      <c r="G3186" s="4">
        <v>44305</v>
      </c>
      <c r="M3186" s="1"/>
      <c r="N3186" s="1"/>
      <c r="O3186" s="1"/>
      <c r="P3186" s="1"/>
      <c r="Q3186" s="1"/>
      <c r="R3186" s="1"/>
    </row>
    <row r="3187" spans="2:18" x14ac:dyDescent="0.2">
      <c r="C3187" s="2" t="s">
        <v>4</v>
      </c>
      <c r="D3187" s="2" t="s">
        <v>481</v>
      </c>
      <c r="E3187" s="3">
        <v>2</v>
      </c>
      <c r="F3187" s="3">
        <v>2</v>
      </c>
      <c r="G3187" s="4">
        <v>44332</v>
      </c>
      <c r="M3187" s="1"/>
      <c r="N3187" s="1"/>
      <c r="O3187" s="1"/>
      <c r="P3187" s="1"/>
      <c r="Q3187" s="1"/>
      <c r="R3187" s="1"/>
    </row>
    <row r="3189" spans="2:18" s="12" customFormat="1" x14ac:dyDescent="0.2">
      <c r="B3189" s="12" t="s">
        <v>645</v>
      </c>
      <c r="C3189" s="13" t="s">
        <v>969</v>
      </c>
      <c r="D3189" s="13" t="s">
        <v>968</v>
      </c>
      <c r="E3189" s="15"/>
      <c r="F3189" s="15">
        <f>SUM(F3190:F3191)</f>
        <v>5.166666666666667</v>
      </c>
      <c r="G3189" s="14">
        <f>G3190</f>
        <v>44825</v>
      </c>
    </row>
    <row r="3190" spans="2:18" x14ac:dyDescent="0.2">
      <c r="C3190" s="2" t="s">
        <v>5</v>
      </c>
      <c r="D3190" s="2" t="s">
        <v>644</v>
      </c>
      <c r="E3190" s="3">
        <v>12.5</v>
      </c>
      <c r="F3190" s="3">
        <f>E3190/3</f>
        <v>4.166666666666667</v>
      </c>
      <c r="G3190" s="4">
        <v>44825</v>
      </c>
      <c r="M3190" s="1"/>
      <c r="N3190" s="1"/>
      <c r="O3190" s="1"/>
      <c r="P3190" s="1"/>
      <c r="Q3190" s="1"/>
      <c r="R3190" s="1"/>
    </row>
    <row r="3191" spans="2:18" x14ac:dyDescent="0.2">
      <c r="C3191" s="2" t="s">
        <v>5</v>
      </c>
      <c r="D3191" s="2" t="s">
        <v>520</v>
      </c>
      <c r="E3191" s="3">
        <v>7</v>
      </c>
      <c r="F3191" s="3">
        <v>1</v>
      </c>
      <c r="G3191" s="4">
        <v>42885</v>
      </c>
      <c r="M3191" s="1"/>
      <c r="N3191" s="1"/>
      <c r="O3191" s="1"/>
      <c r="P3191" s="1"/>
      <c r="Q3191" s="1"/>
      <c r="R3191" s="1"/>
    </row>
    <row r="3192" spans="2:18" x14ac:dyDescent="0.2">
      <c r="G3192" s="4"/>
      <c r="M3192" s="1"/>
      <c r="N3192" s="1"/>
      <c r="O3192" s="1"/>
      <c r="P3192" s="1"/>
      <c r="Q3192" s="1"/>
      <c r="R3192" s="1"/>
    </row>
    <row r="3193" spans="2:18" s="12" customFormat="1" x14ac:dyDescent="0.2">
      <c r="B3193" s="12" t="s">
        <v>466</v>
      </c>
      <c r="C3193" s="13" t="s">
        <v>969</v>
      </c>
      <c r="D3193" s="13" t="s">
        <v>968</v>
      </c>
      <c r="E3193" s="15"/>
      <c r="F3193" s="15">
        <f>SUM(F3194:F3195)</f>
        <v>4.625</v>
      </c>
      <c r="G3193" s="14">
        <f>G3194</f>
        <v>44727</v>
      </c>
    </row>
    <row r="3194" spans="2:18" x14ac:dyDescent="0.2">
      <c r="C3194" s="2" t="s">
        <v>5</v>
      </c>
      <c r="D3194" s="2" t="s">
        <v>465</v>
      </c>
      <c r="E3194" s="3">
        <v>15.5</v>
      </c>
      <c r="F3194" s="3">
        <v>1.625</v>
      </c>
      <c r="G3194" s="4">
        <v>44727</v>
      </c>
      <c r="M3194" s="1"/>
      <c r="N3194" s="1"/>
      <c r="O3194" s="1"/>
      <c r="P3194" s="1"/>
      <c r="Q3194" s="1"/>
      <c r="R3194" s="1"/>
    </row>
    <row r="3195" spans="2:18" x14ac:dyDescent="0.2">
      <c r="C3195" s="2" t="s">
        <v>5</v>
      </c>
      <c r="D3195" s="2" t="s">
        <v>465</v>
      </c>
      <c r="E3195" s="3">
        <v>12</v>
      </c>
      <c r="F3195" s="3">
        <v>3</v>
      </c>
      <c r="G3195" s="4">
        <v>43948</v>
      </c>
      <c r="M3195" s="1"/>
      <c r="N3195" s="1"/>
      <c r="O3195" s="1"/>
      <c r="P3195" s="1"/>
      <c r="Q3195" s="1"/>
      <c r="R3195" s="1"/>
    </row>
    <row r="3197" spans="2:18" s="12" customFormat="1" x14ac:dyDescent="0.2">
      <c r="B3197" s="12" t="s">
        <v>553</v>
      </c>
      <c r="C3197" s="13" t="s">
        <v>969</v>
      </c>
      <c r="D3197" s="13" t="s">
        <v>968</v>
      </c>
      <c r="E3197" s="15"/>
      <c r="F3197" s="15">
        <f>SUM(F3198:F3200)</f>
        <v>5</v>
      </c>
      <c r="G3197" s="14">
        <f>G3198</f>
        <v>45077</v>
      </c>
    </row>
    <row r="3198" spans="2:18" x14ac:dyDescent="0.2">
      <c r="C3198" s="2" t="s">
        <v>7</v>
      </c>
      <c r="D3198" s="2" t="s">
        <v>548</v>
      </c>
      <c r="E3198" s="3">
        <v>20</v>
      </c>
      <c r="F3198" s="3">
        <f>12/6</f>
        <v>2</v>
      </c>
      <c r="G3198" s="4">
        <v>45077</v>
      </c>
      <c r="M3198" s="1"/>
      <c r="N3198" s="1"/>
      <c r="O3198" s="1"/>
      <c r="P3198" s="1"/>
      <c r="Q3198" s="1"/>
      <c r="R3198" s="1"/>
    </row>
    <row r="3199" spans="2:18" x14ac:dyDescent="0.2">
      <c r="C3199" s="2" t="s">
        <v>5</v>
      </c>
      <c r="D3199" s="2" t="s">
        <v>548</v>
      </c>
      <c r="E3199" s="3">
        <v>10.5</v>
      </c>
      <c r="F3199" s="3">
        <f>5/5</f>
        <v>1</v>
      </c>
      <c r="G3199" s="4">
        <v>44341</v>
      </c>
      <c r="M3199" s="1"/>
      <c r="N3199" s="1"/>
      <c r="O3199" s="1"/>
      <c r="P3199" s="1"/>
      <c r="Q3199" s="1"/>
      <c r="R3199" s="1"/>
    </row>
    <row r="3200" spans="2:18" x14ac:dyDescent="0.2">
      <c r="C3200" s="2" t="s">
        <v>4</v>
      </c>
      <c r="D3200" s="2" t="s">
        <v>548</v>
      </c>
      <c r="E3200" s="3">
        <v>4</v>
      </c>
      <c r="F3200" s="3">
        <v>2</v>
      </c>
      <c r="G3200" s="4">
        <v>43671</v>
      </c>
      <c r="M3200" s="1"/>
      <c r="N3200" s="1"/>
      <c r="O3200" s="1"/>
      <c r="P3200" s="1"/>
      <c r="Q3200" s="1"/>
      <c r="R3200" s="1"/>
    </row>
    <row r="3201" spans="2:18" x14ac:dyDescent="0.2">
      <c r="G3201" s="4"/>
      <c r="M3201" s="1"/>
      <c r="N3201" s="1"/>
      <c r="O3201" s="1"/>
      <c r="P3201" s="1"/>
      <c r="Q3201" s="1"/>
      <c r="R3201" s="1"/>
    </row>
    <row r="3202" spans="2:18" s="12" customFormat="1" x14ac:dyDescent="0.2">
      <c r="B3202" s="12" t="s">
        <v>145</v>
      </c>
      <c r="C3202" s="13" t="s">
        <v>969</v>
      </c>
      <c r="D3202" s="13" t="s">
        <v>968</v>
      </c>
      <c r="E3202" s="15"/>
      <c r="F3202" s="15">
        <f>SUM(F3203:F3204)</f>
        <v>5.4</v>
      </c>
      <c r="G3202" s="14">
        <f>G3204</f>
        <v>44165</v>
      </c>
      <c r="M3202" s="13"/>
      <c r="N3202" s="13"/>
      <c r="O3202" s="13"/>
      <c r="P3202" s="13"/>
      <c r="Q3202" s="13"/>
      <c r="R3202" s="13"/>
    </row>
    <row r="3203" spans="2:18" x14ac:dyDescent="0.2">
      <c r="C3203" s="2" t="s">
        <v>4</v>
      </c>
      <c r="D3203" s="2" t="s">
        <v>144</v>
      </c>
      <c r="E3203" s="3">
        <v>1.6</v>
      </c>
      <c r="F3203" s="3">
        <f>E3203/4</f>
        <v>0.4</v>
      </c>
      <c r="G3203" s="4">
        <v>43060</v>
      </c>
    </row>
    <row r="3204" spans="2:18" x14ac:dyDescent="0.2">
      <c r="C3204" s="2" t="s">
        <v>5</v>
      </c>
      <c r="D3204" s="2" t="s">
        <v>64</v>
      </c>
      <c r="E3204" s="3">
        <v>50</v>
      </c>
      <c r="F3204" s="3">
        <v>5</v>
      </c>
      <c r="G3204" s="4">
        <v>44165</v>
      </c>
    </row>
    <row r="3205" spans="2:18" x14ac:dyDescent="0.2">
      <c r="G3205" s="4"/>
    </row>
    <row r="3206" spans="2:18" s="12" customFormat="1" x14ac:dyDescent="0.2">
      <c r="B3206" s="12" t="s">
        <v>683</v>
      </c>
      <c r="C3206" s="13" t="s">
        <v>969</v>
      </c>
      <c r="D3206" s="13" t="s">
        <v>968</v>
      </c>
      <c r="E3206" s="15"/>
      <c r="F3206" s="15">
        <f>SUM(F3207:F3209)</f>
        <v>5.3333333333333339</v>
      </c>
      <c r="G3206" s="14">
        <f>G3207</f>
        <v>44838</v>
      </c>
      <c r="M3206" s="13"/>
      <c r="N3206" s="13"/>
      <c r="O3206" s="13"/>
      <c r="P3206" s="13"/>
      <c r="Q3206" s="13"/>
      <c r="R3206" s="13"/>
    </row>
    <row r="3207" spans="2:18" x14ac:dyDescent="0.2">
      <c r="C3207" s="2" t="s">
        <v>5</v>
      </c>
      <c r="D3207" s="2" t="s">
        <v>682</v>
      </c>
      <c r="E3207" s="3">
        <v>15</v>
      </c>
      <c r="F3207" s="3">
        <f>10/3</f>
        <v>3.3333333333333335</v>
      </c>
      <c r="G3207" s="4">
        <v>44838</v>
      </c>
    </row>
    <row r="3208" spans="2:18" x14ac:dyDescent="0.2">
      <c r="C3208" s="2" t="s">
        <v>4</v>
      </c>
      <c r="D3208" s="2" t="s">
        <v>596</v>
      </c>
      <c r="E3208" s="3">
        <v>6</v>
      </c>
      <c r="F3208" s="3">
        <v>1</v>
      </c>
      <c r="G3208" s="4">
        <v>44781</v>
      </c>
    </row>
    <row r="3209" spans="2:18" x14ac:dyDescent="0.2">
      <c r="C3209" s="2" t="s">
        <v>4</v>
      </c>
      <c r="D3209" s="2" t="s">
        <v>2020</v>
      </c>
      <c r="E3209" s="3">
        <v>4</v>
      </c>
      <c r="F3209" s="3">
        <v>1</v>
      </c>
      <c r="G3209" s="4">
        <v>44097</v>
      </c>
    </row>
    <row r="3210" spans="2:18" x14ac:dyDescent="0.2">
      <c r="G3210" s="4"/>
    </row>
    <row r="3211" spans="2:18" s="12" customFormat="1" x14ac:dyDescent="0.2">
      <c r="B3211" s="12" t="s">
        <v>978</v>
      </c>
      <c r="C3211" s="13" t="s">
        <v>969</v>
      </c>
      <c r="D3211" s="13" t="s">
        <v>968</v>
      </c>
      <c r="E3211" s="15"/>
      <c r="F3211" s="15">
        <f>SUM(F3212:F3213)</f>
        <v>5</v>
      </c>
      <c r="G3211" s="14">
        <f>G3212</f>
        <v>44636</v>
      </c>
      <c r="M3211" s="13"/>
      <c r="N3211" s="13"/>
      <c r="O3211" s="13"/>
      <c r="P3211" s="13"/>
      <c r="Q3211" s="13"/>
      <c r="R3211" s="13"/>
    </row>
    <row r="3212" spans="2:18" x14ac:dyDescent="0.2">
      <c r="C3212" s="2" t="s">
        <v>7</v>
      </c>
      <c r="D3212" s="2" t="s">
        <v>860</v>
      </c>
      <c r="E3212" s="3">
        <v>25</v>
      </c>
      <c r="F3212" s="3">
        <v>3</v>
      </c>
      <c r="G3212" s="4">
        <v>44636</v>
      </c>
    </row>
    <row r="3213" spans="2:18" x14ac:dyDescent="0.2">
      <c r="C3213" s="2" t="s">
        <v>5</v>
      </c>
      <c r="D3213" s="2" t="s">
        <v>860</v>
      </c>
      <c r="E3213" s="3">
        <v>12.2</v>
      </c>
      <c r="F3213" s="3">
        <v>2</v>
      </c>
      <c r="G3213" s="4">
        <v>44179</v>
      </c>
    </row>
    <row r="3214" spans="2:18" x14ac:dyDescent="0.2">
      <c r="G3214" s="4"/>
    </row>
    <row r="3215" spans="2:18" s="12" customFormat="1" x14ac:dyDescent="0.2">
      <c r="B3215" s="12" t="s">
        <v>854</v>
      </c>
      <c r="C3215" s="13" t="s">
        <v>969</v>
      </c>
      <c r="D3215" s="13" t="s">
        <v>968</v>
      </c>
      <c r="E3215" s="15"/>
      <c r="F3215" s="15">
        <f>SUM(F3216:F3217)</f>
        <v>3.5714285714285716</v>
      </c>
      <c r="G3215" s="14">
        <f>G3217</f>
        <v>44866</v>
      </c>
      <c r="M3215" s="13"/>
      <c r="N3215" s="13"/>
      <c r="O3215" s="13"/>
      <c r="P3215" s="13"/>
      <c r="Q3215" s="13"/>
      <c r="R3215" s="13"/>
    </row>
    <row r="3216" spans="2:18" x14ac:dyDescent="0.2">
      <c r="C3216" s="2" t="s">
        <v>5</v>
      </c>
      <c r="D3216" s="2" t="s">
        <v>730</v>
      </c>
      <c r="E3216" s="3">
        <v>25</v>
      </c>
      <c r="F3216" s="3">
        <f>18/7</f>
        <v>2.5714285714285716</v>
      </c>
      <c r="G3216" s="4">
        <v>44757</v>
      </c>
    </row>
    <row r="3217" spans="2:18" x14ac:dyDescent="0.2">
      <c r="C3217" s="185" t="s">
        <v>4</v>
      </c>
      <c r="D3217" s="185" t="s">
        <v>6786</v>
      </c>
      <c r="E3217" s="3">
        <v>10</v>
      </c>
      <c r="F3217" s="3">
        <v>1</v>
      </c>
      <c r="G3217" s="4">
        <v>44866</v>
      </c>
      <c r="I3217" s="1">
        <v>65</v>
      </c>
      <c r="J3217" s="1">
        <v>350</v>
      </c>
    </row>
    <row r="3218" spans="2:18" x14ac:dyDescent="0.2">
      <c r="G3218" s="4"/>
    </row>
    <row r="3219" spans="2:18" s="12" customFormat="1" x14ac:dyDescent="0.2">
      <c r="B3219" s="12" t="s">
        <v>518</v>
      </c>
      <c r="C3219" s="13" t="s">
        <v>969</v>
      </c>
      <c r="D3219" s="13" t="s">
        <v>968</v>
      </c>
      <c r="E3219" s="15"/>
      <c r="F3219" s="15">
        <f>SUM(F3220:F3221)</f>
        <v>3.5</v>
      </c>
      <c r="G3219" s="14">
        <f>G3220</f>
        <v>43389</v>
      </c>
    </row>
    <row r="3220" spans="2:18" x14ac:dyDescent="0.2">
      <c r="C3220" s="2" t="s">
        <v>5</v>
      </c>
      <c r="D3220" s="2" t="s">
        <v>516</v>
      </c>
      <c r="E3220" s="3">
        <v>14.5</v>
      </c>
      <c r="F3220" s="3">
        <v>1.5</v>
      </c>
      <c r="G3220" s="4">
        <v>43389</v>
      </c>
      <c r="M3220" s="1"/>
      <c r="N3220" s="1"/>
      <c r="O3220" s="1"/>
      <c r="P3220" s="1"/>
      <c r="Q3220" s="1"/>
      <c r="R3220" s="1"/>
    </row>
    <row r="3221" spans="2:18" x14ac:dyDescent="0.2">
      <c r="C3221" s="93" t="s">
        <v>5</v>
      </c>
      <c r="D3221" s="93" t="s">
        <v>5426</v>
      </c>
      <c r="E3221" s="3">
        <v>18.100000000000001</v>
      </c>
      <c r="F3221" s="3">
        <f>10/5</f>
        <v>2</v>
      </c>
      <c r="G3221" s="4">
        <v>42719</v>
      </c>
      <c r="J3221" s="1">
        <v>2000</v>
      </c>
      <c r="M3221" s="1"/>
      <c r="N3221" s="1"/>
      <c r="O3221" s="1"/>
      <c r="P3221" s="1"/>
      <c r="Q3221" s="1"/>
      <c r="R3221" s="1"/>
    </row>
    <row r="3222" spans="2:18" x14ac:dyDescent="0.2">
      <c r="G3222" s="4"/>
      <c r="M3222" s="1"/>
      <c r="N3222" s="1"/>
      <c r="O3222" s="1"/>
      <c r="P3222" s="1"/>
      <c r="Q3222" s="1"/>
      <c r="R3222" s="1"/>
    </row>
    <row r="3223" spans="2:18" s="12" customFormat="1" x14ac:dyDescent="0.2">
      <c r="B3223" s="12" t="s">
        <v>717</v>
      </c>
      <c r="C3223" s="13" t="s">
        <v>969</v>
      </c>
      <c r="D3223" s="13" t="s">
        <v>968</v>
      </c>
      <c r="E3223" s="15"/>
      <c r="F3223" s="15">
        <f>SUM(F3224:F3225)</f>
        <v>4</v>
      </c>
      <c r="G3223" s="14">
        <f>G3224</f>
        <v>44110</v>
      </c>
      <c r="M3223" s="13"/>
      <c r="N3223" s="13"/>
      <c r="O3223" s="13"/>
      <c r="P3223" s="13"/>
      <c r="Q3223" s="13"/>
      <c r="R3223" s="13"/>
    </row>
    <row r="3224" spans="2:18" x14ac:dyDescent="0.2">
      <c r="C3224" s="2" t="s">
        <v>5</v>
      </c>
      <c r="D3224" s="2" t="s">
        <v>716</v>
      </c>
      <c r="E3224" s="3">
        <v>10</v>
      </c>
      <c r="F3224" s="3">
        <v>2</v>
      </c>
      <c r="G3224" s="4">
        <v>44110</v>
      </c>
    </row>
    <row r="3225" spans="2:18" x14ac:dyDescent="0.2">
      <c r="C3225" s="2" t="s">
        <v>4</v>
      </c>
      <c r="D3225" s="2" t="s">
        <v>716</v>
      </c>
      <c r="E3225" s="3">
        <v>5</v>
      </c>
      <c r="F3225" s="3">
        <v>2</v>
      </c>
      <c r="G3225" s="4">
        <v>43423</v>
      </c>
    </row>
    <row r="3226" spans="2:18" x14ac:dyDescent="0.2">
      <c r="G3226" s="4"/>
    </row>
    <row r="3227" spans="2:18" s="12" customFormat="1" x14ac:dyDescent="0.2">
      <c r="B3227" s="12" t="s">
        <v>595</v>
      </c>
      <c r="C3227" s="13" t="s">
        <v>969</v>
      </c>
      <c r="D3227" s="13" t="s">
        <v>968</v>
      </c>
      <c r="E3227" s="15"/>
      <c r="F3227" s="15">
        <f>SUM(F3228:F3229)</f>
        <v>4.3999999999999995</v>
      </c>
      <c r="G3227" s="14">
        <f>G3228</f>
        <v>44964</v>
      </c>
    </row>
    <row r="3228" spans="2:18" x14ac:dyDescent="0.2">
      <c r="C3228" s="2" t="s">
        <v>4</v>
      </c>
      <c r="D3228" s="2" t="s">
        <v>593</v>
      </c>
      <c r="E3228" s="3">
        <v>6.8</v>
      </c>
      <c r="F3228" s="3">
        <v>3.8</v>
      </c>
      <c r="G3228" s="4">
        <v>44964</v>
      </c>
      <c r="M3228" s="1"/>
      <c r="N3228" s="1"/>
      <c r="O3228" s="1"/>
      <c r="P3228" s="1"/>
      <c r="Q3228" s="1"/>
      <c r="R3228" s="1"/>
    </row>
    <row r="3229" spans="2:18" x14ac:dyDescent="0.2">
      <c r="C3229" s="2" t="s">
        <v>4</v>
      </c>
      <c r="D3229" s="2" t="s">
        <v>593</v>
      </c>
      <c r="E3229" s="3">
        <v>1.6</v>
      </c>
      <c r="F3229" s="3">
        <v>0.6</v>
      </c>
      <c r="G3229" s="4">
        <v>44197</v>
      </c>
      <c r="M3229" s="1"/>
      <c r="N3229" s="1"/>
      <c r="O3229" s="1"/>
      <c r="P3229" s="1"/>
      <c r="Q3229" s="1"/>
      <c r="R3229" s="1"/>
    </row>
    <row r="3230" spans="2:18" x14ac:dyDescent="0.2">
      <c r="G3230" s="4"/>
      <c r="M3230" s="1"/>
      <c r="N3230" s="1"/>
      <c r="O3230" s="1"/>
      <c r="P3230" s="1"/>
      <c r="Q3230" s="1"/>
      <c r="R3230" s="1"/>
    </row>
    <row r="3231" spans="2:18" s="12" customFormat="1" x14ac:dyDescent="0.2">
      <c r="B3231" s="12" t="s">
        <v>647</v>
      </c>
      <c r="C3231" s="13" t="s">
        <v>969</v>
      </c>
      <c r="D3231" s="13" t="s">
        <v>968</v>
      </c>
      <c r="E3231" s="15"/>
      <c r="F3231" s="15">
        <f>SUM(F3232:F3233)</f>
        <v>3.5</v>
      </c>
      <c r="G3231" s="14">
        <f>G3232</f>
        <v>44642</v>
      </c>
    </row>
    <row r="3232" spans="2:18" x14ac:dyDescent="0.2">
      <c r="C3232" s="2" t="s">
        <v>5</v>
      </c>
      <c r="D3232" s="2" t="s">
        <v>646</v>
      </c>
      <c r="E3232" s="3">
        <v>13</v>
      </c>
      <c r="F3232" s="3">
        <f>8/4</f>
        <v>2</v>
      </c>
      <c r="G3232" s="4">
        <v>44642</v>
      </c>
      <c r="M3232" s="1"/>
      <c r="N3232" s="1"/>
      <c r="O3232" s="1"/>
      <c r="P3232" s="1"/>
      <c r="Q3232" s="1"/>
      <c r="R3232" s="1"/>
    </row>
    <row r="3233" spans="2:18" x14ac:dyDescent="0.2">
      <c r="C3233" s="2" t="s">
        <v>4</v>
      </c>
      <c r="D3233" s="2" t="s">
        <v>646</v>
      </c>
      <c r="E3233" s="3">
        <v>3.5</v>
      </c>
      <c r="F3233" s="3">
        <v>1.5</v>
      </c>
      <c r="G3233" s="4">
        <v>44124</v>
      </c>
      <c r="M3233" s="1"/>
      <c r="N3233" s="1"/>
      <c r="O3233" s="1"/>
      <c r="P3233" s="1"/>
      <c r="Q3233" s="1"/>
      <c r="R3233" s="1"/>
    </row>
    <row r="3234" spans="2:18" x14ac:dyDescent="0.2">
      <c r="G3234" s="4"/>
      <c r="M3234" s="1"/>
      <c r="N3234" s="1"/>
      <c r="O3234" s="1"/>
      <c r="P3234" s="1"/>
      <c r="Q3234" s="1"/>
      <c r="R3234" s="1"/>
    </row>
    <row r="3235" spans="2:18" s="12" customFormat="1" x14ac:dyDescent="0.2">
      <c r="B3235" s="12" t="s">
        <v>976</v>
      </c>
      <c r="C3235" s="13" t="s">
        <v>969</v>
      </c>
      <c r="D3235" s="13" t="s">
        <v>968</v>
      </c>
      <c r="E3235" s="15"/>
      <c r="F3235" s="15">
        <f>SUM(F3236:F3237)</f>
        <v>4.0999999999999996</v>
      </c>
      <c r="G3235" s="14">
        <f>G3236</f>
        <v>44796</v>
      </c>
      <c r="M3235" s="13"/>
      <c r="N3235" s="13"/>
      <c r="O3235" s="13"/>
      <c r="P3235" s="13"/>
      <c r="Q3235" s="13"/>
      <c r="R3235" s="13"/>
    </row>
    <row r="3236" spans="2:18" x14ac:dyDescent="0.2">
      <c r="C3236" s="2" t="s">
        <v>5</v>
      </c>
      <c r="D3236" s="2" t="s">
        <v>701</v>
      </c>
      <c r="E3236" s="3">
        <v>50</v>
      </c>
      <c r="F3236" s="3">
        <f>30/12</f>
        <v>2.5</v>
      </c>
      <c r="G3236" s="4">
        <v>44796</v>
      </c>
    </row>
    <row r="3237" spans="2:18" x14ac:dyDescent="0.2">
      <c r="C3237" s="2" t="s">
        <v>4</v>
      </c>
      <c r="D3237" s="2" t="s">
        <v>701</v>
      </c>
      <c r="E3237" s="3">
        <v>12.5</v>
      </c>
      <c r="F3237" s="3">
        <f>8/5</f>
        <v>1.6</v>
      </c>
      <c r="G3237" s="4">
        <v>44623</v>
      </c>
    </row>
    <row r="3239" spans="2:18" s="12" customFormat="1" x14ac:dyDescent="0.2">
      <c r="B3239" s="12" t="s">
        <v>4887</v>
      </c>
      <c r="C3239" s="13" t="s">
        <v>969</v>
      </c>
      <c r="D3239" s="13" t="s">
        <v>968</v>
      </c>
      <c r="E3239" s="15"/>
      <c r="F3239" s="15">
        <f>SUM(F3240:F3241)</f>
        <v>4.375</v>
      </c>
      <c r="G3239" s="14">
        <f>G3240</f>
        <v>43720</v>
      </c>
      <c r="M3239" s="13"/>
      <c r="N3239" s="13"/>
      <c r="O3239" s="13"/>
      <c r="P3239" s="13"/>
      <c r="Q3239" s="13"/>
      <c r="R3239" s="13"/>
    </row>
    <row r="3240" spans="2:18" x14ac:dyDescent="0.2">
      <c r="B3240" s="51"/>
      <c r="C3240" s="52" t="s">
        <v>7</v>
      </c>
      <c r="D3240" s="52" t="s">
        <v>2119</v>
      </c>
      <c r="E3240" s="3">
        <v>40</v>
      </c>
      <c r="F3240" s="3">
        <f>30/10</f>
        <v>3</v>
      </c>
      <c r="G3240" s="4">
        <v>43720</v>
      </c>
      <c r="J3240" s="1">
        <v>3400</v>
      </c>
    </row>
    <row r="3241" spans="2:18" x14ac:dyDescent="0.2">
      <c r="C3241" s="52" t="s">
        <v>5</v>
      </c>
      <c r="D3241" s="52" t="s">
        <v>2119</v>
      </c>
      <c r="E3241" s="3">
        <v>11.5</v>
      </c>
      <c r="F3241" s="3">
        <f>5.5/4</f>
        <v>1.375</v>
      </c>
      <c r="G3241" s="4">
        <v>43355</v>
      </c>
      <c r="J3241" s="1">
        <v>3400</v>
      </c>
    </row>
    <row r="3242" spans="2:18" x14ac:dyDescent="0.2">
      <c r="C3242" s="52"/>
      <c r="D3242" s="52"/>
      <c r="G3242" s="4"/>
    </row>
    <row r="3243" spans="2:18" s="12" customFormat="1" x14ac:dyDescent="0.2">
      <c r="B3243" s="12" t="s">
        <v>727</v>
      </c>
      <c r="C3243" s="13" t="s">
        <v>969</v>
      </c>
      <c r="D3243" s="13" t="s">
        <v>968</v>
      </c>
      <c r="E3243" s="15"/>
      <c r="F3243" s="15">
        <f>SUM(F3244:F3245)</f>
        <v>3.6666666666666665</v>
      </c>
      <c r="G3243" s="14">
        <f>G3244</f>
        <v>44676</v>
      </c>
    </row>
    <row r="3244" spans="2:18" x14ac:dyDescent="0.2">
      <c r="C3244" s="2" t="s">
        <v>5</v>
      </c>
      <c r="D3244" s="2" t="s">
        <v>725</v>
      </c>
      <c r="E3244" s="3">
        <v>20</v>
      </c>
      <c r="F3244" s="3">
        <f>13/6</f>
        <v>2.1666666666666665</v>
      </c>
      <c r="G3244" s="4">
        <v>44676</v>
      </c>
    </row>
    <row r="3245" spans="2:18" x14ac:dyDescent="0.2">
      <c r="C3245" s="2" t="s">
        <v>4</v>
      </c>
      <c r="D3245" s="2" t="s">
        <v>725</v>
      </c>
      <c r="E3245" s="3">
        <v>5</v>
      </c>
      <c r="F3245" s="3">
        <v>1.5</v>
      </c>
      <c r="G3245" s="4">
        <v>44060</v>
      </c>
    </row>
    <row r="3247" spans="2:18" s="12" customFormat="1" x14ac:dyDescent="0.2">
      <c r="B3247" s="12" t="s">
        <v>729</v>
      </c>
      <c r="C3247" s="13" t="s">
        <v>969</v>
      </c>
      <c r="D3247" s="13" t="s">
        <v>968</v>
      </c>
      <c r="E3247" s="15"/>
      <c r="F3247" s="15">
        <f>SUM(F3248:F3249)</f>
        <v>3.6666666666666665</v>
      </c>
      <c r="G3247" s="14">
        <f>G3248</f>
        <v>44676</v>
      </c>
    </row>
    <row r="3248" spans="2:18" x14ac:dyDescent="0.2">
      <c r="C3248" s="2" t="s">
        <v>5</v>
      </c>
      <c r="D3248" s="2" t="s">
        <v>725</v>
      </c>
      <c r="E3248" s="3">
        <v>20</v>
      </c>
      <c r="F3248" s="3">
        <f>13/6</f>
        <v>2.1666666666666665</v>
      </c>
      <c r="G3248" s="4">
        <v>44676</v>
      </c>
    </row>
    <row r="3249" spans="2:18" x14ac:dyDescent="0.2">
      <c r="C3249" s="2" t="s">
        <v>4</v>
      </c>
      <c r="D3249" s="2" t="s">
        <v>725</v>
      </c>
      <c r="E3249" s="3">
        <v>5</v>
      </c>
      <c r="F3249" s="3">
        <v>1.5</v>
      </c>
      <c r="G3249" s="4">
        <v>44060</v>
      </c>
    </row>
    <row r="3250" spans="2:18" x14ac:dyDescent="0.2">
      <c r="G3250" s="4"/>
    </row>
    <row r="3251" spans="2:18" s="12" customFormat="1" x14ac:dyDescent="0.2">
      <c r="B3251" s="12" t="s">
        <v>328</v>
      </c>
      <c r="C3251" s="13" t="s">
        <v>969</v>
      </c>
      <c r="D3251" s="13" t="s">
        <v>968</v>
      </c>
      <c r="E3251" s="15"/>
      <c r="F3251" s="15">
        <f>SUM(F3252:F3253)</f>
        <v>3.588888888888889</v>
      </c>
      <c r="G3251" s="14">
        <f>G3252</f>
        <v>43031</v>
      </c>
    </row>
    <row r="3252" spans="2:18" x14ac:dyDescent="0.2">
      <c r="C3252" s="2" t="s">
        <v>4</v>
      </c>
      <c r="D3252" s="2" t="s">
        <v>318</v>
      </c>
      <c r="E3252" s="3">
        <v>3.2</v>
      </c>
      <c r="F3252" s="3">
        <v>3.2</v>
      </c>
      <c r="G3252" s="4">
        <v>43031</v>
      </c>
      <c r="L3252" s="1">
        <f>+F3252*20</f>
        <v>64</v>
      </c>
      <c r="M3252" s="1"/>
      <c r="N3252" s="1"/>
      <c r="O3252" s="1"/>
      <c r="P3252" s="1"/>
      <c r="Q3252" s="1"/>
      <c r="R3252" s="1"/>
    </row>
    <row r="3253" spans="2:18" x14ac:dyDescent="0.2">
      <c r="C3253" s="2" t="s">
        <v>4</v>
      </c>
      <c r="D3253" s="2" t="s">
        <v>258</v>
      </c>
      <c r="E3253" s="3">
        <v>3.5</v>
      </c>
      <c r="F3253" s="3">
        <f>+E3253/9</f>
        <v>0.3888888888888889</v>
      </c>
      <c r="G3253" s="4">
        <v>42979</v>
      </c>
      <c r="M3253" s="1"/>
      <c r="N3253" s="1"/>
      <c r="O3253" s="1"/>
      <c r="P3253" s="1"/>
      <c r="Q3253" s="1"/>
      <c r="R3253" s="1"/>
    </row>
    <row r="3254" spans="2:18" x14ac:dyDescent="0.2">
      <c r="G3254" s="4"/>
      <c r="M3254" s="1"/>
      <c r="N3254" s="1"/>
      <c r="O3254" s="1"/>
      <c r="P3254" s="1"/>
      <c r="Q3254" s="1"/>
      <c r="R3254" s="1"/>
    </row>
    <row r="3255" spans="2:18" x14ac:dyDescent="0.2">
      <c r="B3255" s="12" t="s">
        <v>975</v>
      </c>
      <c r="C3255" s="13" t="s">
        <v>969</v>
      </c>
      <c r="D3255" s="13" t="s">
        <v>968</v>
      </c>
      <c r="F3255" s="15">
        <f>F3256+F3257</f>
        <v>3.5</v>
      </c>
      <c r="G3255" s="14">
        <f>G3257</f>
        <v>44392</v>
      </c>
    </row>
    <row r="3256" spans="2:18" x14ac:dyDescent="0.2">
      <c r="C3256" s="2" t="s">
        <v>5</v>
      </c>
      <c r="D3256" s="2" t="s">
        <v>962</v>
      </c>
      <c r="E3256" s="3">
        <v>5</v>
      </c>
      <c r="F3256" s="3">
        <v>1</v>
      </c>
      <c r="G3256" s="4">
        <v>43251</v>
      </c>
    </row>
    <row r="3257" spans="2:18" x14ac:dyDescent="0.2">
      <c r="C3257" s="2" t="s">
        <v>5</v>
      </c>
      <c r="D3257" s="2" t="s">
        <v>695</v>
      </c>
      <c r="E3257" s="3">
        <v>20</v>
      </c>
      <c r="F3257" s="3">
        <v>2.5</v>
      </c>
      <c r="G3257" s="4">
        <v>44392</v>
      </c>
    </row>
    <row r="3258" spans="2:18" x14ac:dyDescent="0.2">
      <c r="C3258" s="2" t="s">
        <v>5</v>
      </c>
      <c r="D3258" s="2" t="s">
        <v>692</v>
      </c>
      <c r="E3258" s="3">
        <v>8</v>
      </c>
      <c r="F3258" s="3">
        <v>1</v>
      </c>
      <c r="G3258" s="4">
        <v>43249</v>
      </c>
    </row>
    <row r="3259" spans="2:18" x14ac:dyDescent="0.2">
      <c r="G3259" s="4"/>
    </row>
    <row r="3260" spans="2:18" s="12" customFormat="1" x14ac:dyDescent="0.2">
      <c r="B3260" s="12" t="s">
        <v>731</v>
      </c>
      <c r="C3260" s="13" t="s">
        <v>969</v>
      </c>
      <c r="D3260" s="13" t="s">
        <v>968</v>
      </c>
      <c r="E3260" s="15"/>
      <c r="F3260" s="15">
        <f>SUM(F3261:F3263)</f>
        <v>4.3214285714285712</v>
      </c>
      <c r="G3260" s="14">
        <f>G3261</f>
        <v>44757</v>
      </c>
      <c r="M3260" s="13"/>
      <c r="N3260" s="13"/>
      <c r="O3260" s="13"/>
      <c r="P3260" s="13"/>
      <c r="Q3260" s="13"/>
      <c r="R3260" s="13"/>
    </row>
    <row r="3261" spans="2:18" x14ac:dyDescent="0.2">
      <c r="C3261" s="2" t="s">
        <v>5</v>
      </c>
      <c r="D3261" s="2" t="s">
        <v>730</v>
      </c>
      <c r="E3261" s="3">
        <v>25</v>
      </c>
      <c r="F3261" s="3">
        <f>18/7</f>
        <v>2.5714285714285716</v>
      </c>
      <c r="G3261" s="4">
        <v>44757</v>
      </c>
    </row>
    <row r="3262" spans="2:18" x14ac:dyDescent="0.2">
      <c r="C3262" s="2" t="s">
        <v>4</v>
      </c>
      <c r="D3262" s="2" t="s">
        <v>730</v>
      </c>
      <c r="E3262" s="3">
        <v>4</v>
      </c>
      <c r="F3262" s="3">
        <v>1</v>
      </c>
      <c r="G3262" s="4">
        <v>44340</v>
      </c>
    </row>
    <row r="3263" spans="2:18" x14ac:dyDescent="0.2">
      <c r="C3263" s="2" t="s">
        <v>4</v>
      </c>
      <c r="D3263" s="2" t="s">
        <v>730</v>
      </c>
      <c r="E3263" s="3">
        <v>1.5</v>
      </c>
      <c r="F3263" s="3">
        <v>0.75</v>
      </c>
      <c r="G3263" s="4">
        <v>43979</v>
      </c>
    </row>
    <row r="3264" spans="2:18" x14ac:dyDescent="0.2">
      <c r="G3264" s="4"/>
    </row>
    <row r="3265" spans="2:18" s="12" customFormat="1" x14ac:dyDescent="0.2">
      <c r="B3265" s="12" t="s">
        <v>974</v>
      </c>
      <c r="C3265" s="13" t="s">
        <v>969</v>
      </c>
      <c r="D3265" s="13" t="s">
        <v>968</v>
      </c>
      <c r="E3265" s="15"/>
      <c r="F3265" s="15">
        <f>SUM(F3266:F3267)</f>
        <v>4</v>
      </c>
      <c r="G3265" s="14">
        <f>G3266</f>
        <v>45070</v>
      </c>
      <c r="M3265" s="13"/>
      <c r="N3265" s="13"/>
      <c r="O3265" s="13"/>
      <c r="P3265" s="13"/>
      <c r="Q3265" s="13"/>
      <c r="R3265" s="13"/>
    </row>
    <row r="3266" spans="2:18" x14ac:dyDescent="0.2">
      <c r="C3266" s="2" t="s">
        <v>5</v>
      </c>
      <c r="D3266" s="2" t="s">
        <v>783</v>
      </c>
      <c r="E3266" s="3">
        <v>10.9</v>
      </c>
      <c r="F3266" s="3">
        <f>8/8</f>
        <v>1</v>
      </c>
      <c r="G3266" s="4">
        <v>45070</v>
      </c>
    </row>
    <row r="3267" spans="2:18" x14ac:dyDescent="0.2">
      <c r="C3267" s="2" t="s">
        <v>5</v>
      </c>
      <c r="D3267" s="2" t="s">
        <v>703</v>
      </c>
      <c r="E3267" s="3">
        <v>6</v>
      </c>
      <c r="F3267" s="3">
        <v>3</v>
      </c>
      <c r="G3267" s="4">
        <v>44917</v>
      </c>
    </row>
    <row r="3268" spans="2:18" x14ac:dyDescent="0.2">
      <c r="G3268" s="4"/>
    </row>
    <row r="3269" spans="2:18" s="12" customFormat="1" x14ac:dyDescent="0.2">
      <c r="B3269" s="12" t="s">
        <v>728</v>
      </c>
      <c r="C3269" s="13" t="s">
        <v>969</v>
      </c>
      <c r="D3269" s="13" t="s">
        <v>968</v>
      </c>
      <c r="E3269" s="15"/>
      <c r="F3269" s="15">
        <f>SUM(F3270:F3271)</f>
        <v>3.6666666666666665</v>
      </c>
      <c r="G3269" s="14">
        <f>G3270</f>
        <v>44676</v>
      </c>
    </row>
    <row r="3270" spans="2:18" x14ac:dyDescent="0.2">
      <c r="C3270" s="2" t="s">
        <v>5</v>
      </c>
      <c r="D3270" s="2" t="s">
        <v>725</v>
      </c>
      <c r="E3270" s="3">
        <v>20</v>
      </c>
      <c r="F3270" s="3">
        <f>13/6</f>
        <v>2.1666666666666665</v>
      </c>
      <c r="G3270" s="4">
        <v>44676</v>
      </c>
    </row>
    <row r="3271" spans="2:18" x14ac:dyDescent="0.2">
      <c r="C3271" s="2" t="s">
        <v>4</v>
      </c>
      <c r="D3271" s="2" t="s">
        <v>725</v>
      </c>
      <c r="E3271" s="3">
        <v>5</v>
      </c>
      <c r="F3271" s="3">
        <v>1.5</v>
      </c>
      <c r="G3271" s="4">
        <v>44060</v>
      </c>
    </row>
    <row r="3272" spans="2:18" x14ac:dyDescent="0.2">
      <c r="G3272" s="4"/>
    </row>
    <row r="3273" spans="2:18" s="12" customFormat="1" x14ac:dyDescent="0.2">
      <c r="B3273" s="12" t="s">
        <v>973</v>
      </c>
      <c r="C3273" s="13" t="s">
        <v>969</v>
      </c>
      <c r="D3273" s="13" t="s">
        <v>968</v>
      </c>
      <c r="E3273" s="15"/>
      <c r="F3273" s="15">
        <f>SUM(F3274:F3278)</f>
        <v>3.6749999999999998</v>
      </c>
      <c r="G3273" s="14">
        <f>G3274</f>
        <v>44341</v>
      </c>
      <c r="M3273" s="13"/>
      <c r="N3273" s="13"/>
      <c r="O3273" s="13"/>
      <c r="P3273" s="13"/>
      <c r="Q3273" s="13"/>
      <c r="R3273" s="13"/>
    </row>
    <row r="3274" spans="2:18" x14ac:dyDescent="0.2">
      <c r="C3274" s="2" t="s">
        <v>5</v>
      </c>
      <c r="D3274" s="2" t="s">
        <v>548</v>
      </c>
      <c r="E3274" s="3">
        <v>10.5</v>
      </c>
      <c r="F3274" s="3">
        <f>5/5</f>
        <v>1</v>
      </c>
      <c r="G3274" s="4">
        <v>44341</v>
      </c>
    </row>
    <row r="3275" spans="2:18" x14ac:dyDescent="0.2">
      <c r="C3275" s="2" t="s">
        <v>4</v>
      </c>
      <c r="D3275" s="2" t="s">
        <v>548</v>
      </c>
      <c r="E3275" s="3">
        <v>4</v>
      </c>
      <c r="F3275" s="3">
        <v>1</v>
      </c>
      <c r="G3275" s="4">
        <v>43671</v>
      </c>
    </row>
    <row r="3276" spans="2:18" x14ac:dyDescent="0.2">
      <c r="C3276" s="2" t="s">
        <v>278</v>
      </c>
      <c r="D3276" s="2" t="s">
        <v>548</v>
      </c>
      <c r="E3276" s="3">
        <v>0.5</v>
      </c>
      <c r="F3276" s="3">
        <v>0.1</v>
      </c>
      <c r="G3276" s="4">
        <v>43262</v>
      </c>
    </row>
    <row r="3277" spans="2:18" x14ac:dyDescent="0.2">
      <c r="C3277" s="2" t="s">
        <v>4</v>
      </c>
      <c r="D3277" s="2" t="s">
        <v>336</v>
      </c>
      <c r="E3277" s="3">
        <v>3</v>
      </c>
      <c r="F3277" s="3">
        <f>1.5/4</f>
        <v>0.375</v>
      </c>
      <c r="G3277" s="4">
        <v>44327</v>
      </c>
    </row>
    <row r="3278" spans="2:18" x14ac:dyDescent="0.2">
      <c r="C3278" s="2" t="s">
        <v>278</v>
      </c>
      <c r="D3278" s="2" t="s">
        <v>336</v>
      </c>
      <c r="E3278" s="3">
        <v>1.2</v>
      </c>
      <c r="F3278" s="3">
        <v>1.2</v>
      </c>
      <c r="G3278" s="4">
        <v>42744</v>
      </c>
    </row>
    <row r="3279" spans="2:18" x14ac:dyDescent="0.2">
      <c r="G3279" s="4"/>
    </row>
    <row r="3280" spans="2:18" s="12" customFormat="1" x14ac:dyDescent="0.2">
      <c r="B3280" s="12" t="s">
        <v>6322</v>
      </c>
      <c r="C3280" s="13" t="s">
        <v>969</v>
      </c>
      <c r="D3280" s="13" t="s">
        <v>968</v>
      </c>
      <c r="E3280" s="15"/>
      <c r="F3280" s="15">
        <f>SUM(F3281:F3282)</f>
        <v>3.5</v>
      </c>
      <c r="G3280" s="14">
        <f>G3281</f>
        <v>44594</v>
      </c>
      <c r="M3280" s="13"/>
      <c r="N3280" s="13"/>
      <c r="O3280" s="13"/>
      <c r="P3280" s="13"/>
      <c r="Q3280" s="13"/>
      <c r="R3280" s="13"/>
    </row>
    <row r="3281" spans="2:18" x14ac:dyDescent="0.2">
      <c r="B3281" s="135"/>
      <c r="C3281" s="141" t="s">
        <v>5</v>
      </c>
      <c r="D3281" s="141" t="s">
        <v>6320</v>
      </c>
      <c r="E3281" s="3">
        <v>25</v>
      </c>
      <c r="F3281" s="3">
        <v>3</v>
      </c>
      <c r="G3281" s="4">
        <v>44594</v>
      </c>
    </row>
    <row r="3282" spans="2:18" x14ac:dyDescent="0.2">
      <c r="B3282" s="135"/>
      <c r="C3282" s="141" t="s">
        <v>4</v>
      </c>
      <c r="D3282" s="141" t="s">
        <v>6320</v>
      </c>
      <c r="E3282" s="3">
        <v>5</v>
      </c>
      <c r="F3282" s="3">
        <v>0.5</v>
      </c>
      <c r="G3282" s="4">
        <v>43335</v>
      </c>
    </row>
    <row r="3283" spans="2:18" x14ac:dyDescent="0.2">
      <c r="B3283" s="135"/>
      <c r="C3283" s="141"/>
      <c r="D3283" s="141"/>
      <c r="G3283" s="4"/>
    </row>
    <row r="3284" spans="2:18" s="12" customFormat="1" x14ac:dyDescent="0.2">
      <c r="B3284" s="12" t="s">
        <v>6701</v>
      </c>
      <c r="C3284" s="13" t="s">
        <v>969</v>
      </c>
      <c r="D3284" s="13" t="s">
        <v>968</v>
      </c>
      <c r="E3284" s="15"/>
      <c r="F3284" s="15">
        <f>SUM(F3285:F3286)</f>
        <v>4</v>
      </c>
      <c r="G3284" s="14">
        <f>G3285</f>
        <v>44917</v>
      </c>
      <c r="M3284" s="13"/>
      <c r="N3284" s="13"/>
      <c r="O3284" s="13"/>
      <c r="P3284" s="13"/>
      <c r="Q3284" s="13"/>
      <c r="R3284" s="13"/>
    </row>
    <row r="3285" spans="2:18" x14ac:dyDescent="0.2">
      <c r="C3285" s="2" t="s">
        <v>5</v>
      </c>
      <c r="D3285" s="2" t="s">
        <v>703</v>
      </c>
      <c r="E3285" s="3">
        <v>6</v>
      </c>
      <c r="F3285" s="3">
        <v>1</v>
      </c>
      <c r="G3285" s="4">
        <v>44917</v>
      </c>
    </row>
    <row r="3286" spans="2:18" x14ac:dyDescent="0.2">
      <c r="C3286" s="2" t="s">
        <v>4</v>
      </c>
      <c r="D3286" s="2" t="s">
        <v>703</v>
      </c>
      <c r="E3286" s="3">
        <v>5.9</v>
      </c>
      <c r="F3286" s="3">
        <v>3</v>
      </c>
      <c r="G3286" s="4">
        <v>44180</v>
      </c>
    </row>
    <row r="3287" spans="2:18" x14ac:dyDescent="0.2">
      <c r="G3287" s="4"/>
    </row>
    <row r="3288" spans="2:18" s="12" customFormat="1" x14ac:dyDescent="0.2">
      <c r="B3288" s="12" t="s">
        <v>671</v>
      </c>
      <c r="C3288" s="13" t="s">
        <v>969</v>
      </c>
      <c r="D3288" s="13" t="s">
        <v>968</v>
      </c>
      <c r="E3288" s="15"/>
      <c r="F3288" s="15">
        <f>SUM(F3289:F3290)</f>
        <v>3.62</v>
      </c>
      <c r="G3288" s="14">
        <f>G3289</f>
        <v>44705</v>
      </c>
    </row>
    <row r="3289" spans="2:18" x14ac:dyDescent="0.2">
      <c r="C3289" s="2" t="s">
        <v>5</v>
      </c>
      <c r="D3289" s="2" t="s">
        <v>669</v>
      </c>
      <c r="E3289" s="3">
        <v>14</v>
      </c>
      <c r="F3289" s="3">
        <v>3</v>
      </c>
      <c r="G3289" s="4">
        <v>44705</v>
      </c>
      <c r="M3289" s="1"/>
      <c r="N3289" s="1"/>
      <c r="O3289" s="1"/>
      <c r="P3289" s="1"/>
      <c r="Q3289" s="1"/>
      <c r="R3289" s="1"/>
    </row>
    <row r="3290" spans="2:18" x14ac:dyDescent="0.2">
      <c r="C3290" s="2" t="s">
        <v>670</v>
      </c>
      <c r="D3290" s="2" t="s">
        <v>669</v>
      </c>
      <c r="E3290" s="3">
        <v>0.62</v>
      </c>
      <c r="F3290" s="3">
        <v>0.62</v>
      </c>
      <c r="G3290" s="4">
        <v>44105</v>
      </c>
      <c r="M3290" s="1"/>
      <c r="N3290" s="1"/>
      <c r="O3290" s="1"/>
      <c r="P3290" s="1"/>
      <c r="Q3290" s="1"/>
      <c r="R3290" s="1"/>
    </row>
    <row r="3291" spans="2:18" x14ac:dyDescent="0.2">
      <c r="G3291" s="4"/>
      <c r="M3291" s="1"/>
      <c r="N3291" s="1"/>
      <c r="O3291" s="1"/>
      <c r="P3291" s="1"/>
      <c r="Q3291" s="1"/>
      <c r="R3291" s="1"/>
    </row>
    <row r="3292" spans="2:18" x14ac:dyDescent="0.2">
      <c r="B3292" s="12" t="s">
        <v>790</v>
      </c>
      <c r="C3292" s="13" t="s">
        <v>969</v>
      </c>
      <c r="D3292" s="13" t="s">
        <v>968</v>
      </c>
      <c r="F3292" s="15">
        <f>SUM(F3293:F3294)</f>
        <v>4</v>
      </c>
      <c r="G3292" s="14">
        <f>G3294</f>
        <v>44515</v>
      </c>
      <c r="M3292" s="1"/>
      <c r="N3292" s="1"/>
      <c r="O3292" s="1"/>
      <c r="P3292" s="1"/>
      <c r="Q3292" s="1"/>
      <c r="R3292" s="1"/>
    </row>
    <row r="3293" spans="2:18" x14ac:dyDescent="0.2">
      <c r="B3293" s="12"/>
      <c r="C3293" s="2" t="s">
        <v>4</v>
      </c>
      <c r="D3293" s="2" t="s">
        <v>697</v>
      </c>
      <c r="E3293" s="3">
        <v>5.6</v>
      </c>
      <c r="F3293" s="3">
        <v>1</v>
      </c>
      <c r="G3293" s="4">
        <v>44292</v>
      </c>
      <c r="M3293" s="1"/>
      <c r="N3293" s="1"/>
      <c r="O3293" s="1"/>
      <c r="P3293" s="1"/>
      <c r="Q3293" s="1"/>
      <c r="R3293" s="1"/>
    </row>
    <row r="3294" spans="2:18" x14ac:dyDescent="0.2">
      <c r="C3294" s="185" t="s">
        <v>5</v>
      </c>
      <c r="D3294" s="185" t="s">
        <v>6708</v>
      </c>
      <c r="E3294" s="3">
        <v>21</v>
      </c>
      <c r="F3294" s="3">
        <v>3</v>
      </c>
      <c r="G3294" s="4">
        <v>44515</v>
      </c>
      <c r="M3294" s="1"/>
      <c r="N3294" s="1"/>
      <c r="O3294" s="1"/>
      <c r="P3294" s="1"/>
      <c r="Q3294" s="1"/>
      <c r="R3294" s="1"/>
    </row>
    <row r="3295" spans="2:18" x14ac:dyDescent="0.2">
      <c r="G3295" s="4"/>
      <c r="M3295" s="1"/>
      <c r="N3295" s="1"/>
      <c r="O3295" s="1"/>
      <c r="P3295" s="1"/>
      <c r="Q3295" s="1"/>
      <c r="R3295" s="1"/>
    </row>
    <row r="3296" spans="2:18" s="12" customFormat="1" x14ac:dyDescent="0.2">
      <c r="B3296" s="12" t="s">
        <v>674</v>
      </c>
      <c r="C3296" s="13" t="s">
        <v>969</v>
      </c>
      <c r="D3296" s="13" t="s">
        <v>968</v>
      </c>
      <c r="E3296" s="15"/>
      <c r="F3296" s="15">
        <f>SUM(F3297:F3298)</f>
        <v>3.5</v>
      </c>
      <c r="G3296" s="14">
        <f>G3297</f>
        <v>44389</v>
      </c>
      <c r="M3296" s="13"/>
      <c r="N3296" s="13"/>
      <c r="O3296" s="13"/>
      <c r="P3296" s="13"/>
      <c r="Q3296" s="13"/>
      <c r="R3296" s="13"/>
    </row>
    <row r="3297" spans="2:18" x14ac:dyDescent="0.2">
      <c r="C3297" s="2" t="s">
        <v>5</v>
      </c>
      <c r="D3297" s="2" t="s">
        <v>672</v>
      </c>
      <c r="E3297" s="3">
        <v>14.5</v>
      </c>
      <c r="F3297" s="3">
        <v>2.5</v>
      </c>
      <c r="G3297" s="4">
        <v>44389</v>
      </c>
      <c r="M3297" s="1"/>
      <c r="N3297" s="1"/>
      <c r="O3297" s="1"/>
      <c r="P3297" s="1"/>
      <c r="Q3297" s="1"/>
      <c r="R3297" s="1"/>
    </row>
    <row r="3298" spans="2:18" x14ac:dyDescent="0.2">
      <c r="C3298" s="2" t="s">
        <v>4</v>
      </c>
      <c r="D3298" s="2" t="s">
        <v>672</v>
      </c>
      <c r="E3298" s="3">
        <v>3</v>
      </c>
      <c r="F3298" s="3">
        <v>1</v>
      </c>
      <c r="G3298" s="4">
        <v>43993</v>
      </c>
      <c r="M3298" s="1"/>
      <c r="N3298" s="1"/>
      <c r="O3298" s="1"/>
      <c r="P3298" s="1"/>
      <c r="Q3298" s="1"/>
      <c r="R3298" s="1"/>
    </row>
    <row r="3299" spans="2:18" x14ac:dyDescent="0.2">
      <c r="G3299" s="4"/>
      <c r="M3299" s="1"/>
      <c r="N3299" s="1"/>
      <c r="O3299" s="1"/>
      <c r="P3299" s="1"/>
      <c r="Q3299" s="1"/>
      <c r="R3299" s="1"/>
    </row>
    <row r="3300" spans="2:18" s="12" customFormat="1" x14ac:dyDescent="0.2">
      <c r="B3300" s="12" t="s">
        <v>764</v>
      </c>
      <c r="C3300" s="13" t="s">
        <v>969</v>
      </c>
      <c r="D3300" s="13" t="s">
        <v>968</v>
      </c>
      <c r="E3300" s="15"/>
      <c r="F3300" s="15">
        <f>SUM(F3301:F3302)</f>
        <v>3.5</v>
      </c>
      <c r="G3300" s="14">
        <f>G3302</f>
        <v>44510</v>
      </c>
    </row>
    <row r="3301" spans="2:18" x14ac:dyDescent="0.2">
      <c r="C3301" s="2" t="s">
        <v>278</v>
      </c>
      <c r="D3301" s="2" t="s">
        <v>763</v>
      </c>
      <c r="E3301" s="3">
        <v>1</v>
      </c>
      <c r="F3301" s="3">
        <v>0.5</v>
      </c>
      <c r="G3301" s="4">
        <v>44287</v>
      </c>
      <c r="M3301" s="1"/>
      <c r="N3301" s="1"/>
      <c r="O3301" s="1"/>
      <c r="P3301" s="1"/>
      <c r="Q3301" s="1"/>
      <c r="R3301" s="1"/>
    </row>
    <row r="3302" spans="2:18" x14ac:dyDescent="0.2">
      <c r="C3302" s="2" t="s">
        <v>5</v>
      </c>
      <c r="D3302" s="2" t="s">
        <v>110</v>
      </c>
      <c r="E3302" s="3">
        <v>25</v>
      </c>
      <c r="F3302" s="3">
        <v>3</v>
      </c>
      <c r="G3302" s="4">
        <v>44510</v>
      </c>
      <c r="M3302" s="1"/>
      <c r="N3302" s="1"/>
      <c r="O3302" s="1"/>
      <c r="P3302" s="1"/>
      <c r="Q3302" s="1"/>
      <c r="R3302" s="1"/>
    </row>
    <row r="3303" spans="2:18" x14ac:dyDescent="0.2">
      <c r="G3303" s="4"/>
      <c r="M3303" s="1"/>
      <c r="N3303" s="1"/>
      <c r="O3303" s="1"/>
      <c r="P3303" s="1"/>
      <c r="Q3303" s="1"/>
      <c r="R3303" s="1"/>
    </row>
    <row r="3304" spans="2:18" s="12" customFormat="1" x14ac:dyDescent="0.2">
      <c r="B3304" s="12" t="s">
        <v>118</v>
      </c>
      <c r="C3304" s="13" t="s">
        <v>969</v>
      </c>
      <c r="D3304" s="13" t="s">
        <v>968</v>
      </c>
      <c r="E3304" s="15"/>
      <c r="F3304" s="15">
        <f>SUM(F3305:F3306)</f>
        <v>4.3333333333333339</v>
      </c>
      <c r="G3304" s="14">
        <f>G3305</f>
        <v>44510</v>
      </c>
      <c r="M3304" s="13"/>
      <c r="N3304" s="13"/>
      <c r="O3304" s="13"/>
      <c r="P3304" s="13"/>
      <c r="Q3304" s="13"/>
      <c r="R3304" s="13"/>
    </row>
    <row r="3305" spans="2:18" x14ac:dyDescent="0.2">
      <c r="C3305" s="2" t="s">
        <v>5</v>
      </c>
      <c r="D3305" s="2" t="s">
        <v>110</v>
      </c>
      <c r="E3305" s="3">
        <v>25</v>
      </c>
      <c r="F3305" s="3">
        <f>17/6</f>
        <v>2.8333333333333335</v>
      </c>
      <c r="G3305" s="4">
        <v>44510</v>
      </c>
    </row>
    <row r="3306" spans="2:18" x14ac:dyDescent="0.2">
      <c r="C3306" s="2" t="s">
        <v>4</v>
      </c>
      <c r="D3306" s="2" t="s">
        <v>110</v>
      </c>
      <c r="E3306" s="3">
        <v>8</v>
      </c>
      <c r="F3306" s="3">
        <v>1.5</v>
      </c>
      <c r="G3306" s="4">
        <v>44063</v>
      </c>
    </row>
    <row r="3307" spans="2:18" x14ac:dyDescent="0.2">
      <c r="G3307" s="4"/>
    </row>
    <row r="3308" spans="2:18" s="12" customFormat="1" x14ac:dyDescent="0.2">
      <c r="B3308" s="12" t="s">
        <v>6700</v>
      </c>
      <c r="C3308" s="13" t="s">
        <v>969</v>
      </c>
      <c r="D3308" s="13" t="s">
        <v>968</v>
      </c>
      <c r="E3308" s="15"/>
      <c r="F3308" s="15">
        <f>SUM(F3309:F3310)</f>
        <v>3.588888888888889</v>
      </c>
      <c r="G3308" s="14">
        <f>G3309</f>
        <v>43031</v>
      </c>
    </row>
    <row r="3309" spans="2:18" x14ac:dyDescent="0.2">
      <c r="C3309" s="2" t="s">
        <v>4</v>
      </c>
      <c r="D3309" s="2" t="s">
        <v>318</v>
      </c>
      <c r="E3309" s="3">
        <v>3.2</v>
      </c>
      <c r="F3309" s="3">
        <v>3.2</v>
      </c>
      <c r="G3309" s="4">
        <v>43031</v>
      </c>
      <c r="L3309" s="1">
        <f>+F3309*20</f>
        <v>64</v>
      </c>
      <c r="M3309" s="1"/>
      <c r="N3309" s="1"/>
      <c r="O3309" s="1"/>
      <c r="P3309" s="1"/>
      <c r="Q3309" s="1"/>
      <c r="R3309" s="1"/>
    </row>
    <row r="3310" spans="2:18" x14ac:dyDescent="0.2">
      <c r="C3310" s="2" t="s">
        <v>4</v>
      </c>
      <c r="D3310" s="2" t="s">
        <v>258</v>
      </c>
      <c r="E3310" s="3">
        <v>3.5</v>
      </c>
      <c r="F3310" s="3">
        <f>+E3310/9</f>
        <v>0.3888888888888889</v>
      </c>
      <c r="G3310" s="4">
        <v>42979</v>
      </c>
      <c r="M3310" s="1"/>
      <c r="N3310" s="1"/>
      <c r="O3310" s="1"/>
      <c r="P3310" s="1"/>
      <c r="Q3310" s="1"/>
      <c r="R3310" s="1"/>
    </row>
    <row r="3311" spans="2:18" x14ac:dyDescent="0.2">
      <c r="G3311" s="4"/>
      <c r="M3311" s="1"/>
      <c r="N3311" s="1"/>
      <c r="O3311" s="1"/>
      <c r="P3311" s="1"/>
      <c r="Q3311" s="1"/>
      <c r="R3311" s="1"/>
    </row>
    <row r="3312" spans="2:18" s="12" customFormat="1" x14ac:dyDescent="0.2">
      <c r="B3312" s="12" t="s">
        <v>554</v>
      </c>
      <c r="C3312" s="13" t="s">
        <v>969</v>
      </c>
      <c r="D3312" s="13" t="s">
        <v>968</v>
      </c>
      <c r="E3312" s="15"/>
      <c r="F3312" s="15">
        <f>SUM(F3313:F3314)</f>
        <v>3.75</v>
      </c>
      <c r="G3312" s="14">
        <f>G3313</f>
        <v>45077</v>
      </c>
    </row>
    <row r="3313" spans="2:19" x14ac:dyDescent="0.2">
      <c r="C3313" s="2" t="s">
        <v>7</v>
      </c>
      <c r="D3313" s="2" t="s">
        <v>548</v>
      </c>
      <c r="E3313" s="3">
        <v>20</v>
      </c>
      <c r="F3313" s="3">
        <f>12/6</f>
        <v>2</v>
      </c>
      <c r="G3313" s="4">
        <v>45077</v>
      </c>
      <c r="M3313" s="1"/>
      <c r="N3313" s="1"/>
      <c r="O3313" s="1"/>
      <c r="P3313" s="1"/>
      <c r="Q3313" s="1"/>
      <c r="R3313" s="1"/>
    </row>
    <row r="3314" spans="2:19" x14ac:dyDescent="0.2">
      <c r="C3314" s="2" t="s">
        <v>5</v>
      </c>
      <c r="D3314" s="2" t="s">
        <v>408</v>
      </c>
      <c r="E3314" s="3">
        <v>10</v>
      </c>
      <c r="F3314" s="3">
        <f>7/4</f>
        <v>1.75</v>
      </c>
      <c r="G3314" s="4">
        <v>44740</v>
      </c>
      <c r="M3314" s="1"/>
      <c r="N3314" s="1"/>
      <c r="O3314" s="1"/>
      <c r="P3314" s="1"/>
      <c r="Q3314" s="1"/>
      <c r="R3314" s="1"/>
    </row>
    <row r="3315" spans="2:19" x14ac:dyDescent="0.2">
      <c r="G3315" s="4"/>
      <c r="M3315" s="1"/>
      <c r="N3315" s="1"/>
      <c r="O3315" s="1"/>
      <c r="P3315" s="1"/>
      <c r="Q3315" s="1"/>
      <c r="R3315" s="1"/>
    </row>
    <row r="3316" spans="2:19" s="12" customFormat="1" x14ac:dyDescent="0.2">
      <c r="B3316" s="12" t="s">
        <v>299</v>
      </c>
      <c r="C3316" s="13" t="s">
        <v>969</v>
      </c>
      <c r="D3316" s="13" t="s">
        <v>968</v>
      </c>
      <c r="E3316" s="15"/>
      <c r="F3316" s="15">
        <f>SUM(F3317:F3318)</f>
        <v>2.625</v>
      </c>
      <c r="G3316" s="14">
        <f>G3317</f>
        <v>44314</v>
      </c>
      <c r="M3316" s="13"/>
      <c r="N3316" s="13"/>
      <c r="O3316" s="13"/>
      <c r="P3316" s="13"/>
      <c r="Q3316" s="13"/>
      <c r="R3316" s="13"/>
    </row>
    <row r="3317" spans="2:19" x14ac:dyDescent="0.2">
      <c r="C3317" s="2" t="s">
        <v>5</v>
      </c>
      <c r="D3317" s="2" t="s">
        <v>298</v>
      </c>
      <c r="E3317" s="3">
        <v>15</v>
      </c>
      <c r="F3317" s="3">
        <v>2</v>
      </c>
      <c r="G3317" s="4">
        <v>44314</v>
      </c>
      <c r="S3317" s="1" t="s">
        <v>297</v>
      </c>
    </row>
    <row r="3318" spans="2:19" x14ac:dyDescent="0.2">
      <c r="C3318" s="2" t="s">
        <v>4</v>
      </c>
      <c r="D3318" s="2" t="s">
        <v>110</v>
      </c>
      <c r="E3318" s="3">
        <v>8</v>
      </c>
      <c r="F3318" s="3">
        <f>5/8</f>
        <v>0.625</v>
      </c>
      <c r="G3318" s="4">
        <v>44063</v>
      </c>
    </row>
    <row r="3319" spans="2:19" x14ac:dyDescent="0.2">
      <c r="G3319" s="4"/>
    </row>
    <row r="3320" spans="2:19" s="12" customFormat="1" x14ac:dyDescent="0.2">
      <c r="B3320" s="12" t="s">
        <v>6686</v>
      </c>
      <c r="C3320" s="13" t="s">
        <v>969</v>
      </c>
      <c r="D3320" s="13" t="s">
        <v>968</v>
      </c>
      <c r="E3320" s="15"/>
      <c r="F3320" s="15">
        <f>SUM(F3321:F3323)</f>
        <v>3.25</v>
      </c>
      <c r="G3320" s="14">
        <f>G3321</f>
        <v>44825</v>
      </c>
      <c r="M3320" s="13"/>
      <c r="N3320" s="13"/>
      <c r="O3320" s="13"/>
      <c r="P3320" s="13"/>
      <c r="Q3320" s="13"/>
      <c r="R3320" s="13"/>
    </row>
    <row r="3321" spans="2:19" x14ac:dyDescent="0.2">
      <c r="B3321" s="181"/>
      <c r="C3321" s="182" t="s">
        <v>7</v>
      </c>
      <c r="D3321" s="182" t="s">
        <v>2033</v>
      </c>
      <c r="E3321" s="3">
        <v>16</v>
      </c>
      <c r="F3321" s="3">
        <v>2</v>
      </c>
      <c r="G3321" s="4">
        <v>44825</v>
      </c>
    </row>
    <row r="3322" spans="2:19" x14ac:dyDescent="0.2">
      <c r="B3322" s="181"/>
      <c r="C3322" s="185" t="s">
        <v>5</v>
      </c>
      <c r="D3322" s="182" t="s">
        <v>2033</v>
      </c>
      <c r="E3322" s="3">
        <v>9.3000000000000007</v>
      </c>
      <c r="F3322" s="186">
        <v>1</v>
      </c>
      <c r="G3322" s="4">
        <v>44229</v>
      </c>
    </row>
    <row r="3323" spans="2:19" x14ac:dyDescent="0.2">
      <c r="B3323" s="181"/>
      <c r="C3323" s="185" t="s">
        <v>4</v>
      </c>
      <c r="D3323" s="182" t="s">
        <v>2033</v>
      </c>
      <c r="E3323" s="3">
        <v>2</v>
      </c>
      <c r="F3323" s="3">
        <f>1.5/6</f>
        <v>0.25</v>
      </c>
      <c r="G3323" s="4">
        <v>43522</v>
      </c>
    </row>
    <row r="3324" spans="2:19" x14ac:dyDescent="0.2">
      <c r="B3324" s="181"/>
      <c r="C3324" s="185"/>
      <c r="D3324" s="182"/>
      <c r="G3324" s="4"/>
    </row>
    <row r="3325" spans="2:19" s="12" customFormat="1" x14ac:dyDescent="0.2">
      <c r="B3325" s="12" t="s">
        <v>775</v>
      </c>
      <c r="C3325" s="13" t="s">
        <v>969</v>
      </c>
      <c r="D3325" s="13" t="s">
        <v>968</v>
      </c>
      <c r="E3325" s="15"/>
      <c r="F3325" s="15">
        <f>SUM(F3326:F3328)</f>
        <v>2.86</v>
      </c>
      <c r="G3325" s="14">
        <f>G3326</f>
        <v>44677</v>
      </c>
    </row>
    <row r="3326" spans="2:19" x14ac:dyDescent="0.2">
      <c r="C3326" s="2" t="s">
        <v>4</v>
      </c>
      <c r="D3326" s="2" t="s">
        <v>649</v>
      </c>
      <c r="E3326" s="3">
        <v>8</v>
      </c>
      <c r="F3326" s="3">
        <v>1</v>
      </c>
      <c r="G3326" s="4">
        <v>44677</v>
      </c>
      <c r="M3326" s="1"/>
      <c r="N3326" s="1"/>
      <c r="O3326" s="1"/>
      <c r="P3326" s="1"/>
      <c r="Q3326" s="1"/>
      <c r="R3326" s="1"/>
    </row>
    <row r="3327" spans="2:19" x14ac:dyDescent="0.2">
      <c r="C3327" s="161" t="s">
        <v>5</v>
      </c>
      <c r="D3327" s="161" t="s">
        <v>2042</v>
      </c>
      <c r="E3327" s="3">
        <v>18</v>
      </c>
      <c r="F3327" s="3">
        <v>1</v>
      </c>
      <c r="G3327" s="4">
        <v>43445</v>
      </c>
      <c r="M3327" s="1"/>
      <c r="N3327" s="1"/>
      <c r="O3327" s="1"/>
      <c r="P3327" s="1"/>
      <c r="Q3327" s="1"/>
      <c r="R3327" s="1"/>
    </row>
    <row r="3328" spans="2:19" x14ac:dyDescent="0.2">
      <c r="C3328" s="161" t="s">
        <v>4</v>
      </c>
      <c r="D3328" s="161" t="s">
        <v>2042</v>
      </c>
      <c r="E3328" s="3">
        <v>4.3</v>
      </c>
      <c r="F3328" s="3">
        <f>E3328/5</f>
        <v>0.86</v>
      </c>
      <c r="G3328" s="4">
        <v>43157</v>
      </c>
      <c r="M3328" s="1"/>
      <c r="N3328" s="1"/>
      <c r="O3328" s="1"/>
      <c r="P3328" s="1"/>
      <c r="Q3328" s="1"/>
      <c r="R3328" s="1"/>
    </row>
    <row r="3329" spans="2:18" x14ac:dyDescent="0.2">
      <c r="G3329" s="4"/>
      <c r="M3329" s="1"/>
      <c r="N3329" s="1"/>
      <c r="O3329" s="1"/>
      <c r="P3329" s="1"/>
      <c r="Q3329" s="1"/>
      <c r="R3329" s="1"/>
    </row>
    <row r="3330" spans="2:18" s="12" customFormat="1" x14ac:dyDescent="0.2">
      <c r="B3330" s="12" t="s">
        <v>117</v>
      </c>
      <c r="C3330" s="13" t="s">
        <v>969</v>
      </c>
      <c r="D3330" s="13" t="s">
        <v>968</v>
      </c>
      <c r="E3330" s="15"/>
      <c r="F3330" s="15">
        <f>SUM(F3331:F3332)</f>
        <v>3.4583333333333335</v>
      </c>
      <c r="G3330" s="14">
        <f>G3331</f>
        <v>44510</v>
      </c>
      <c r="M3330" s="13"/>
      <c r="N3330" s="13"/>
      <c r="O3330" s="13"/>
      <c r="P3330" s="13"/>
      <c r="Q3330" s="13"/>
      <c r="R3330" s="13"/>
    </row>
    <row r="3331" spans="2:18" x14ac:dyDescent="0.2">
      <c r="C3331" s="2" t="s">
        <v>5</v>
      </c>
      <c r="D3331" s="2" t="s">
        <v>110</v>
      </c>
      <c r="E3331" s="3">
        <v>25</v>
      </c>
      <c r="F3331" s="3">
        <f>17/6</f>
        <v>2.8333333333333335</v>
      </c>
      <c r="G3331" s="4">
        <v>44510</v>
      </c>
    </row>
    <row r="3332" spans="2:18" x14ac:dyDescent="0.2">
      <c r="C3332" s="2" t="s">
        <v>4</v>
      </c>
      <c r="D3332" s="2" t="s">
        <v>110</v>
      </c>
      <c r="E3332" s="3">
        <v>8</v>
      </c>
      <c r="F3332" s="3">
        <f t="shared" ref="F3332" si="2">5/8</f>
        <v>0.625</v>
      </c>
      <c r="G3332" s="4">
        <v>44063</v>
      </c>
    </row>
    <row r="3333" spans="2:18" x14ac:dyDescent="0.2">
      <c r="G3333" s="4"/>
    </row>
    <row r="3334" spans="2:18" s="12" customFormat="1" x14ac:dyDescent="0.2">
      <c r="B3334" s="12" t="s">
        <v>704</v>
      </c>
      <c r="C3334" s="13" t="s">
        <v>969</v>
      </c>
      <c r="D3334" s="13" t="s">
        <v>968</v>
      </c>
      <c r="E3334" s="15"/>
      <c r="F3334" s="15">
        <f>SUM(F3335:F3336)</f>
        <v>2.8</v>
      </c>
      <c r="G3334" s="14">
        <f>G3335</f>
        <v>44917</v>
      </c>
      <c r="M3334" s="13"/>
      <c r="N3334" s="13"/>
      <c r="O3334" s="13"/>
      <c r="P3334" s="13"/>
      <c r="Q3334" s="13"/>
      <c r="R3334" s="13"/>
    </row>
    <row r="3335" spans="2:18" x14ac:dyDescent="0.2">
      <c r="C3335" s="2" t="s">
        <v>5</v>
      </c>
      <c r="D3335" s="2" t="s">
        <v>703</v>
      </c>
      <c r="E3335" s="3">
        <v>6</v>
      </c>
      <c r="F3335" s="3">
        <v>1</v>
      </c>
      <c r="G3335" s="4">
        <v>44917</v>
      </c>
    </row>
    <row r="3336" spans="2:18" x14ac:dyDescent="0.2">
      <c r="C3336" s="2" t="s">
        <v>4</v>
      </c>
      <c r="D3336" s="2" t="s">
        <v>703</v>
      </c>
      <c r="E3336" s="3">
        <v>3.6</v>
      </c>
      <c r="F3336" s="3">
        <v>1.8</v>
      </c>
      <c r="G3336" s="4">
        <v>43361</v>
      </c>
    </row>
    <row r="3337" spans="2:18" x14ac:dyDescent="0.2">
      <c r="G3337" s="4"/>
    </row>
    <row r="3338" spans="2:18" s="12" customFormat="1" x14ac:dyDescent="0.2">
      <c r="B3338" s="12" t="s">
        <v>544</v>
      </c>
      <c r="C3338" s="13" t="s">
        <v>969</v>
      </c>
      <c r="D3338" s="13" t="s">
        <v>968</v>
      </c>
      <c r="E3338" s="15"/>
      <c r="F3338" s="15">
        <f>SUM(F3339:F3340)</f>
        <v>3.2</v>
      </c>
      <c r="G3338" s="14">
        <f>G3339</f>
        <v>44447</v>
      </c>
    </row>
    <row r="3339" spans="2:18" x14ac:dyDescent="0.2">
      <c r="C3339" s="2" t="s">
        <v>5</v>
      </c>
      <c r="D3339" s="2" t="s">
        <v>542</v>
      </c>
      <c r="E3339" s="3">
        <v>14</v>
      </c>
      <c r="F3339" s="3">
        <f>8/5</f>
        <v>1.6</v>
      </c>
      <c r="G3339" s="4">
        <v>44447</v>
      </c>
      <c r="M3339" s="1"/>
      <c r="N3339" s="1"/>
      <c r="O3339" s="1"/>
      <c r="P3339" s="1"/>
      <c r="Q3339" s="1"/>
      <c r="R3339" s="1"/>
    </row>
    <row r="3340" spans="2:18" x14ac:dyDescent="0.2">
      <c r="C3340" s="2" t="s">
        <v>5</v>
      </c>
      <c r="D3340" s="2" t="s">
        <v>542</v>
      </c>
      <c r="E3340" s="3">
        <v>12</v>
      </c>
      <c r="F3340" s="3">
        <f>8/5</f>
        <v>1.6</v>
      </c>
      <c r="G3340" s="4">
        <v>43532</v>
      </c>
      <c r="M3340" s="1"/>
      <c r="N3340" s="1"/>
      <c r="O3340" s="1"/>
      <c r="P3340" s="1"/>
      <c r="Q3340" s="1"/>
      <c r="R3340" s="1"/>
    </row>
    <row r="3341" spans="2:18" x14ac:dyDescent="0.2">
      <c r="G3341" s="4"/>
      <c r="M3341" s="1"/>
      <c r="N3341" s="1"/>
      <c r="O3341" s="1"/>
      <c r="P3341" s="1"/>
      <c r="Q3341" s="1"/>
      <c r="R3341" s="1"/>
    </row>
    <row r="3342" spans="2:18" s="12" customFormat="1" x14ac:dyDescent="0.2">
      <c r="B3342" s="12" t="s">
        <v>675</v>
      </c>
      <c r="C3342" s="13" t="s">
        <v>969</v>
      </c>
      <c r="D3342" s="13" t="s">
        <v>968</v>
      </c>
      <c r="E3342" s="15"/>
      <c r="F3342" s="15">
        <f>SUM(F3343:F3344)</f>
        <v>3</v>
      </c>
      <c r="G3342" s="14">
        <f>G3343</f>
        <v>44389</v>
      </c>
      <c r="M3342" s="13"/>
      <c r="N3342" s="13"/>
      <c r="O3342" s="13"/>
      <c r="P3342" s="13"/>
      <c r="Q3342" s="13"/>
      <c r="R3342" s="13"/>
    </row>
    <row r="3343" spans="2:18" x14ac:dyDescent="0.2">
      <c r="C3343" s="2" t="s">
        <v>5</v>
      </c>
      <c r="D3343" s="2" t="s">
        <v>672</v>
      </c>
      <c r="E3343" s="3">
        <v>14.5</v>
      </c>
      <c r="F3343" s="3">
        <v>2.5</v>
      </c>
      <c r="G3343" s="4">
        <v>44389</v>
      </c>
      <c r="M3343" s="1"/>
      <c r="N3343" s="1"/>
      <c r="O3343" s="1"/>
      <c r="P3343" s="1"/>
      <c r="Q3343" s="1"/>
      <c r="R3343" s="1"/>
    </row>
    <row r="3344" spans="2:18" x14ac:dyDescent="0.2">
      <c r="C3344" s="2" t="s">
        <v>4</v>
      </c>
      <c r="D3344" s="2" t="s">
        <v>672</v>
      </c>
      <c r="E3344" s="3">
        <v>3</v>
      </c>
      <c r="F3344" s="3">
        <v>0.5</v>
      </c>
      <c r="G3344" s="4">
        <v>43993</v>
      </c>
      <c r="M3344" s="1"/>
      <c r="N3344" s="1"/>
      <c r="O3344" s="1"/>
      <c r="P3344" s="1"/>
      <c r="Q3344" s="1"/>
      <c r="R3344" s="1"/>
    </row>
    <row r="3345" spans="2:18" x14ac:dyDescent="0.2">
      <c r="G3345" s="4"/>
      <c r="M3345" s="1"/>
      <c r="N3345" s="1"/>
      <c r="O3345" s="1"/>
      <c r="P3345" s="1"/>
      <c r="Q3345" s="1"/>
      <c r="R3345" s="1"/>
    </row>
    <row r="3346" spans="2:18" s="12" customFormat="1" x14ac:dyDescent="0.2">
      <c r="B3346" s="12" t="s">
        <v>6685</v>
      </c>
      <c r="C3346" s="13" t="s">
        <v>969</v>
      </c>
      <c r="D3346" s="13" t="s">
        <v>968</v>
      </c>
      <c r="E3346" s="15"/>
      <c r="F3346" s="15">
        <f>SUM(F3347:F3348)</f>
        <v>3</v>
      </c>
      <c r="G3346" s="14">
        <f>G3347</f>
        <v>44825</v>
      </c>
      <c r="M3346" s="13"/>
      <c r="N3346" s="13"/>
      <c r="O3346" s="13"/>
      <c r="P3346" s="13"/>
      <c r="Q3346" s="13"/>
      <c r="R3346" s="13"/>
    </row>
    <row r="3347" spans="2:18" x14ac:dyDescent="0.2">
      <c r="B3347" s="181"/>
      <c r="C3347" s="182" t="s">
        <v>7</v>
      </c>
      <c r="D3347" s="182" t="s">
        <v>2033</v>
      </c>
      <c r="E3347" s="3">
        <v>16</v>
      </c>
      <c r="F3347" s="3">
        <v>2</v>
      </c>
      <c r="G3347" s="4">
        <v>44825</v>
      </c>
    </row>
    <row r="3348" spans="2:18" x14ac:dyDescent="0.2">
      <c r="B3348" s="181"/>
      <c r="C3348" s="185" t="s">
        <v>5</v>
      </c>
      <c r="D3348" s="182" t="s">
        <v>2033</v>
      </c>
      <c r="E3348" s="3">
        <v>9.3000000000000007</v>
      </c>
      <c r="F3348" s="186">
        <v>1</v>
      </c>
      <c r="G3348" s="4">
        <v>44229</v>
      </c>
    </row>
    <row r="3349" spans="2:18" x14ac:dyDescent="0.2">
      <c r="B3349" s="181"/>
      <c r="C3349" s="185"/>
      <c r="D3349" s="182"/>
      <c r="F3349" s="186"/>
      <c r="G3349" s="4"/>
    </row>
    <row r="3350" spans="2:18" s="12" customFormat="1" x14ac:dyDescent="0.2">
      <c r="B3350" s="12" t="s">
        <v>733</v>
      </c>
      <c r="C3350" s="13" t="s">
        <v>969</v>
      </c>
      <c r="D3350" s="13" t="s">
        <v>968</v>
      </c>
      <c r="E3350" s="15"/>
      <c r="F3350" s="15">
        <f>SUM(F3351:F3352)</f>
        <v>3.0714285714285716</v>
      </c>
      <c r="G3350" s="14">
        <f>G3351</f>
        <v>44757</v>
      </c>
    </row>
    <row r="3351" spans="2:18" x14ac:dyDescent="0.2">
      <c r="C3351" s="2" t="s">
        <v>5</v>
      </c>
      <c r="D3351" s="2" t="s">
        <v>730</v>
      </c>
      <c r="E3351" s="3">
        <v>25</v>
      </c>
      <c r="F3351" s="3">
        <f>18/7</f>
        <v>2.5714285714285716</v>
      </c>
      <c r="G3351" s="4">
        <v>44757</v>
      </c>
    </row>
    <row r="3352" spans="2:18" x14ac:dyDescent="0.2">
      <c r="C3352" s="2" t="s">
        <v>4</v>
      </c>
      <c r="D3352" s="2" t="s">
        <v>730</v>
      </c>
      <c r="E3352" s="3">
        <v>4</v>
      </c>
      <c r="F3352" s="3">
        <v>0.5</v>
      </c>
      <c r="G3352" s="4">
        <v>44340</v>
      </c>
    </row>
    <row r="3354" spans="2:18" s="12" customFormat="1" x14ac:dyDescent="0.2">
      <c r="B3354" s="12" t="s">
        <v>673</v>
      </c>
      <c r="C3354" s="13" t="s">
        <v>969</v>
      </c>
      <c r="D3354" s="13" t="s">
        <v>968</v>
      </c>
      <c r="E3354" s="15"/>
      <c r="F3354" s="15">
        <f>SUM(F3355:F3357)</f>
        <v>3.3</v>
      </c>
      <c r="G3354" s="14">
        <f>G3355</f>
        <v>44389</v>
      </c>
      <c r="M3354" s="13"/>
      <c r="N3354" s="13"/>
      <c r="O3354" s="13"/>
      <c r="P3354" s="13"/>
      <c r="Q3354" s="13"/>
      <c r="R3354" s="13"/>
    </row>
    <row r="3355" spans="2:18" x14ac:dyDescent="0.2">
      <c r="C3355" s="2" t="s">
        <v>5</v>
      </c>
      <c r="D3355" s="2" t="s">
        <v>672</v>
      </c>
      <c r="E3355" s="3">
        <v>14.5</v>
      </c>
      <c r="F3355" s="3">
        <v>2.5</v>
      </c>
      <c r="G3355" s="4">
        <v>44389</v>
      </c>
      <c r="M3355" s="1"/>
      <c r="N3355" s="1"/>
      <c r="O3355" s="1"/>
      <c r="P3355" s="1"/>
      <c r="Q3355" s="1"/>
      <c r="R3355" s="1"/>
    </row>
    <row r="3356" spans="2:18" x14ac:dyDescent="0.2">
      <c r="C3356" s="2" t="s">
        <v>4</v>
      </c>
      <c r="D3356" s="2" t="s">
        <v>672</v>
      </c>
      <c r="E3356" s="3">
        <v>3</v>
      </c>
      <c r="F3356" s="3">
        <v>0.5</v>
      </c>
      <c r="G3356" s="4">
        <v>43993</v>
      </c>
      <c r="M3356" s="1"/>
      <c r="N3356" s="1"/>
      <c r="O3356" s="1"/>
      <c r="P3356" s="1"/>
      <c r="Q3356" s="1"/>
      <c r="R3356" s="1"/>
    </row>
    <row r="3357" spans="2:18" x14ac:dyDescent="0.2">
      <c r="C3357" s="141" t="s">
        <v>4</v>
      </c>
      <c r="D3357" s="141" t="s">
        <v>2060</v>
      </c>
      <c r="E3357" s="3">
        <v>2.2999999999999998</v>
      </c>
      <c r="F3357" s="3">
        <v>0.3</v>
      </c>
      <c r="G3357" s="4">
        <v>43195</v>
      </c>
      <c r="M3357" s="1"/>
      <c r="N3357" s="1"/>
      <c r="O3357" s="1"/>
      <c r="P3357" s="1"/>
      <c r="Q3357" s="1"/>
      <c r="R3357" s="1"/>
    </row>
    <row r="3358" spans="2:18" x14ac:dyDescent="0.2">
      <c r="G3358" s="4"/>
      <c r="M3358" s="1"/>
      <c r="N3358" s="1"/>
      <c r="O3358" s="1"/>
      <c r="P3358" s="1"/>
      <c r="Q3358" s="1"/>
      <c r="R3358" s="1"/>
    </row>
    <row r="3359" spans="2:18" s="12" customFormat="1" x14ac:dyDescent="0.2">
      <c r="B3359" s="12" t="s">
        <v>639</v>
      </c>
      <c r="C3359" s="13" t="s">
        <v>969</v>
      </c>
      <c r="D3359" s="13" t="s">
        <v>968</v>
      </c>
      <c r="E3359" s="15"/>
      <c r="F3359" s="15">
        <f>SUM(F3360:F3365)</f>
        <v>2.52</v>
      </c>
      <c r="G3359" s="14">
        <f>G3364</f>
        <v>44152</v>
      </c>
    </row>
    <row r="3360" spans="2:18" x14ac:dyDescent="0.2">
      <c r="C3360" s="2" t="s">
        <v>278</v>
      </c>
      <c r="D3360" s="2" t="s">
        <v>638</v>
      </c>
      <c r="E3360" s="3">
        <v>0.1</v>
      </c>
      <c r="F3360" s="3">
        <v>0.1</v>
      </c>
      <c r="G3360" s="4">
        <v>43499</v>
      </c>
      <c r="M3360" s="1"/>
      <c r="N3360" s="1"/>
      <c r="O3360" s="1"/>
      <c r="P3360" s="1"/>
      <c r="Q3360" s="1"/>
      <c r="R3360" s="1"/>
    </row>
    <row r="3361" spans="2:18" x14ac:dyDescent="0.2">
      <c r="C3361" s="2" t="s">
        <v>278</v>
      </c>
      <c r="D3361" s="2" t="s">
        <v>637</v>
      </c>
      <c r="E3361" s="3">
        <v>0.12</v>
      </c>
      <c r="F3361" s="3">
        <v>0.12</v>
      </c>
      <c r="G3361" s="4">
        <v>44082</v>
      </c>
      <c r="M3361" s="1"/>
      <c r="N3361" s="1"/>
      <c r="O3361" s="1"/>
      <c r="P3361" s="1"/>
      <c r="Q3361" s="1"/>
      <c r="R3361" s="1"/>
    </row>
    <row r="3362" spans="2:18" x14ac:dyDescent="0.2">
      <c r="C3362" s="2" t="s">
        <v>278</v>
      </c>
      <c r="D3362" s="2" t="s">
        <v>341</v>
      </c>
      <c r="G3362" s="4"/>
      <c r="M3362" s="1"/>
      <c r="N3362" s="1"/>
      <c r="O3362" s="1"/>
      <c r="P3362" s="1"/>
      <c r="Q3362" s="1"/>
      <c r="R3362" s="1"/>
    </row>
    <row r="3363" spans="2:18" x14ac:dyDescent="0.2">
      <c r="C3363" s="141" t="s">
        <v>4</v>
      </c>
      <c r="D3363" s="141" t="s">
        <v>2060</v>
      </c>
      <c r="E3363" s="3">
        <v>2.2999999999999998</v>
      </c>
      <c r="F3363" s="3">
        <v>0.3</v>
      </c>
      <c r="G3363" s="4">
        <v>43195</v>
      </c>
      <c r="M3363" s="1"/>
      <c r="N3363" s="1"/>
      <c r="O3363" s="1"/>
      <c r="P3363" s="1"/>
      <c r="Q3363" s="1"/>
      <c r="R3363" s="1"/>
    </row>
    <row r="3364" spans="2:18" x14ac:dyDescent="0.2">
      <c r="C3364" s="253" t="s">
        <v>5</v>
      </c>
      <c r="D3364" s="253" t="s">
        <v>2015</v>
      </c>
      <c r="E3364" s="3">
        <v>9</v>
      </c>
      <c r="F3364" s="3">
        <v>1</v>
      </c>
      <c r="G3364" s="4">
        <v>44152</v>
      </c>
      <c r="M3364" s="1"/>
      <c r="N3364" s="1"/>
      <c r="O3364" s="1"/>
      <c r="P3364" s="1"/>
      <c r="Q3364" s="1"/>
      <c r="R3364" s="1"/>
    </row>
    <row r="3365" spans="2:18" x14ac:dyDescent="0.2">
      <c r="C3365" s="253" t="s">
        <v>4</v>
      </c>
      <c r="D3365" s="253" t="s">
        <v>2015</v>
      </c>
      <c r="E3365" s="3">
        <v>4</v>
      </c>
      <c r="F3365" s="3">
        <v>1</v>
      </c>
      <c r="G3365" s="4">
        <v>43481</v>
      </c>
      <c r="M3365" s="1"/>
      <c r="N3365" s="1"/>
      <c r="O3365" s="1"/>
      <c r="P3365" s="1"/>
      <c r="Q3365" s="1"/>
      <c r="R3365" s="1"/>
    </row>
    <row r="3366" spans="2:18" x14ac:dyDescent="0.2">
      <c r="G3366" s="4"/>
      <c r="M3366" s="1"/>
      <c r="N3366" s="1"/>
      <c r="O3366" s="1"/>
      <c r="P3366" s="1"/>
      <c r="Q3366" s="1"/>
      <c r="R3366" s="1"/>
    </row>
    <row r="3367" spans="2:18" s="12" customFormat="1" x14ac:dyDescent="0.2">
      <c r="B3367" s="12" t="s">
        <v>353</v>
      </c>
      <c r="C3367" s="13" t="s">
        <v>969</v>
      </c>
      <c r="D3367" s="13" t="s">
        <v>968</v>
      </c>
      <c r="E3367" s="15"/>
      <c r="F3367" s="15">
        <f>SUM(F3368:F3369)</f>
        <v>3</v>
      </c>
      <c r="G3367" s="14">
        <f>G3368</f>
        <v>44861</v>
      </c>
    </row>
    <row r="3368" spans="2:18" x14ac:dyDescent="0.2">
      <c r="C3368" s="2" t="s">
        <v>7</v>
      </c>
      <c r="D3368" s="2" t="s">
        <v>351</v>
      </c>
      <c r="E3368" s="3">
        <v>22</v>
      </c>
      <c r="F3368" s="3">
        <v>2</v>
      </c>
      <c r="G3368" s="4">
        <v>44861</v>
      </c>
      <c r="M3368" s="1"/>
      <c r="N3368" s="1"/>
      <c r="O3368" s="1"/>
      <c r="P3368" s="1"/>
      <c r="Q3368" s="1"/>
      <c r="R3368" s="1"/>
    </row>
    <row r="3369" spans="2:18" x14ac:dyDescent="0.2">
      <c r="C3369" s="2" t="s">
        <v>5</v>
      </c>
      <c r="D3369" s="2" t="s">
        <v>351</v>
      </c>
      <c r="E3369" s="3">
        <v>15</v>
      </c>
      <c r="F3369" s="3">
        <v>1</v>
      </c>
      <c r="G3369" s="4">
        <v>44487</v>
      </c>
      <c r="M3369" s="1"/>
      <c r="N3369" s="1"/>
      <c r="O3369" s="1"/>
      <c r="P3369" s="1"/>
      <c r="Q3369" s="1"/>
      <c r="R3369" s="1"/>
    </row>
    <row r="3370" spans="2:18" x14ac:dyDescent="0.2">
      <c r="G3370" s="4"/>
      <c r="M3370" s="1"/>
      <c r="N3370" s="1"/>
      <c r="O3370" s="1"/>
      <c r="P3370" s="1"/>
      <c r="Q3370" s="1"/>
      <c r="R3370" s="1"/>
    </row>
    <row r="3371" spans="2:18" s="12" customFormat="1" x14ac:dyDescent="0.2">
      <c r="B3371" s="12" t="s">
        <v>732</v>
      </c>
      <c r="C3371" s="13" t="s">
        <v>969</v>
      </c>
      <c r="D3371" s="13" t="s">
        <v>968</v>
      </c>
      <c r="E3371" s="15"/>
      <c r="F3371" s="15">
        <f>SUM(F3372:F3373)</f>
        <v>3.0714285714285716</v>
      </c>
      <c r="G3371" s="14">
        <f>G3372</f>
        <v>44757</v>
      </c>
    </row>
    <row r="3372" spans="2:18" x14ac:dyDescent="0.2">
      <c r="C3372" s="2" t="s">
        <v>5</v>
      </c>
      <c r="D3372" s="2" t="s">
        <v>730</v>
      </c>
      <c r="E3372" s="3">
        <v>25</v>
      </c>
      <c r="F3372" s="3">
        <f>18/7</f>
        <v>2.5714285714285716</v>
      </c>
      <c r="G3372" s="4">
        <v>44757</v>
      </c>
    </row>
    <row r="3373" spans="2:18" x14ac:dyDescent="0.2">
      <c r="C3373" s="2" t="s">
        <v>4</v>
      </c>
      <c r="D3373" s="2" t="s">
        <v>730</v>
      </c>
      <c r="E3373" s="3">
        <v>4</v>
      </c>
      <c r="F3373" s="3">
        <v>0.5</v>
      </c>
      <c r="G3373" s="4">
        <v>44340</v>
      </c>
    </row>
    <row r="3374" spans="2:18" x14ac:dyDescent="0.2">
      <c r="G3374" s="4"/>
    </row>
    <row r="3375" spans="2:18" s="12" customFormat="1" x14ac:dyDescent="0.2">
      <c r="B3375" s="12" t="s">
        <v>726</v>
      </c>
      <c r="C3375" s="13" t="s">
        <v>969</v>
      </c>
      <c r="D3375" s="13" t="s">
        <v>968</v>
      </c>
      <c r="E3375" s="15"/>
      <c r="F3375" s="15">
        <f>SUM(F3376:F3377)</f>
        <v>2.6666666666666665</v>
      </c>
      <c r="G3375" s="14">
        <f>G3376</f>
        <v>44676</v>
      </c>
      <c r="M3375" s="13"/>
      <c r="N3375" s="13"/>
      <c r="O3375" s="13"/>
      <c r="P3375" s="13"/>
      <c r="Q3375" s="13"/>
      <c r="R3375" s="13"/>
    </row>
    <row r="3376" spans="2:18" x14ac:dyDescent="0.2">
      <c r="C3376" s="2" t="s">
        <v>5</v>
      </c>
      <c r="D3376" s="2" t="s">
        <v>725</v>
      </c>
      <c r="E3376" s="3">
        <v>20</v>
      </c>
      <c r="F3376" s="3">
        <f>13/6</f>
        <v>2.1666666666666665</v>
      </c>
      <c r="G3376" s="4">
        <v>44676</v>
      </c>
    </row>
    <row r="3377" spans="2:18" x14ac:dyDescent="0.2">
      <c r="C3377" s="2" t="s">
        <v>4</v>
      </c>
      <c r="D3377" s="2" t="s">
        <v>725</v>
      </c>
      <c r="E3377" s="3">
        <v>5</v>
      </c>
      <c r="F3377" s="3">
        <v>0.5</v>
      </c>
      <c r="G3377" s="4">
        <v>44060</v>
      </c>
    </row>
    <row r="3378" spans="2:18" x14ac:dyDescent="0.2">
      <c r="G3378" s="4"/>
    </row>
    <row r="3379" spans="2:18" s="12" customFormat="1" x14ac:dyDescent="0.2">
      <c r="B3379" s="12" t="s">
        <v>6</v>
      </c>
      <c r="C3379" s="13" t="s">
        <v>969</v>
      </c>
      <c r="D3379" s="13" t="s">
        <v>968</v>
      </c>
      <c r="E3379" s="15"/>
      <c r="F3379" s="15">
        <f>SUM(F3380:F3381)</f>
        <v>2.6666666666666665</v>
      </c>
      <c r="G3379" s="14">
        <f>G3380</f>
        <v>42828</v>
      </c>
      <c r="M3379" s="13"/>
      <c r="N3379" s="13"/>
      <c r="O3379" s="13"/>
      <c r="P3379" s="13"/>
      <c r="Q3379" s="13"/>
      <c r="R3379" s="13"/>
    </row>
    <row r="3380" spans="2:18" x14ac:dyDescent="0.2">
      <c r="C3380" s="2" t="s">
        <v>5</v>
      </c>
      <c r="D3380" s="2" t="s">
        <v>3</v>
      </c>
      <c r="E3380" s="3">
        <v>10.5</v>
      </c>
      <c r="F3380" s="3">
        <v>2</v>
      </c>
      <c r="G3380" s="4">
        <v>42828</v>
      </c>
      <c r="J3380" s="1">
        <v>2200</v>
      </c>
    </row>
    <row r="3381" spans="2:18" x14ac:dyDescent="0.2">
      <c r="C3381" s="2" t="s">
        <v>4</v>
      </c>
      <c r="D3381" s="2" t="s">
        <v>3</v>
      </c>
      <c r="E3381" s="3">
        <v>2</v>
      </c>
      <c r="F3381" s="3">
        <f>+E3381/3</f>
        <v>0.66666666666666663</v>
      </c>
      <c r="G3381" s="4">
        <v>42521</v>
      </c>
      <c r="J3381" s="1">
        <v>2200</v>
      </c>
    </row>
    <row r="3382" spans="2:18" x14ac:dyDescent="0.2">
      <c r="G3382" s="4"/>
    </row>
    <row r="3383" spans="2:18" s="12" customFormat="1" x14ac:dyDescent="0.2">
      <c r="B3383" s="12" t="s">
        <v>972</v>
      </c>
      <c r="C3383" s="13" t="s">
        <v>969</v>
      </c>
      <c r="D3383" s="13" t="s">
        <v>968</v>
      </c>
      <c r="E3383" s="15"/>
      <c r="F3383" s="15">
        <f>SUM(F3384:F3385)</f>
        <v>2.7142857142857144</v>
      </c>
      <c r="G3383" s="14">
        <f>G3384</f>
        <v>43816</v>
      </c>
      <c r="M3383" s="13"/>
      <c r="N3383" s="13"/>
      <c r="O3383" s="13"/>
      <c r="P3383" s="13"/>
      <c r="Q3383" s="13"/>
      <c r="R3383" s="13"/>
    </row>
    <row r="3384" spans="2:18" x14ac:dyDescent="0.2">
      <c r="C3384" s="2" t="s">
        <v>5</v>
      </c>
      <c r="D3384" s="2" t="s">
        <v>832</v>
      </c>
      <c r="E3384" s="3">
        <v>20</v>
      </c>
      <c r="F3384" s="3">
        <f>12/6</f>
        <v>2</v>
      </c>
      <c r="G3384" s="4">
        <v>43816</v>
      </c>
    </row>
    <row r="3385" spans="2:18" x14ac:dyDescent="0.2">
      <c r="C3385" s="2" t="s">
        <v>4</v>
      </c>
      <c r="D3385" s="2" t="s">
        <v>424</v>
      </c>
      <c r="E3385" s="3">
        <v>7</v>
      </c>
      <c r="F3385" s="3">
        <v>0.7142857142857143</v>
      </c>
      <c r="G3385" s="4">
        <v>43046</v>
      </c>
    </row>
    <row r="3386" spans="2:18" x14ac:dyDescent="0.2">
      <c r="G3386" s="4"/>
    </row>
    <row r="3387" spans="2:18" s="12" customFormat="1" x14ac:dyDescent="0.2">
      <c r="B3387" s="12" t="s">
        <v>90</v>
      </c>
      <c r="C3387" s="13" t="s">
        <v>969</v>
      </c>
      <c r="D3387" s="13" t="s">
        <v>968</v>
      </c>
      <c r="E3387" s="15"/>
      <c r="F3387" s="15">
        <f>SUM(F3388:F3389)</f>
        <v>2.2380952380952381</v>
      </c>
      <c r="G3387" s="14">
        <f>G3388</f>
        <v>43978</v>
      </c>
      <c r="M3387" s="13"/>
      <c r="N3387" s="13"/>
      <c r="O3387" s="13"/>
      <c r="P3387" s="13"/>
      <c r="Q3387" s="13"/>
      <c r="R3387" s="13"/>
    </row>
    <row r="3388" spans="2:18" x14ac:dyDescent="0.2">
      <c r="C3388" s="2" t="s">
        <v>5</v>
      </c>
      <c r="D3388" s="2" t="s">
        <v>87</v>
      </c>
      <c r="E3388" s="3">
        <v>13.5</v>
      </c>
      <c r="F3388" s="3">
        <f>10/6</f>
        <v>1.6666666666666667</v>
      </c>
      <c r="G3388" s="4">
        <v>43978</v>
      </c>
    </row>
    <row r="3389" spans="2:18" x14ac:dyDescent="0.2">
      <c r="C3389" s="2" t="s">
        <v>4</v>
      </c>
      <c r="D3389" s="2" t="s">
        <v>87</v>
      </c>
      <c r="E3389" s="3">
        <v>5.3</v>
      </c>
      <c r="F3389" s="3">
        <f>4/7</f>
        <v>0.5714285714285714</v>
      </c>
      <c r="G3389" s="4">
        <v>43398</v>
      </c>
    </row>
    <row r="3390" spans="2:18" x14ac:dyDescent="0.2">
      <c r="G3390" s="4"/>
    </row>
    <row r="3391" spans="2:18" s="12" customFormat="1" x14ac:dyDescent="0.2">
      <c r="B3391" s="12" t="s">
        <v>6416</v>
      </c>
      <c r="C3391" s="13" t="s">
        <v>969</v>
      </c>
      <c r="D3391" s="13" t="s">
        <v>968</v>
      </c>
      <c r="E3391" s="15"/>
      <c r="F3391" s="15">
        <f>SUM(F3392:F3393)</f>
        <v>1.8599999999999999</v>
      </c>
      <c r="G3391" s="14">
        <f>G3392</f>
        <v>43445</v>
      </c>
      <c r="M3391" s="13"/>
      <c r="N3391" s="13"/>
      <c r="O3391" s="13"/>
      <c r="P3391" s="13"/>
      <c r="Q3391" s="13"/>
      <c r="R3391" s="13"/>
    </row>
    <row r="3392" spans="2:18" x14ac:dyDescent="0.2">
      <c r="B3392" s="160"/>
      <c r="C3392" s="2" t="s">
        <v>5</v>
      </c>
      <c r="D3392" s="2" t="s">
        <v>2042</v>
      </c>
      <c r="E3392" s="3">
        <v>18</v>
      </c>
      <c r="F3392" s="3">
        <v>1</v>
      </c>
      <c r="G3392" s="4">
        <v>43445</v>
      </c>
    </row>
    <row r="3393" spans="2:18" x14ac:dyDescent="0.2">
      <c r="B3393" s="160"/>
      <c r="C3393" s="161" t="s">
        <v>4</v>
      </c>
      <c r="D3393" s="2" t="s">
        <v>2042</v>
      </c>
      <c r="E3393" s="3">
        <v>4.3</v>
      </c>
      <c r="F3393" s="3">
        <f>E3393/5</f>
        <v>0.86</v>
      </c>
      <c r="G3393" s="4">
        <v>43157</v>
      </c>
    </row>
    <row r="3394" spans="2:18" x14ac:dyDescent="0.2">
      <c r="B3394" s="160"/>
      <c r="G3394" s="4"/>
    </row>
    <row r="3395" spans="2:18" s="12" customFormat="1" x14ac:dyDescent="0.2">
      <c r="B3395" s="12" t="s">
        <v>91</v>
      </c>
      <c r="C3395" s="13" t="s">
        <v>969</v>
      </c>
      <c r="D3395" s="13" t="s">
        <v>968</v>
      </c>
      <c r="E3395" s="15"/>
      <c r="F3395" s="15">
        <f>SUM(F3396:F3397)</f>
        <v>2.2380952380952381</v>
      </c>
      <c r="G3395" s="14">
        <f>G3396</f>
        <v>43978</v>
      </c>
      <c r="M3395" s="13"/>
      <c r="N3395" s="13"/>
      <c r="O3395" s="13"/>
      <c r="P3395" s="13"/>
      <c r="Q3395" s="13"/>
      <c r="R3395" s="13"/>
    </row>
    <row r="3396" spans="2:18" x14ac:dyDescent="0.2">
      <c r="C3396" s="2" t="s">
        <v>5</v>
      </c>
      <c r="D3396" s="2" t="s">
        <v>87</v>
      </c>
      <c r="E3396" s="3">
        <v>13.5</v>
      </c>
      <c r="F3396" s="3">
        <f>10/6</f>
        <v>1.6666666666666667</v>
      </c>
      <c r="G3396" s="4">
        <v>43978</v>
      </c>
    </row>
    <row r="3397" spans="2:18" x14ac:dyDescent="0.2">
      <c r="C3397" s="2" t="s">
        <v>4</v>
      </c>
      <c r="D3397" s="2" t="s">
        <v>87</v>
      </c>
      <c r="E3397" s="3">
        <v>5.3</v>
      </c>
      <c r="F3397" s="3">
        <f>4/7</f>
        <v>0.5714285714285714</v>
      </c>
      <c r="G3397" s="4">
        <v>43398</v>
      </c>
    </row>
    <row r="3398" spans="2:18" x14ac:dyDescent="0.2">
      <c r="G3398" s="4"/>
    </row>
    <row r="3399" spans="2:18" s="12" customFormat="1" x14ac:dyDescent="0.2">
      <c r="B3399" s="12" t="s">
        <v>263</v>
      </c>
      <c r="C3399" s="13" t="s">
        <v>969</v>
      </c>
      <c r="D3399" s="13" t="s">
        <v>968</v>
      </c>
      <c r="E3399" s="15"/>
      <c r="F3399" s="15">
        <f>SUM(F3400:F3401)</f>
        <v>2.0555555555555558</v>
      </c>
      <c r="G3399" s="14">
        <f>G3400</f>
        <v>43690</v>
      </c>
      <c r="M3399" s="13"/>
      <c r="N3399" s="13"/>
      <c r="O3399" s="13"/>
      <c r="P3399" s="13"/>
      <c r="Q3399" s="13"/>
      <c r="R3399" s="13"/>
    </row>
    <row r="3400" spans="2:18" x14ac:dyDescent="0.2">
      <c r="C3400" s="2" t="s">
        <v>5</v>
      </c>
      <c r="D3400" s="2" t="s">
        <v>258</v>
      </c>
      <c r="E3400" s="3">
        <v>14</v>
      </c>
      <c r="F3400" s="3">
        <v>1.6666666666666667</v>
      </c>
      <c r="G3400" s="4">
        <v>43690</v>
      </c>
    </row>
    <row r="3401" spans="2:18" x14ac:dyDescent="0.2">
      <c r="C3401" s="2" t="s">
        <v>4</v>
      </c>
      <c r="D3401" s="2" t="s">
        <v>258</v>
      </c>
      <c r="E3401" s="3">
        <v>3.5</v>
      </c>
      <c r="F3401" s="3">
        <f>+E3401/9</f>
        <v>0.3888888888888889</v>
      </c>
      <c r="G3401" s="4">
        <v>42979</v>
      </c>
    </row>
    <row r="3402" spans="2:18" x14ac:dyDescent="0.2">
      <c r="G3402" s="4"/>
    </row>
    <row r="3403" spans="2:18" s="12" customFormat="1" x14ac:dyDescent="0.2">
      <c r="B3403" s="12" t="s">
        <v>713</v>
      </c>
      <c r="C3403" s="13" t="s">
        <v>969</v>
      </c>
      <c r="D3403" s="13" t="s">
        <v>968</v>
      </c>
      <c r="E3403" s="15"/>
      <c r="F3403" s="15">
        <f>SUM(F3404:F3405)</f>
        <v>2</v>
      </c>
      <c r="G3403" s="14">
        <f>G3404</f>
        <v>44679</v>
      </c>
      <c r="M3403" s="13"/>
      <c r="N3403" s="13"/>
      <c r="O3403" s="13"/>
      <c r="P3403" s="13"/>
      <c r="Q3403" s="13"/>
      <c r="R3403" s="13"/>
    </row>
    <row r="3404" spans="2:18" x14ac:dyDescent="0.2">
      <c r="C3404" s="2" t="s">
        <v>5</v>
      </c>
      <c r="D3404" s="2" t="s">
        <v>663</v>
      </c>
      <c r="E3404" s="3">
        <v>17</v>
      </c>
      <c r="F3404" s="3">
        <v>1.5</v>
      </c>
      <c r="G3404" s="4">
        <v>44679</v>
      </c>
    </row>
    <row r="3405" spans="2:18" x14ac:dyDescent="0.2">
      <c r="C3405" s="2" t="s">
        <v>4</v>
      </c>
      <c r="D3405" s="2" t="s">
        <v>663</v>
      </c>
      <c r="E3405" s="3">
        <v>4.5</v>
      </c>
      <c r="F3405" s="3">
        <v>0.5</v>
      </c>
      <c r="G3405" s="4">
        <v>44415</v>
      </c>
    </row>
    <row r="3406" spans="2:18" x14ac:dyDescent="0.2">
      <c r="G3406" s="4"/>
    </row>
    <row r="3407" spans="2:18" s="12" customFormat="1" x14ac:dyDescent="0.2">
      <c r="B3407" s="12" t="s">
        <v>6233</v>
      </c>
      <c r="C3407" s="13" t="s">
        <v>969</v>
      </c>
      <c r="D3407" s="13" t="s">
        <v>968</v>
      </c>
      <c r="E3407" s="15"/>
      <c r="F3407" s="15">
        <f>SUM(F3408:F3409)</f>
        <v>1.8</v>
      </c>
      <c r="G3407" s="14">
        <f>G3408</f>
        <v>43943</v>
      </c>
      <c r="M3407" s="13"/>
      <c r="N3407" s="13"/>
      <c r="O3407" s="13"/>
      <c r="P3407" s="13"/>
      <c r="Q3407" s="13"/>
      <c r="R3407" s="13"/>
    </row>
    <row r="3408" spans="2:18" x14ac:dyDescent="0.2">
      <c r="B3408" s="135"/>
      <c r="C3408" s="141" t="s">
        <v>4</v>
      </c>
      <c r="D3408" s="141" t="s">
        <v>2060</v>
      </c>
      <c r="E3408" s="3">
        <v>4.5</v>
      </c>
      <c r="F3408" s="3">
        <v>1.5</v>
      </c>
      <c r="G3408" s="4">
        <v>43943</v>
      </c>
    </row>
    <row r="3409" spans="2:18" x14ac:dyDescent="0.2">
      <c r="B3409" s="135"/>
      <c r="C3409" s="141" t="s">
        <v>4</v>
      </c>
      <c r="D3409" s="141" t="s">
        <v>2060</v>
      </c>
      <c r="E3409" s="3">
        <v>2.2999999999999998</v>
      </c>
      <c r="F3409" s="3">
        <v>0.3</v>
      </c>
      <c r="G3409" s="4">
        <v>43195</v>
      </c>
    </row>
    <row r="3410" spans="2:18" x14ac:dyDescent="0.2">
      <c r="B3410" s="135"/>
      <c r="C3410" s="141"/>
      <c r="D3410" s="141"/>
      <c r="G3410" s="4"/>
    </row>
    <row r="3411" spans="2:18" s="12" customFormat="1" x14ac:dyDescent="0.2">
      <c r="B3411" s="12" t="s">
        <v>600</v>
      </c>
      <c r="C3411" s="13" t="s">
        <v>969</v>
      </c>
      <c r="D3411" s="13" t="s">
        <v>968</v>
      </c>
      <c r="E3411" s="15"/>
      <c r="F3411" s="15">
        <f>SUM(F3412:F3413)</f>
        <v>1.5</v>
      </c>
      <c r="G3411" s="14">
        <f>G3413</f>
        <v>43335</v>
      </c>
    </row>
    <row r="3412" spans="2:18" x14ac:dyDescent="0.2">
      <c r="C3412" s="2" t="s">
        <v>5</v>
      </c>
      <c r="D3412" s="2" t="s">
        <v>599</v>
      </c>
      <c r="E3412" s="3">
        <v>8</v>
      </c>
      <c r="F3412" s="3">
        <v>1</v>
      </c>
      <c r="G3412" s="4">
        <v>43249</v>
      </c>
      <c r="M3412" s="1"/>
      <c r="N3412" s="1"/>
      <c r="O3412" s="1"/>
      <c r="P3412" s="1"/>
      <c r="Q3412" s="1"/>
      <c r="R3412" s="1"/>
    </row>
    <row r="3413" spans="2:18" x14ac:dyDescent="0.2">
      <c r="C3413" s="141" t="s">
        <v>4</v>
      </c>
      <c r="D3413" s="141" t="s">
        <v>6328</v>
      </c>
      <c r="E3413" s="3">
        <v>5</v>
      </c>
      <c r="F3413" s="3">
        <v>0.5</v>
      </c>
      <c r="G3413" s="4">
        <v>43335</v>
      </c>
      <c r="M3413" s="1"/>
      <c r="N3413" s="1"/>
      <c r="O3413" s="1"/>
      <c r="P3413" s="1"/>
      <c r="Q3413" s="1"/>
      <c r="R3413" s="1"/>
    </row>
    <row r="3414" spans="2:18" x14ac:dyDescent="0.2">
      <c r="C3414" s="141"/>
      <c r="D3414" s="141"/>
      <c r="G3414" s="4"/>
      <c r="M3414" s="1"/>
      <c r="N3414" s="1"/>
      <c r="O3414" s="1"/>
      <c r="P3414" s="1"/>
      <c r="Q3414" s="1"/>
      <c r="R3414" s="1"/>
    </row>
    <row r="3415" spans="2:18" s="12" customFormat="1" x14ac:dyDescent="0.2">
      <c r="B3415" s="12" t="s">
        <v>440</v>
      </c>
      <c r="C3415" s="13" t="s">
        <v>969</v>
      </c>
      <c r="D3415" s="13" t="s">
        <v>968</v>
      </c>
      <c r="E3415" s="15"/>
      <c r="F3415" s="15">
        <f>SUM(F3416:F3417)</f>
        <v>1.6</v>
      </c>
      <c r="G3415" s="14">
        <f>G3416</f>
        <v>44602</v>
      </c>
    </row>
    <row r="3416" spans="2:18" x14ac:dyDescent="0.2">
      <c r="C3416" s="2" t="s">
        <v>4</v>
      </c>
      <c r="D3416" s="2" t="s">
        <v>439</v>
      </c>
      <c r="E3416" s="3">
        <v>7</v>
      </c>
      <c r="F3416" s="3">
        <v>0.5</v>
      </c>
      <c r="G3416" s="4">
        <v>44602</v>
      </c>
      <c r="M3416" s="1"/>
      <c r="N3416" s="1"/>
      <c r="O3416" s="1"/>
      <c r="P3416" s="1"/>
      <c r="Q3416" s="1"/>
      <c r="R3416" s="1"/>
    </row>
    <row r="3417" spans="2:18" x14ac:dyDescent="0.2">
      <c r="C3417" s="2" t="s">
        <v>278</v>
      </c>
      <c r="D3417" s="2" t="s">
        <v>439</v>
      </c>
      <c r="E3417" s="3">
        <v>1.1000000000000001</v>
      </c>
      <c r="F3417" s="3">
        <v>1.1000000000000001</v>
      </c>
      <c r="G3417" s="4">
        <v>44061</v>
      </c>
      <c r="M3417" s="1"/>
      <c r="N3417" s="1"/>
      <c r="O3417" s="1"/>
      <c r="P3417" s="1"/>
      <c r="Q3417" s="1"/>
      <c r="R3417" s="1"/>
    </row>
    <row r="3418" spans="2:18" x14ac:dyDescent="0.2">
      <c r="G3418" s="4"/>
      <c r="M3418" s="1"/>
      <c r="N3418" s="1"/>
      <c r="O3418" s="1"/>
      <c r="P3418" s="1"/>
      <c r="Q3418" s="1"/>
      <c r="R3418" s="1"/>
    </row>
    <row r="3419" spans="2:18" s="12" customFormat="1" x14ac:dyDescent="0.2">
      <c r="B3419" s="12" t="s">
        <v>577</v>
      </c>
      <c r="C3419" s="13" t="s">
        <v>969</v>
      </c>
      <c r="D3419" s="13" t="s">
        <v>968</v>
      </c>
      <c r="E3419" s="15"/>
      <c r="F3419" s="15">
        <f>SUM(F3420:F3421)</f>
        <v>1.5</v>
      </c>
      <c r="G3419" s="14">
        <f>G3421</f>
        <v>45037</v>
      </c>
    </row>
    <row r="3420" spans="2:18" x14ac:dyDescent="0.2">
      <c r="C3420" s="2" t="s">
        <v>4</v>
      </c>
      <c r="D3420" s="2" t="s">
        <v>573</v>
      </c>
      <c r="E3420" s="3">
        <v>10</v>
      </c>
      <c r="F3420" s="3">
        <v>1</v>
      </c>
      <c r="G3420" s="4">
        <v>44887</v>
      </c>
      <c r="M3420" s="1"/>
      <c r="N3420" s="1"/>
      <c r="O3420" s="1"/>
      <c r="P3420" s="1"/>
      <c r="Q3420" s="1"/>
      <c r="R3420" s="1"/>
    </row>
    <row r="3421" spans="2:18" x14ac:dyDescent="0.2">
      <c r="C3421" s="2" t="s">
        <v>4</v>
      </c>
      <c r="D3421" s="2" t="s">
        <v>509</v>
      </c>
      <c r="E3421" s="3">
        <v>3</v>
      </c>
      <c r="F3421" s="3">
        <v>0.5</v>
      </c>
      <c r="G3421" s="4">
        <v>45037</v>
      </c>
      <c r="M3421" s="1"/>
      <c r="N3421" s="1"/>
      <c r="O3421" s="1"/>
      <c r="P3421" s="1"/>
      <c r="Q3421" s="1"/>
      <c r="R3421" s="1"/>
    </row>
    <row r="3422" spans="2:18" x14ac:dyDescent="0.2">
      <c r="G3422" s="4"/>
      <c r="M3422" s="1"/>
      <c r="N3422" s="1"/>
      <c r="O3422" s="1"/>
      <c r="P3422" s="1"/>
      <c r="Q3422" s="1"/>
      <c r="R3422" s="1"/>
    </row>
    <row r="3423" spans="2:18" s="12" customFormat="1" x14ac:dyDescent="0.2">
      <c r="B3423" s="12" t="s">
        <v>486</v>
      </c>
      <c r="C3423" s="13" t="s">
        <v>969</v>
      </c>
      <c r="D3423" s="13" t="s">
        <v>968</v>
      </c>
      <c r="E3423" s="15"/>
      <c r="F3423" s="15">
        <f>SUM(F3424:F3427)</f>
        <v>7.0111111111111111</v>
      </c>
      <c r="G3423" s="14">
        <f>G3424</f>
        <v>44516</v>
      </c>
    </row>
    <row r="3424" spans="2:18" x14ac:dyDescent="0.2">
      <c r="C3424" s="2" t="s">
        <v>5</v>
      </c>
      <c r="D3424" s="2" t="s">
        <v>483</v>
      </c>
      <c r="E3424" s="3">
        <v>13</v>
      </c>
      <c r="F3424" s="3">
        <v>1.4</v>
      </c>
      <c r="G3424" s="4">
        <v>44516</v>
      </c>
      <c r="M3424" s="1"/>
      <c r="N3424" s="1"/>
      <c r="O3424" s="1"/>
      <c r="P3424" s="1"/>
      <c r="Q3424" s="1"/>
      <c r="R3424" s="1"/>
    </row>
    <row r="3425" spans="2:18" x14ac:dyDescent="0.2">
      <c r="C3425" s="55" t="s">
        <v>5</v>
      </c>
      <c r="D3425" s="55" t="s">
        <v>5013</v>
      </c>
      <c r="E3425" s="3">
        <v>3</v>
      </c>
      <c r="F3425" s="3">
        <f>2/3</f>
        <v>0.66666666666666663</v>
      </c>
      <c r="G3425" s="4">
        <v>42220</v>
      </c>
      <c r="M3425" s="1"/>
      <c r="N3425" s="1"/>
      <c r="O3425" s="1"/>
      <c r="P3425" s="1"/>
      <c r="Q3425" s="1"/>
      <c r="R3425" s="1"/>
    </row>
    <row r="3426" spans="2:18" x14ac:dyDescent="0.2">
      <c r="C3426" s="161" t="s">
        <v>7</v>
      </c>
      <c r="D3426" s="161" t="s">
        <v>2049</v>
      </c>
      <c r="E3426" s="3">
        <v>50</v>
      </c>
      <c r="F3426" s="3">
        <f>40/9</f>
        <v>4.4444444444444446</v>
      </c>
      <c r="G3426" s="4">
        <v>44252</v>
      </c>
      <c r="M3426" s="1"/>
      <c r="N3426" s="1"/>
      <c r="O3426" s="1"/>
      <c r="P3426" s="1"/>
      <c r="Q3426" s="1"/>
      <c r="R3426" s="1"/>
    </row>
    <row r="3427" spans="2:18" x14ac:dyDescent="0.2">
      <c r="C3427" s="161" t="s">
        <v>4</v>
      </c>
      <c r="D3427" s="161" t="s">
        <v>2049</v>
      </c>
      <c r="E3427" s="3">
        <v>3</v>
      </c>
      <c r="F3427" s="3">
        <f>2/4</f>
        <v>0.5</v>
      </c>
      <c r="G3427" s="4">
        <v>42628</v>
      </c>
      <c r="M3427" s="1"/>
      <c r="N3427" s="1"/>
      <c r="O3427" s="1"/>
      <c r="P3427" s="1"/>
      <c r="Q3427" s="1"/>
      <c r="R3427" s="1"/>
    </row>
    <row r="3428" spans="2:18" x14ac:dyDescent="0.2">
      <c r="G3428" s="4"/>
      <c r="M3428" s="1"/>
      <c r="N3428" s="1"/>
      <c r="O3428" s="1"/>
      <c r="P3428" s="1"/>
      <c r="Q3428" s="1"/>
      <c r="R3428" s="1"/>
    </row>
    <row r="3429" spans="2:18" s="12" customFormat="1" x14ac:dyDescent="0.2">
      <c r="B3429" s="12" t="s">
        <v>711</v>
      </c>
      <c r="C3429" s="13" t="s">
        <v>969</v>
      </c>
      <c r="D3429" s="13" t="s">
        <v>968</v>
      </c>
      <c r="E3429" s="15"/>
      <c r="F3429" s="15">
        <f>SUM(F3430:F3431)</f>
        <v>2</v>
      </c>
      <c r="G3429" s="14">
        <f>G3430</f>
        <v>44679</v>
      </c>
      <c r="M3429" s="13"/>
      <c r="N3429" s="13"/>
      <c r="O3429" s="13"/>
      <c r="P3429" s="13"/>
      <c r="Q3429" s="13"/>
      <c r="R3429" s="13"/>
    </row>
    <row r="3430" spans="2:18" x14ac:dyDescent="0.2">
      <c r="C3430" s="2" t="s">
        <v>5</v>
      </c>
      <c r="D3430" s="2" t="s">
        <v>663</v>
      </c>
      <c r="E3430" s="3">
        <v>17</v>
      </c>
      <c r="F3430" s="3">
        <v>1.5</v>
      </c>
      <c r="G3430" s="4">
        <v>44679</v>
      </c>
    </row>
    <row r="3431" spans="2:18" x14ac:dyDescent="0.2">
      <c r="C3431" s="2" t="s">
        <v>4</v>
      </c>
      <c r="D3431" s="2" t="s">
        <v>663</v>
      </c>
      <c r="E3431" s="3">
        <v>4.5</v>
      </c>
      <c r="F3431" s="3">
        <v>0.5</v>
      </c>
      <c r="G3431" s="4">
        <v>44415</v>
      </c>
    </row>
    <row r="3432" spans="2:18" x14ac:dyDescent="0.2">
      <c r="G3432" s="4"/>
    </row>
    <row r="3433" spans="2:18" s="12" customFormat="1" x14ac:dyDescent="0.2">
      <c r="B3433" s="12" t="s">
        <v>712</v>
      </c>
      <c r="C3433" s="13" t="s">
        <v>969</v>
      </c>
      <c r="D3433" s="13" t="s">
        <v>968</v>
      </c>
      <c r="E3433" s="15"/>
      <c r="F3433" s="15">
        <f>SUM(F3434:F3435)</f>
        <v>2</v>
      </c>
      <c r="G3433" s="14">
        <f>G3434</f>
        <v>44679</v>
      </c>
      <c r="M3433" s="13"/>
      <c r="N3433" s="13"/>
      <c r="O3433" s="13"/>
      <c r="P3433" s="13"/>
      <c r="Q3433" s="13"/>
      <c r="R3433" s="13"/>
    </row>
    <row r="3434" spans="2:18" x14ac:dyDescent="0.2">
      <c r="C3434" s="2" t="s">
        <v>5</v>
      </c>
      <c r="D3434" s="2" t="s">
        <v>663</v>
      </c>
      <c r="E3434" s="3">
        <v>17</v>
      </c>
      <c r="F3434" s="3">
        <v>1.5</v>
      </c>
      <c r="G3434" s="4">
        <v>44679</v>
      </c>
    </row>
    <row r="3435" spans="2:18" x14ac:dyDescent="0.2">
      <c r="C3435" s="2" t="s">
        <v>4</v>
      </c>
      <c r="D3435" s="2" t="s">
        <v>663</v>
      </c>
      <c r="E3435" s="3">
        <v>4.5</v>
      </c>
      <c r="F3435" s="3">
        <v>0.5</v>
      </c>
      <c r="G3435" s="4">
        <v>44415</v>
      </c>
    </row>
    <row r="3436" spans="2:18" x14ac:dyDescent="0.2">
      <c r="G3436" s="4"/>
    </row>
    <row r="3437" spans="2:18" s="12" customFormat="1" x14ac:dyDescent="0.2">
      <c r="B3437" s="12" t="s">
        <v>714</v>
      </c>
      <c r="C3437" s="13" t="s">
        <v>969</v>
      </c>
      <c r="D3437" s="13" t="s">
        <v>968</v>
      </c>
      <c r="E3437" s="15"/>
      <c r="F3437" s="15">
        <f>SUM(F3438:F3439)</f>
        <v>2</v>
      </c>
      <c r="G3437" s="14">
        <f>G3438</f>
        <v>44679</v>
      </c>
      <c r="M3437" s="13"/>
      <c r="N3437" s="13"/>
      <c r="O3437" s="13"/>
      <c r="P3437" s="13"/>
      <c r="Q3437" s="13"/>
      <c r="R3437" s="13"/>
    </row>
    <row r="3438" spans="2:18" x14ac:dyDescent="0.2">
      <c r="C3438" s="2" t="s">
        <v>5</v>
      </c>
      <c r="D3438" s="2" t="s">
        <v>663</v>
      </c>
      <c r="E3438" s="3">
        <v>17</v>
      </c>
      <c r="F3438" s="3">
        <v>1.5</v>
      </c>
      <c r="G3438" s="4">
        <v>44679</v>
      </c>
    </row>
    <row r="3439" spans="2:18" x14ac:dyDescent="0.2">
      <c r="C3439" s="2" t="s">
        <v>4</v>
      </c>
      <c r="D3439" s="2" t="s">
        <v>663</v>
      </c>
      <c r="E3439" s="3">
        <v>4.5</v>
      </c>
      <c r="F3439" s="3">
        <v>0.5</v>
      </c>
      <c r="G3439" s="4">
        <v>44415</v>
      </c>
    </row>
    <row r="3440" spans="2:18" x14ac:dyDescent="0.2">
      <c r="G3440" s="4"/>
    </row>
    <row r="3441" spans="2:18" s="12" customFormat="1" x14ac:dyDescent="0.2">
      <c r="B3441" s="12" t="s">
        <v>774</v>
      </c>
      <c r="C3441" s="13" t="s">
        <v>969</v>
      </c>
      <c r="D3441" s="13" t="s">
        <v>968</v>
      </c>
      <c r="E3441" s="15"/>
      <c r="F3441" s="15">
        <f>SUM(F3442:F3444)</f>
        <v>3</v>
      </c>
      <c r="G3441" s="14">
        <f>G3442</f>
        <v>44488</v>
      </c>
    </row>
    <row r="3442" spans="2:18" x14ac:dyDescent="0.2">
      <c r="C3442" s="2" t="s">
        <v>4</v>
      </c>
      <c r="D3442" s="2" t="s">
        <v>773</v>
      </c>
      <c r="E3442" s="3">
        <v>5.5</v>
      </c>
      <c r="F3442" s="3">
        <v>1</v>
      </c>
      <c r="G3442" s="4">
        <v>44488</v>
      </c>
      <c r="M3442" s="1"/>
      <c r="N3442" s="1"/>
      <c r="O3442" s="1"/>
      <c r="P3442" s="1"/>
      <c r="Q3442" s="1"/>
      <c r="R3442" s="1"/>
    </row>
    <row r="3443" spans="2:18" x14ac:dyDescent="0.2">
      <c r="C3443" s="141" t="s">
        <v>4</v>
      </c>
      <c r="D3443" s="141" t="s">
        <v>6298</v>
      </c>
      <c r="E3443" s="3">
        <v>3.5</v>
      </c>
      <c r="F3443" s="3">
        <v>1</v>
      </c>
      <c r="G3443" s="4">
        <v>43831</v>
      </c>
      <c r="M3443" s="1"/>
      <c r="N3443" s="1"/>
      <c r="O3443" s="1"/>
      <c r="P3443" s="1"/>
      <c r="Q3443" s="1"/>
      <c r="R3443" s="1"/>
    </row>
    <row r="3444" spans="2:18" x14ac:dyDescent="0.2">
      <c r="C3444" s="141" t="s">
        <v>4</v>
      </c>
      <c r="D3444" s="141" t="s">
        <v>2018</v>
      </c>
      <c r="E3444" s="3">
        <v>3</v>
      </c>
      <c r="F3444" s="3">
        <v>1</v>
      </c>
      <c r="G3444" s="4">
        <v>44452</v>
      </c>
      <c r="M3444" s="1"/>
      <c r="N3444" s="1"/>
      <c r="O3444" s="1"/>
      <c r="P3444" s="1"/>
      <c r="Q3444" s="1"/>
      <c r="R3444" s="1"/>
    </row>
    <row r="3445" spans="2:18" x14ac:dyDescent="0.2">
      <c r="C3445" s="141"/>
      <c r="D3445" s="141"/>
      <c r="G3445" s="4"/>
      <c r="M3445" s="1"/>
      <c r="N3445" s="1"/>
      <c r="O3445" s="1"/>
      <c r="P3445" s="1"/>
      <c r="Q3445" s="1"/>
      <c r="R3445" s="1"/>
    </row>
    <row r="3446" spans="2:18" s="12" customFormat="1" x14ac:dyDescent="0.2">
      <c r="B3446" s="12" t="s">
        <v>293</v>
      </c>
      <c r="C3446" s="13" t="s">
        <v>969</v>
      </c>
      <c r="D3446" s="13" t="s">
        <v>968</v>
      </c>
      <c r="E3446" s="15"/>
      <c r="F3446" s="15">
        <f>SUM(F3447:F3448)</f>
        <v>1.8050000000000002</v>
      </c>
      <c r="G3446" s="14">
        <f>G3447</f>
        <v>42458</v>
      </c>
      <c r="M3446" s="13"/>
      <c r="N3446" s="13"/>
      <c r="O3446" s="13"/>
      <c r="P3446" s="13"/>
      <c r="Q3446" s="13"/>
      <c r="R3446" s="13"/>
    </row>
    <row r="3447" spans="2:18" x14ac:dyDescent="0.2">
      <c r="C3447" s="2" t="s">
        <v>7</v>
      </c>
      <c r="D3447" s="2" t="s">
        <v>292</v>
      </c>
      <c r="E3447" s="3">
        <v>6.9</v>
      </c>
      <c r="F3447" s="3">
        <f>E3447/5</f>
        <v>1.3800000000000001</v>
      </c>
      <c r="G3447" s="4">
        <v>42458</v>
      </c>
    </row>
    <row r="3448" spans="2:18" x14ac:dyDescent="0.2">
      <c r="C3448" s="2" t="s">
        <v>5</v>
      </c>
      <c r="D3448" s="2" t="s">
        <v>292</v>
      </c>
      <c r="E3448" s="3">
        <v>2.7</v>
      </c>
      <c r="F3448" s="3">
        <f>1.7/4</f>
        <v>0.42499999999999999</v>
      </c>
      <c r="G3448" s="4">
        <v>42139</v>
      </c>
    </row>
    <row r="3449" spans="2:18" x14ac:dyDescent="0.2">
      <c r="G3449" s="4"/>
    </row>
    <row r="3450" spans="2:18" s="12" customFormat="1" x14ac:dyDescent="0.2">
      <c r="B3450" s="12" t="s">
        <v>715</v>
      </c>
      <c r="C3450" s="13" t="s">
        <v>969</v>
      </c>
      <c r="D3450" s="13" t="s">
        <v>968</v>
      </c>
      <c r="E3450" s="15"/>
      <c r="F3450" s="15">
        <f>SUM(F3451:F3452)</f>
        <v>2</v>
      </c>
      <c r="G3450" s="14">
        <f>G3451</f>
        <v>44679</v>
      </c>
      <c r="M3450" s="13"/>
      <c r="N3450" s="13"/>
      <c r="O3450" s="13"/>
      <c r="P3450" s="13"/>
      <c r="Q3450" s="13"/>
      <c r="R3450" s="13"/>
    </row>
    <row r="3451" spans="2:18" x14ac:dyDescent="0.2">
      <c r="C3451" s="2" t="s">
        <v>5</v>
      </c>
      <c r="D3451" s="2" t="s">
        <v>663</v>
      </c>
      <c r="E3451" s="3">
        <v>17</v>
      </c>
      <c r="F3451" s="3">
        <v>1.5</v>
      </c>
      <c r="G3451" s="4">
        <v>44679</v>
      </c>
    </row>
    <row r="3452" spans="2:18" x14ac:dyDescent="0.2">
      <c r="C3452" s="2" t="s">
        <v>4</v>
      </c>
      <c r="D3452" s="2" t="s">
        <v>663</v>
      </c>
      <c r="E3452" s="3">
        <v>4.5</v>
      </c>
      <c r="F3452" s="3">
        <v>0.5</v>
      </c>
      <c r="G3452" s="4">
        <v>44415</v>
      </c>
    </row>
    <row r="3453" spans="2:18" x14ac:dyDescent="0.2">
      <c r="G3453" s="4"/>
    </row>
    <row r="3454" spans="2:18" s="12" customFormat="1" x14ac:dyDescent="0.2">
      <c r="B3454" s="12" t="s">
        <v>6427</v>
      </c>
      <c r="C3454" s="13" t="s">
        <v>969</v>
      </c>
      <c r="D3454" s="13" t="s">
        <v>968</v>
      </c>
      <c r="E3454" s="15"/>
      <c r="F3454" s="15">
        <f>SUM(F3455:F3456)</f>
        <v>1.7</v>
      </c>
      <c r="G3454" s="14">
        <f>G3455</f>
        <v>44179</v>
      </c>
      <c r="M3454" s="13"/>
      <c r="N3454" s="13"/>
      <c r="O3454" s="13"/>
      <c r="P3454" s="13"/>
      <c r="Q3454" s="13"/>
      <c r="R3454" s="13"/>
    </row>
    <row r="3455" spans="2:18" x14ac:dyDescent="0.2">
      <c r="B3455" s="160"/>
      <c r="C3455" s="161" t="s">
        <v>5</v>
      </c>
      <c r="D3455" s="161" t="s">
        <v>6424</v>
      </c>
      <c r="E3455" s="3">
        <v>8</v>
      </c>
      <c r="F3455" s="3">
        <f>6/5</f>
        <v>1.2</v>
      </c>
      <c r="G3455" s="4">
        <v>44179</v>
      </c>
    </row>
    <row r="3456" spans="2:18" x14ac:dyDescent="0.2">
      <c r="B3456" s="160"/>
      <c r="C3456" s="161" t="s">
        <v>4</v>
      </c>
      <c r="D3456" s="161" t="s">
        <v>6424</v>
      </c>
      <c r="E3456" s="3">
        <v>2</v>
      </c>
      <c r="F3456" s="3">
        <f>E3456/4</f>
        <v>0.5</v>
      </c>
      <c r="G3456" s="4">
        <v>43430</v>
      </c>
    </row>
    <row r="3457" spans="2:18" x14ac:dyDescent="0.2">
      <c r="B3457" s="160"/>
      <c r="C3457" s="161"/>
      <c r="D3457" s="161"/>
      <c r="G3457" s="4"/>
    </row>
    <row r="3458" spans="2:18" s="12" customFormat="1" x14ac:dyDescent="0.2">
      <c r="B3458" s="12" t="s">
        <v>88</v>
      </c>
      <c r="C3458" s="13" t="s">
        <v>969</v>
      </c>
      <c r="D3458" s="13" t="s">
        <v>968</v>
      </c>
      <c r="E3458" s="15"/>
      <c r="F3458" s="15">
        <f>SUM(F3459:F3462)</f>
        <v>1.9464285714285714</v>
      </c>
      <c r="G3458" s="14">
        <f>G3462</f>
        <v>43522</v>
      </c>
      <c r="M3458" s="13"/>
      <c r="N3458" s="13"/>
      <c r="O3458" s="13"/>
      <c r="P3458" s="13"/>
      <c r="Q3458" s="13"/>
      <c r="R3458" s="13"/>
    </row>
    <row r="3459" spans="2:18" x14ac:dyDescent="0.2">
      <c r="C3459" s="2" t="s">
        <v>4</v>
      </c>
      <c r="D3459" s="2" t="s">
        <v>87</v>
      </c>
      <c r="E3459" s="3">
        <v>5.3</v>
      </c>
      <c r="F3459" s="3">
        <f>4/7</f>
        <v>0.5714285714285714</v>
      </c>
      <c r="G3459" s="4">
        <v>43398</v>
      </c>
    </row>
    <row r="3460" spans="2:18" x14ac:dyDescent="0.2">
      <c r="C3460" s="2" t="s">
        <v>4</v>
      </c>
      <c r="D3460" s="2" t="s">
        <v>87</v>
      </c>
      <c r="E3460" s="3">
        <v>4</v>
      </c>
      <c r="F3460" s="3">
        <f>2.5/4</f>
        <v>0.625</v>
      </c>
      <c r="G3460" s="4">
        <v>43122</v>
      </c>
    </row>
    <row r="3461" spans="2:18" x14ac:dyDescent="0.2">
      <c r="C3461" s="141" t="s">
        <v>4</v>
      </c>
      <c r="D3461" s="141" t="s">
        <v>6328</v>
      </c>
      <c r="E3461" s="3">
        <v>5</v>
      </c>
      <c r="F3461" s="3">
        <v>0.5</v>
      </c>
      <c r="G3461" s="4">
        <v>43335</v>
      </c>
    </row>
    <row r="3462" spans="2:18" x14ac:dyDescent="0.2">
      <c r="C3462" s="185" t="s">
        <v>4</v>
      </c>
      <c r="D3462" s="185" t="s">
        <v>2033</v>
      </c>
      <c r="E3462" s="3">
        <v>2</v>
      </c>
      <c r="F3462" s="3">
        <f>1.5/6</f>
        <v>0.25</v>
      </c>
      <c r="G3462" s="4">
        <v>43522</v>
      </c>
    </row>
    <row r="3463" spans="2:18" x14ac:dyDescent="0.2">
      <c r="G3463" s="4"/>
    </row>
    <row r="3464" spans="2:18" s="12" customFormat="1" x14ac:dyDescent="0.2">
      <c r="B3464" s="12" t="s">
        <v>755</v>
      </c>
      <c r="C3464" s="13" t="s">
        <v>969</v>
      </c>
      <c r="D3464" s="13" t="s">
        <v>968</v>
      </c>
      <c r="E3464" s="15"/>
      <c r="F3464" s="15">
        <f>SUM(F3465:F3466)</f>
        <v>1</v>
      </c>
      <c r="G3464" s="14">
        <f>G3466</f>
        <v>44434</v>
      </c>
    </row>
    <row r="3465" spans="2:18" x14ac:dyDescent="0.2">
      <c r="C3465" s="2" t="s">
        <v>4</v>
      </c>
      <c r="D3465" s="2" t="s">
        <v>672</v>
      </c>
      <c r="E3465" s="3">
        <v>3</v>
      </c>
      <c r="F3465" s="3">
        <v>0.5</v>
      </c>
      <c r="G3465" s="4">
        <v>43993</v>
      </c>
      <c r="M3465" s="1"/>
      <c r="N3465" s="1"/>
      <c r="O3465" s="1"/>
      <c r="P3465" s="1"/>
      <c r="Q3465" s="1"/>
      <c r="R3465" s="1"/>
    </row>
    <row r="3466" spans="2:18" x14ac:dyDescent="0.2">
      <c r="C3466" s="2" t="s">
        <v>4</v>
      </c>
      <c r="D3466" s="2" t="s">
        <v>122</v>
      </c>
      <c r="E3466" s="3">
        <v>4.5</v>
      </c>
      <c r="F3466" s="3">
        <v>0.5</v>
      </c>
      <c r="G3466" s="4">
        <v>44434</v>
      </c>
      <c r="M3466" s="1"/>
      <c r="N3466" s="1"/>
      <c r="O3466" s="1"/>
      <c r="P3466" s="1"/>
      <c r="Q3466" s="1"/>
      <c r="R3466" s="1"/>
    </row>
    <row r="3467" spans="2:18" x14ac:dyDescent="0.2">
      <c r="G3467" s="4"/>
      <c r="M3467" s="1"/>
      <c r="N3467" s="1"/>
      <c r="O3467" s="1"/>
      <c r="P3467" s="1"/>
      <c r="Q3467" s="1"/>
      <c r="R3467" s="1"/>
    </row>
    <row r="3468" spans="2:18" s="12" customFormat="1" x14ac:dyDescent="0.2">
      <c r="B3468" s="12" t="s">
        <v>155</v>
      </c>
      <c r="C3468" s="13" t="s">
        <v>969</v>
      </c>
      <c r="D3468" s="13" t="s">
        <v>968</v>
      </c>
      <c r="E3468" s="15"/>
      <c r="F3468" s="15">
        <f>SUM(F3469:F3471)</f>
        <v>1.2000000000000002</v>
      </c>
      <c r="G3468" s="14">
        <f>G3470</f>
        <v>42370</v>
      </c>
      <c r="M3468" s="13"/>
      <c r="N3468" s="13"/>
      <c r="O3468" s="13"/>
      <c r="P3468" s="13"/>
      <c r="Q3468" s="13"/>
      <c r="R3468" s="13"/>
    </row>
    <row r="3469" spans="2:18" x14ac:dyDescent="0.2">
      <c r="C3469" s="2" t="s">
        <v>4</v>
      </c>
      <c r="D3469" s="2" t="s">
        <v>154</v>
      </c>
      <c r="E3469" s="3">
        <v>4</v>
      </c>
      <c r="F3469" s="3">
        <v>1</v>
      </c>
      <c r="G3469" s="4">
        <v>42023</v>
      </c>
    </row>
    <row r="3470" spans="2:18" x14ac:dyDescent="0.2">
      <c r="C3470" s="2" t="s">
        <v>4</v>
      </c>
      <c r="D3470" s="2" t="s">
        <v>15</v>
      </c>
      <c r="E3470" s="3">
        <v>0.1</v>
      </c>
      <c r="F3470" s="3">
        <v>0.1</v>
      </c>
      <c r="G3470" s="4">
        <v>42370</v>
      </c>
    </row>
    <row r="3471" spans="2:18" x14ac:dyDescent="0.2">
      <c r="C3471" s="2" t="s">
        <v>4</v>
      </c>
      <c r="D3471" s="2" t="s">
        <v>15</v>
      </c>
      <c r="E3471" s="3">
        <v>0.1</v>
      </c>
      <c r="F3471" s="3">
        <v>0.1</v>
      </c>
      <c r="G3471" s="4">
        <v>41549</v>
      </c>
    </row>
    <row r="3472" spans="2:18" x14ac:dyDescent="0.2">
      <c r="G3472" s="4"/>
    </row>
    <row r="3473" spans="2:18" s="12" customFormat="1" x14ac:dyDescent="0.2">
      <c r="B3473" s="12" t="s">
        <v>970</v>
      </c>
      <c r="C3473" s="13" t="s">
        <v>969</v>
      </c>
      <c r="D3473" s="13" t="s">
        <v>968</v>
      </c>
      <c r="E3473" s="15"/>
      <c r="F3473" s="15">
        <f>SUM(F3474:F3475)</f>
        <v>1.4</v>
      </c>
      <c r="G3473" s="14">
        <f>G3474</f>
        <v>44994</v>
      </c>
      <c r="M3473" s="13"/>
      <c r="N3473" s="13"/>
      <c r="O3473" s="13"/>
      <c r="P3473" s="13"/>
      <c r="Q3473" s="13"/>
      <c r="R3473" s="13"/>
    </row>
    <row r="3474" spans="2:18" x14ac:dyDescent="0.2">
      <c r="C3474" s="2" t="s">
        <v>4</v>
      </c>
      <c r="D3474" s="2" t="s">
        <v>745</v>
      </c>
      <c r="E3474" s="3">
        <v>2.8</v>
      </c>
      <c r="F3474" s="3">
        <v>1</v>
      </c>
      <c r="G3474" s="4">
        <v>44994</v>
      </c>
    </row>
    <row r="3475" spans="2:18" x14ac:dyDescent="0.2">
      <c r="C3475" s="2" t="s">
        <v>4</v>
      </c>
      <c r="D3475" s="2" t="s">
        <v>745</v>
      </c>
      <c r="E3475" s="3">
        <v>2.6</v>
      </c>
      <c r="F3475" s="3">
        <f>1.6/4</f>
        <v>0.4</v>
      </c>
      <c r="G3475" s="4">
        <v>44147</v>
      </c>
    </row>
    <row r="3477" spans="2:18" s="12" customFormat="1" x14ac:dyDescent="0.2">
      <c r="B3477" s="12" t="s">
        <v>388</v>
      </c>
      <c r="C3477" s="13" t="s">
        <v>969</v>
      </c>
      <c r="D3477" s="13" t="s">
        <v>968</v>
      </c>
      <c r="E3477" s="15"/>
      <c r="F3477" s="15">
        <f>SUM(F3478:F3479)</f>
        <v>1.355</v>
      </c>
      <c r="G3477" s="14">
        <f>G3478</f>
        <v>42156</v>
      </c>
    </row>
    <row r="3478" spans="2:18" x14ac:dyDescent="0.2">
      <c r="C3478" s="2" t="s">
        <v>5</v>
      </c>
      <c r="D3478" s="2" t="s">
        <v>386</v>
      </c>
      <c r="E3478" s="3">
        <v>5.5</v>
      </c>
      <c r="F3478" s="3">
        <v>1</v>
      </c>
      <c r="G3478" s="4">
        <v>42156</v>
      </c>
      <c r="M3478" s="1"/>
      <c r="N3478" s="1"/>
      <c r="O3478" s="1"/>
      <c r="P3478" s="1"/>
      <c r="Q3478" s="1"/>
      <c r="R3478" s="1"/>
    </row>
    <row r="3479" spans="2:18" x14ac:dyDescent="0.2">
      <c r="C3479" s="2" t="s">
        <v>4</v>
      </c>
      <c r="D3479" s="2" t="s">
        <v>386</v>
      </c>
      <c r="E3479" s="3">
        <v>0.71</v>
      </c>
      <c r="F3479" s="3">
        <f>+E3479/2</f>
        <v>0.35499999999999998</v>
      </c>
      <c r="G3479" s="4">
        <v>41730</v>
      </c>
      <c r="M3479" s="1"/>
      <c r="N3479" s="1"/>
      <c r="O3479" s="1"/>
      <c r="P3479" s="1"/>
      <c r="Q3479" s="1"/>
      <c r="R3479" s="1"/>
    </row>
    <row r="3480" spans="2:18" x14ac:dyDescent="0.2">
      <c r="G3480" s="4"/>
      <c r="M3480" s="1"/>
      <c r="N3480" s="1"/>
      <c r="O3480" s="1"/>
      <c r="P3480" s="1"/>
      <c r="Q3480" s="1"/>
      <c r="R3480" s="1"/>
    </row>
    <row r="3481" spans="2:18" s="12" customFormat="1" x14ac:dyDescent="0.2">
      <c r="B3481" s="12" t="s">
        <v>621</v>
      </c>
      <c r="C3481" s="13" t="s">
        <v>969</v>
      </c>
      <c r="D3481" s="13" t="s">
        <v>968</v>
      </c>
      <c r="E3481" s="15"/>
      <c r="F3481" s="15">
        <f>SUM(F3482:F3484)</f>
        <v>1.25</v>
      </c>
      <c r="G3481" s="14">
        <f>G3482</f>
        <v>45021</v>
      </c>
    </row>
    <row r="3482" spans="2:18" x14ac:dyDescent="0.2">
      <c r="C3482" s="2" t="s">
        <v>278</v>
      </c>
      <c r="D3482" s="2" t="s">
        <v>620</v>
      </c>
      <c r="E3482" s="3">
        <v>0.5</v>
      </c>
      <c r="F3482" s="3">
        <v>0.5</v>
      </c>
      <c r="G3482" s="4">
        <v>45021</v>
      </c>
      <c r="M3482" s="1"/>
      <c r="N3482" s="1"/>
      <c r="O3482" s="1"/>
      <c r="P3482" s="1"/>
      <c r="Q3482" s="1"/>
      <c r="R3482" s="1"/>
    </row>
    <row r="3483" spans="2:18" x14ac:dyDescent="0.2">
      <c r="C3483" s="2" t="s">
        <v>278</v>
      </c>
      <c r="D3483" s="2" t="s">
        <v>341</v>
      </c>
      <c r="E3483" s="3">
        <v>0.75</v>
      </c>
      <c r="F3483" s="3">
        <f>E3483/3</f>
        <v>0.25</v>
      </c>
      <c r="G3483" s="4">
        <v>44043</v>
      </c>
      <c r="M3483" s="1"/>
      <c r="N3483" s="1"/>
      <c r="O3483" s="1"/>
      <c r="P3483" s="1"/>
      <c r="Q3483" s="1"/>
      <c r="R3483" s="1"/>
    </row>
    <row r="3484" spans="2:18" x14ac:dyDescent="0.2">
      <c r="C3484" s="161" t="s">
        <v>4</v>
      </c>
      <c r="D3484" s="161" t="s">
        <v>2049</v>
      </c>
      <c r="E3484" s="3">
        <v>3</v>
      </c>
      <c r="F3484" s="3">
        <f>2/4</f>
        <v>0.5</v>
      </c>
      <c r="G3484" s="4">
        <v>42628</v>
      </c>
      <c r="M3484" s="1"/>
      <c r="N3484" s="1"/>
      <c r="O3484" s="1"/>
      <c r="P3484" s="1"/>
      <c r="Q3484" s="1"/>
      <c r="R3484" s="1"/>
    </row>
    <row r="3485" spans="2:18" x14ac:dyDescent="0.2">
      <c r="G3485" s="4"/>
      <c r="M3485" s="1"/>
      <c r="N3485" s="1"/>
      <c r="O3485" s="1"/>
      <c r="P3485" s="1"/>
      <c r="Q3485" s="1"/>
      <c r="R3485" s="1"/>
    </row>
    <row r="3486" spans="2:18" s="12" customFormat="1" x14ac:dyDescent="0.2">
      <c r="B3486" s="12" t="s">
        <v>700</v>
      </c>
      <c r="C3486" s="13" t="s">
        <v>969</v>
      </c>
      <c r="D3486" s="13" t="s">
        <v>968</v>
      </c>
      <c r="E3486" s="15"/>
      <c r="F3486" s="15">
        <f>SUM(F3487:F3488)</f>
        <v>0.68333333333333335</v>
      </c>
      <c r="G3486" s="14">
        <f>G3487</f>
        <v>44469</v>
      </c>
      <c r="M3486" s="13"/>
      <c r="N3486" s="13"/>
      <c r="O3486" s="13"/>
      <c r="P3486" s="13"/>
      <c r="Q3486" s="13"/>
      <c r="R3486" s="13"/>
    </row>
    <row r="3487" spans="2:18" x14ac:dyDescent="0.2">
      <c r="C3487" s="2" t="s">
        <v>4</v>
      </c>
      <c r="D3487" s="2" t="s">
        <v>699</v>
      </c>
      <c r="E3487" s="3">
        <v>2.5</v>
      </c>
      <c r="F3487" s="3">
        <f>2/6</f>
        <v>0.33333333333333331</v>
      </c>
      <c r="G3487" s="4">
        <v>44469</v>
      </c>
    </row>
    <row r="3488" spans="2:18" x14ac:dyDescent="0.2">
      <c r="C3488" s="2" t="s">
        <v>4</v>
      </c>
      <c r="D3488" s="2" t="s">
        <v>347</v>
      </c>
      <c r="E3488" s="3">
        <v>3.5</v>
      </c>
      <c r="F3488" s="3">
        <f>E3488/10</f>
        <v>0.35</v>
      </c>
      <c r="G3488" s="4">
        <v>43046</v>
      </c>
      <c r="L3488" s="1">
        <v>0</v>
      </c>
    </row>
    <row r="3489" spans="2:18" x14ac:dyDescent="0.2">
      <c r="C3489" s="141" t="s">
        <v>4</v>
      </c>
      <c r="D3489" s="141" t="s">
        <v>6328</v>
      </c>
      <c r="E3489" s="3">
        <v>5</v>
      </c>
      <c r="F3489" s="3">
        <v>0.5</v>
      </c>
      <c r="G3489" s="4">
        <v>43335</v>
      </c>
    </row>
    <row r="3490" spans="2:18" x14ac:dyDescent="0.2">
      <c r="G3490" s="4"/>
    </row>
    <row r="3491" spans="2:18" s="12" customFormat="1" x14ac:dyDescent="0.2">
      <c r="B3491" s="12" t="s">
        <v>514</v>
      </c>
      <c r="C3491" s="13" t="s">
        <v>969</v>
      </c>
      <c r="D3491" s="13" t="s">
        <v>968</v>
      </c>
      <c r="E3491" s="15"/>
      <c r="F3491" s="15">
        <f>SUM(F3492:F3493)</f>
        <v>0.8</v>
      </c>
      <c r="G3491" s="14">
        <f>G3492</f>
        <v>45037</v>
      </c>
    </row>
    <row r="3492" spans="2:18" x14ac:dyDescent="0.2">
      <c r="C3492" s="2" t="s">
        <v>4</v>
      </c>
      <c r="D3492" s="2" t="s">
        <v>509</v>
      </c>
      <c r="E3492" s="3">
        <v>3</v>
      </c>
      <c r="F3492" s="3">
        <v>0.5</v>
      </c>
      <c r="G3492" s="4">
        <v>45037</v>
      </c>
      <c r="M3492" s="1"/>
      <c r="N3492" s="1"/>
      <c r="O3492" s="1"/>
      <c r="P3492" s="1"/>
      <c r="Q3492" s="1"/>
      <c r="R3492" s="1"/>
    </row>
    <row r="3493" spans="2:18" x14ac:dyDescent="0.2">
      <c r="C3493" s="2" t="s">
        <v>278</v>
      </c>
      <c r="D3493" s="2" t="s">
        <v>509</v>
      </c>
      <c r="E3493" s="3">
        <v>1.2</v>
      </c>
      <c r="F3493" s="3">
        <v>0.3</v>
      </c>
      <c r="G3493" s="4">
        <v>44545</v>
      </c>
      <c r="M3493" s="1"/>
      <c r="N3493" s="1"/>
      <c r="O3493" s="1"/>
      <c r="P3493" s="1"/>
      <c r="Q3493" s="1"/>
      <c r="R3493" s="1"/>
    </row>
    <row r="3494" spans="2:18" x14ac:dyDescent="0.2">
      <c r="G3494" s="4"/>
      <c r="M3494" s="1"/>
      <c r="N3494" s="1"/>
      <c r="O3494" s="1"/>
      <c r="P3494" s="1"/>
      <c r="Q3494" s="1"/>
      <c r="R3494" s="1"/>
    </row>
    <row r="3495" spans="2:18" s="12" customFormat="1" x14ac:dyDescent="0.2">
      <c r="B3495" s="12" t="s">
        <v>382</v>
      </c>
      <c r="C3495" s="13" t="s">
        <v>969</v>
      </c>
      <c r="D3495" s="13" t="s">
        <v>968</v>
      </c>
      <c r="E3495" s="15"/>
      <c r="F3495" s="15">
        <f>SUM(F3496:F3497)</f>
        <v>1.1000000000000001</v>
      </c>
      <c r="G3495" s="14">
        <f>G3497</f>
        <v>44054</v>
      </c>
    </row>
    <row r="3496" spans="2:18" x14ac:dyDescent="0.2">
      <c r="C3496" s="2" t="s">
        <v>4</v>
      </c>
      <c r="D3496" s="2" t="s">
        <v>381</v>
      </c>
      <c r="E3496" s="3">
        <v>8.5</v>
      </c>
      <c r="F3496" s="3">
        <v>1</v>
      </c>
      <c r="G3496" s="4">
        <v>43796</v>
      </c>
      <c r="M3496" s="1"/>
      <c r="N3496" s="1"/>
      <c r="O3496" s="1"/>
      <c r="P3496" s="1"/>
      <c r="Q3496" s="1"/>
      <c r="R3496" s="1"/>
    </row>
    <row r="3497" spans="2:18" x14ac:dyDescent="0.2">
      <c r="C3497" s="2" t="s">
        <v>278</v>
      </c>
      <c r="D3497" s="2" t="s">
        <v>277</v>
      </c>
      <c r="E3497" s="3">
        <v>0.2</v>
      </c>
      <c r="F3497" s="3">
        <v>0.1</v>
      </c>
      <c r="G3497" s="4">
        <v>44054</v>
      </c>
      <c r="M3497" s="1"/>
      <c r="N3497" s="1"/>
      <c r="O3497" s="1"/>
      <c r="P3497" s="1"/>
      <c r="Q3497" s="1"/>
      <c r="R3497" s="1"/>
    </row>
    <row r="3498" spans="2:18" x14ac:dyDescent="0.2">
      <c r="G3498" s="4"/>
      <c r="M3498" s="1"/>
      <c r="N3498" s="1"/>
      <c r="O3498" s="1"/>
      <c r="P3498" s="1"/>
      <c r="Q3498" s="1"/>
      <c r="R3498" s="1"/>
    </row>
    <row r="3499" spans="2:18" s="12" customFormat="1" x14ac:dyDescent="0.2">
      <c r="B3499" s="12" t="s">
        <v>6696</v>
      </c>
      <c r="C3499" s="13" t="s">
        <v>969</v>
      </c>
      <c r="D3499" s="13" t="s">
        <v>968</v>
      </c>
      <c r="E3499" s="15"/>
      <c r="F3499" s="15">
        <f>SUM(F3500:F3501)</f>
        <v>1.25</v>
      </c>
      <c r="G3499" s="14">
        <f>G3500</f>
        <v>44229</v>
      </c>
      <c r="M3499" s="13"/>
      <c r="N3499" s="13"/>
      <c r="O3499" s="13"/>
      <c r="P3499" s="13"/>
      <c r="Q3499" s="13"/>
      <c r="R3499" s="13"/>
    </row>
    <row r="3500" spans="2:18" x14ac:dyDescent="0.2">
      <c r="B3500" s="184"/>
      <c r="C3500" s="185" t="s">
        <v>5</v>
      </c>
      <c r="D3500" s="182" t="s">
        <v>2033</v>
      </c>
      <c r="E3500" s="3">
        <v>9.3000000000000007</v>
      </c>
      <c r="F3500" s="186">
        <v>1</v>
      </c>
      <c r="G3500" s="4">
        <v>44229</v>
      </c>
    </row>
    <row r="3501" spans="2:18" x14ac:dyDescent="0.2">
      <c r="B3501" s="184"/>
      <c r="C3501" s="185" t="s">
        <v>4</v>
      </c>
      <c r="D3501" s="182" t="s">
        <v>2033</v>
      </c>
      <c r="E3501" s="3">
        <v>2</v>
      </c>
      <c r="F3501" s="3">
        <f>1.5/6</f>
        <v>0.25</v>
      </c>
      <c r="G3501" s="4">
        <v>43522</v>
      </c>
    </row>
    <row r="3502" spans="2:18" x14ac:dyDescent="0.2">
      <c r="B3502" s="184"/>
      <c r="C3502" s="185"/>
      <c r="D3502" s="182"/>
      <c r="G3502" s="4"/>
    </row>
    <row r="3503" spans="2:18" s="12" customFormat="1" x14ac:dyDescent="0.2">
      <c r="B3503" s="12" t="s">
        <v>749</v>
      </c>
      <c r="C3503" s="13" t="s">
        <v>969</v>
      </c>
      <c r="D3503" s="13" t="s">
        <v>968</v>
      </c>
      <c r="E3503" s="15"/>
      <c r="F3503" s="15">
        <f>SUM(F3504:F3505)</f>
        <v>1</v>
      </c>
      <c r="G3503" s="14">
        <f>G3504</f>
        <v>43580</v>
      </c>
    </row>
    <row r="3504" spans="2:18" x14ac:dyDescent="0.2">
      <c r="C3504" s="2" t="s">
        <v>4</v>
      </c>
      <c r="D3504" s="2" t="s">
        <v>403</v>
      </c>
      <c r="E3504" s="3">
        <v>3.1</v>
      </c>
      <c r="F3504" s="3">
        <v>0.5</v>
      </c>
      <c r="G3504" s="4">
        <v>43580</v>
      </c>
      <c r="M3504" s="1"/>
      <c r="N3504" s="1"/>
      <c r="O3504" s="1"/>
      <c r="P3504" s="1"/>
      <c r="Q3504" s="1"/>
      <c r="R3504" s="1"/>
    </row>
    <row r="3505" spans="2:18" x14ac:dyDescent="0.2">
      <c r="C3505" s="2" t="s">
        <v>4</v>
      </c>
      <c r="D3505" s="2" t="s">
        <v>2132</v>
      </c>
      <c r="E3505" s="3">
        <v>3</v>
      </c>
      <c r="F3505" s="3">
        <f>0.5</f>
        <v>0.5</v>
      </c>
      <c r="G3505" s="4">
        <v>42979</v>
      </c>
      <c r="M3505" s="1"/>
      <c r="N3505" s="1"/>
      <c r="O3505" s="1"/>
      <c r="P3505" s="1"/>
      <c r="Q3505" s="1"/>
      <c r="R3505" s="1"/>
    </row>
    <row r="3506" spans="2:18" x14ac:dyDescent="0.2">
      <c r="G3506" s="4"/>
      <c r="M3506" s="1"/>
      <c r="N3506" s="1"/>
      <c r="O3506" s="1"/>
      <c r="P3506" s="1"/>
      <c r="Q3506" s="1"/>
      <c r="R3506" s="1"/>
    </row>
    <row r="3507" spans="2:18" s="12" customFormat="1" x14ac:dyDescent="0.2">
      <c r="B3507" s="12" t="s">
        <v>551</v>
      </c>
      <c r="C3507" s="13" t="s">
        <v>969</v>
      </c>
      <c r="D3507" s="13" t="s">
        <v>968</v>
      </c>
      <c r="E3507" s="15"/>
      <c r="F3507" s="15">
        <f>SUM(F3508:F3509)</f>
        <v>0.69499999999999995</v>
      </c>
      <c r="G3507" s="14">
        <f>G3508</f>
        <v>43262</v>
      </c>
    </row>
    <row r="3508" spans="2:18" x14ac:dyDescent="0.2">
      <c r="C3508" s="2" t="s">
        <v>278</v>
      </c>
      <c r="D3508" s="2" t="s">
        <v>548</v>
      </c>
      <c r="E3508" s="3">
        <v>0.5</v>
      </c>
      <c r="F3508" s="3">
        <v>0.1</v>
      </c>
      <c r="G3508" s="4">
        <v>43262</v>
      </c>
      <c r="M3508" s="1"/>
      <c r="N3508" s="1"/>
      <c r="O3508" s="1"/>
      <c r="P3508" s="1"/>
      <c r="Q3508" s="1"/>
      <c r="R3508" s="1"/>
    </row>
    <row r="3509" spans="2:18" x14ac:dyDescent="0.2">
      <c r="C3509" s="2" t="s">
        <v>550</v>
      </c>
      <c r="D3509" s="2" t="s">
        <v>3</v>
      </c>
      <c r="E3509" s="3">
        <v>0.59499999999999997</v>
      </c>
      <c r="F3509" s="3">
        <v>0.59499999999999997</v>
      </c>
      <c r="G3509" s="4">
        <v>42278</v>
      </c>
      <c r="M3509" s="1"/>
      <c r="N3509" s="1"/>
      <c r="O3509" s="1"/>
      <c r="P3509" s="1"/>
      <c r="Q3509" s="1"/>
      <c r="R3509" s="1"/>
    </row>
    <row r="3510" spans="2:18" x14ac:dyDescent="0.2">
      <c r="G3510" s="4"/>
      <c r="M3510" s="1"/>
      <c r="N3510" s="1"/>
      <c r="O3510" s="1"/>
      <c r="P3510" s="1"/>
      <c r="Q3510" s="1"/>
      <c r="R3510" s="1"/>
    </row>
    <row r="3511" spans="2:18" x14ac:dyDescent="0.2">
      <c r="B3511" s="1" t="s">
        <v>967</v>
      </c>
      <c r="C3511" s="2" t="s">
        <v>7</v>
      </c>
      <c r="D3511" s="2" t="s">
        <v>964</v>
      </c>
      <c r="E3511" s="3">
        <v>580</v>
      </c>
      <c r="F3511" s="3">
        <v>580</v>
      </c>
      <c r="G3511" s="4">
        <v>44680</v>
      </c>
      <c r="I3511" s="250" t="s">
        <v>7443</v>
      </c>
    </row>
    <row r="3512" spans="2:18" x14ac:dyDescent="0.2">
      <c r="B3512" s="1" t="s">
        <v>243</v>
      </c>
      <c r="C3512" s="2" t="s">
        <v>8</v>
      </c>
      <c r="D3512" s="2" t="s">
        <v>232</v>
      </c>
      <c r="E3512" s="3">
        <v>750</v>
      </c>
      <c r="F3512" s="3">
        <v>300</v>
      </c>
      <c r="G3512" s="4">
        <v>43593</v>
      </c>
    </row>
    <row r="3513" spans="2:18" x14ac:dyDescent="0.2">
      <c r="B3513" s="184" t="s">
        <v>6834</v>
      </c>
      <c r="C3513" s="2" t="s">
        <v>18</v>
      </c>
      <c r="D3513" s="2" t="s">
        <v>197</v>
      </c>
      <c r="E3513" s="3">
        <v>300</v>
      </c>
      <c r="F3513" s="3">
        <v>300</v>
      </c>
      <c r="G3513" s="4">
        <v>44462</v>
      </c>
      <c r="I3513" s="5"/>
      <c r="J3513" s="5"/>
    </row>
    <row r="3514" spans="2:18" x14ac:dyDescent="0.2">
      <c r="B3514" s="184"/>
      <c r="C3514" s="282" t="s">
        <v>1</v>
      </c>
      <c r="D3514" s="282" t="s">
        <v>3934</v>
      </c>
      <c r="E3514" s="3">
        <v>1200</v>
      </c>
      <c r="F3514" s="3">
        <v>300</v>
      </c>
      <c r="G3514" s="4">
        <v>43592</v>
      </c>
      <c r="I3514" s="5">
        <v>17900</v>
      </c>
      <c r="J3514" s="5"/>
    </row>
    <row r="3515" spans="2:18" x14ac:dyDescent="0.2">
      <c r="B3515" s="184"/>
      <c r="C3515" s="282"/>
      <c r="D3515" s="282"/>
      <c r="G3515" s="4"/>
      <c r="I3515" s="5"/>
      <c r="J3515" s="5"/>
    </row>
    <row r="3516" spans="2:18" x14ac:dyDescent="0.2">
      <c r="B3516" s="1" t="s">
        <v>31</v>
      </c>
      <c r="C3516" s="2" t="s">
        <v>5</v>
      </c>
      <c r="D3516" s="2" t="s">
        <v>29</v>
      </c>
      <c r="E3516" s="3">
        <f>1600/7</f>
        <v>228.57142857142858</v>
      </c>
      <c r="F3516" s="3">
        <v>160</v>
      </c>
      <c r="G3516" s="4">
        <v>45078</v>
      </c>
      <c r="I3516" s="5">
        <v>1000</v>
      </c>
      <c r="J3516" s="5">
        <v>1000</v>
      </c>
    </row>
    <row r="3517" spans="2:18" x14ac:dyDescent="0.2">
      <c r="B3517" s="1" t="s">
        <v>79</v>
      </c>
      <c r="C3517" s="2" t="s">
        <v>53</v>
      </c>
      <c r="D3517" s="2" t="s">
        <v>74</v>
      </c>
      <c r="E3517" s="3">
        <v>250</v>
      </c>
      <c r="F3517" s="3">
        <v>150</v>
      </c>
      <c r="G3517" s="4">
        <v>44510</v>
      </c>
      <c r="I3517" s="5">
        <v>3800</v>
      </c>
      <c r="J3517" s="5">
        <v>3800</v>
      </c>
      <c r="K3517" s="5">
        <f>(E3517/(I3517+E3517))*J3517*(F3517/E3517)</f>
        <v>140.74074074074073</v>
      </c>
    </row>
    <row r="3518" spans="2:18" x14ac:dyDescent="0.2">
      <c r="B3518" s="1" t="s">
        <v>244</v>
      </c>
      <c r="C3518" s="2" t="s">
        <v>8</v>
      </c>
      <c r="D3518" s="2" t="s">
        <v>232</v>
      </c>
      <c r="E3518" s="3">
        <v>750</v>
      </c>
      <c r="F3518" s="3">
        <f>450/4</f>
        <v>112.5</v>
      </c>
      <c r="G3518" s="4">
        <v>43593</v>
      </c>
      <c r="I3518" s="5"/>
      <c r="J3518" s="5"/>
    </row>
    <row r="3519" spans="2:18" x14ac:dyDescent="0.2">
      <c r="B3519" s="92" t="s">
        <v>5661</v>
      </c>
      <c r="C3519" s="93" t="s">
        <v>5</v>
      </c>
      <c r="D3519" s="93" t="s">
        <v>2086</v>
      </c>
      <c r="E3519" s="3">
        <v>110</v>
      </c>
      <c r="F3519" s="3">
        <v>110</v>
      </c>
      <c r="G3519" s="4">
        <v>44509</v>
      </c>
      <c r="I3519" s="5"/>
      <c r="J3519" s="5"/>
    </row>
    <row r="3520" spans="2:18" x14ac:dyDescent="0.2">
      <c r="B3520" s="1" t="s">
        <v>252</v>
      </c>
      <c r="C3520" s="2" t="s">
        <v>18</v>
      </c>
      <c r="D3520" s="2" t="s">
        <v>245</v>
      </c>
      <c r="E3520" s="3">
        <v>820</v>
      </c>
      <c r="F3520" s="3">
        <f>600/6</f>
        <v>100</v>
      </c>
      <c r="G3520" s="4">
        <v>43223</v>
      </c>
      <c r="I3520" s="5"/>
      <c r="J3520" s="5"/>
    </row>
    <row r="3521" spans="2:10" x14ac:dyDescent="0.2">
      <c r="B3521" s="1" t="s">
        <v>251</v>
      </c>
      <c r="C3521" s="2" t="s">
        <v>18</v>
      </c>
      <c r="D3521" s="2" t="s">
        <v>245</v>
      </c>
      <c r="E3521" s="3">
        <v>820</v>
      </c>
      <c r="F3521" s="3">
        <f>600/6</f>
        <v>100</v>
      </c>
      <c r="G3521" s="4">
        <v>43223</v>
      </c>
      <c r="I3521" s="5"/>
      <c r="J3521" s="5"/>
    </row>
    <row r="3522" spans="2:10" x14ac:dyDescent="0.2">
      <c r="B3522" s="1" t="s">
        <v>250</v>
      </c>
      <c r="C3522" s="2" t="s">
        <v>18</v>
      </c>
      <c r="D3522" s="2" t="s">
        <v>245</v>
      </c>
      <c r="E3522" s="3">
        <v>820</v>
      </c>
      <c r="F3522" s="3">
        <f>600/6</f>
        <v>100</v>
      </c>
      <c r="G3522" s="4">
        <v>43223</v>
      </c>
      <c r="I3522" s="5"/>
      <c r="J3522" s="5"/>
    </row>
    <row r="3523" spans="2:10" x14ac:dyDescent="0.2">
      <c r="B3523" s="1" t="s">
        <v>230</v>
      </c>
      <c r="C3523" s="2" t="s">
        <v>8</v>
      </c>
      <c r="D3523" s="2" t="s">
        <v>211</v>
      </c>
      <c r="E3523" s="3">
        <v>700</v>
      </c>
      <c r="F3523" s="3">
        <v>100</v>
      </c>
      <c r="G3523" s="4">
        <v>44218</v>
      </c>
      <c r="I3523" s="5"/>
      <c r="J3523" s="5"/>
    </row>
    <row r="3524" spans="2:10" x14ac:dyDescent="0.2">
      <c r="B3524" s="1" t="s">
        <v>229</v>
      </c>
      <c r="C3524" s="2" t="s">
        <v>8</v>
      </c>
      <c r="D3524" s="2" t="s">
        <v>211</v>
      </c>
      <c r="E3524" s="3">
        <v>700</v>
      </c>
      <c r="F3524" s="3">
        <v>100</v>
      </c>
      <c r="G3524" s="4">
        <v>44218</v>
      </c>
      <c r="I3524" s="5"/>
      <c r="J3524" s="5"/>
    </row>
    <row r="3525" spans="2:10" x14ac:dyDescent="0.2">
      <c r="G3525" s="4"/>
      <c r="I3525" s="5"/>
      <c r="J3525" s="5"/>
    </row>
    <row r="3526" spans="2:10" x14ac:dyDescent="0.2">
      <c r="G3526" s="4"/>
      <c r="I3526" s="5"/>
      <c r="J3526" s="5"/>
    </row>
    <row r="3527" spans="2:10" x14ac:dyDescent="0.2">
      <c r="G3527" s="4"/>
      <c r="I3527" s="5"/>
      <c r="J3527" s="5"/>
    </row>
    <row r="3528" spans="2:10" x14ac:dyDescent="0.2">
      <c r="B3528" s="1" t="s">
        <v>188</v>
      </c>
      <c r="C3528" s="2" t="s">
        <v>9</v>
      </c>
      <c r="D3528" s="2" t="s">
        <v>176</v>
      </c>
      <c r="E3528" s="3">
        <v>392</v>
      </c>
      <c r="F3528" s="3">
        <f>E3528/5</f>
        <v>78.400000000000006</v>
      </c>
      <c r="G3528" s="4">
        <v>43280</v>
      </c>
      <c r="I3528" s="5">
        <v>1200</v>
      </c>
      <c r="J3528" s="5"/>
    </row>
    <row r="3529" spans="2:10" x14ac:dyDescent="0.2">
      <c r="B3529" s="1" t="s">
        <v>187</v>
      </c>
      <c r="C3529" s="2" t="s">
        <v>9</v>
      </c>
      <c r="D3529" s="2" t="s">
        <v>176</v>
      </c>
      <c r="E3529" s="3">
        <v>392</v>
      </c>
      <c r="F3529" s="3">
        <f>E3529/5</f>
        <v>78.400000000000006</v>
      </c>
      <c r="G3529" s="4">
        <v>43280</v>
      </c>
      <c r="I3529" s="5">
        <v>1200</v>
      </c>
      <c r="J3529" s="5"/>
    </row>
    <row r="3530" spans="2:10" x14ac:dyDescent="0.2">
      <c r="B3530" s="1" t="s">
        <v>186</v>
      </c>
      <c r="C3530" s="2" t="s">
        <v>9</v>
      </c>
      <c r="D3530" s="2" t="s">
        <v>176</v>
      </c>
      <c r="E3530" s="3">
        <v>392</v>
      </c>
      <c r="F3530" s="3">
        <f>E3530/5</f>
        <v>78.400000000000006</v>
      </c>
      <c r="G3530" s="4">
        <v>43280</v>
      </c>
      <c r="I3530" s="5">
        <v>1200</v>
      </c>
      <c r="J3530" s="5"/>
    </row>
    <row r="3531" spans="2:10" x14ac:dyDescent="0.2">
      <c r="B3531" s="1" t="s">
        <v>185</v>
      </c>
      <c r="C3531" s="2" t="s">
        <v>9</v>
      </c>
      <c r="D3531" s="2" t="s">
        <v>176</v>
      </c>
      <c r="E3531" s="3">
        <v>392</v>
      </c>
      <c r="F3531" s="3">
        <f>E3531/5</f>
        <v>78.400000000000006</v>
      </c>
      <c r="G3531" s="4">
        <v>43280</v>
      </c>
      <c r="I3531" s="5">
        <v>1200</v>
      </c>
      <c r="J3531" s="5"/>
    </row>
    <row r="3532" spans="2:10" x14ac:dyDescent="0.2">
      <c r="B3532" s="1" t="s">
        <v>254</v>
      </c>
      <c r="C3532" s="2" t="s">
        <v>18</v>
      </c>
      <c r="D3532" s="2" t="s">
        <v>253</v>
      </c>
      <c r="E3532" s="3">
        <v>500</v>
      </c>
      <c r="F3532" s="3">
        <v>75</v>
      </c>
      <c r="G3532" s="4">
        <v>44144</v>
      </c>
      <c r="I3532" s="5"/>
      <c r="J3532" s="5"/>
    </row>
    <row r="3533" spans="2:10" x14ac:dyDescent="0.2">
      <c r="G3533" s="4"/>
      <c r="I3533" s="5"/>
      <c r="J3533" s="5"/>
    </row>
    <row r="3534" spans="2:10" x14ac:dyDescent="0.2">
      <c r="B3534" s="1" t="s">
        <v>966</v>
      </c>
      <c r="C3534" s="2" t="s">
        <v>9</v>
      </c>
      <c r="D3534" s="2" t="s">
        <v>803</v>
      </c>
      <c r="E3534" s="3">
        <v>325</v>
      </c>
      <c r="F3534" s="3">
        <v>65</v>
      </c>
      <c r="G3534" s="4">
        <v>44299</v>
      </c>
      <c r="I3534" s="5"/>
      <c r="J3534" s="5"/>
    </row>
    <row r="3535" spans="2:10" x14ac:dyDescent="0.2">
      <c r="C3535" s="282" t="s">
        <v>2489</v>
      </c>
      <c r="D3535" s="282" t="s">
        <v>1006</v>
      </c>
      <c r="E3535" s="3">
        <v>1600</v>
      </c>
      <c r="F3535" s="3">
        <f>1400/27</f>
        <v>51.851851851851855</v>
      </c>
      <c r="G3535" s="4">
        <v>44439</v>
      </c>
      <c r="I3535" s="5">
        <v>36400</v>
      </c>
      <c r="J3535" s="5">
        <v>42500</v>
      </c>
    </row>
    <row r="3536" spans="2:10" x14ac:dyDescent="0.2">
      <c r="C3536" s="282" t="s">
        <v>504</v>
      </c>
      <c r="D3536" s="282" t="s">
        <v>1006</v>
      </c>
      <c r="E3536" s="3">
        <v>1000</v>
      </c>
      <c r="F3536" s="3">
        <f>900/23</f>
        <v>39.130434782608695</v>
      </c>
      <c r="G3536" s="4">
        <v>44228</v>
      </c>
      <c r="I3536" s="5">
        <v>27000</v>
      </c>
      <c r="J3536" s="5">
        <v>42500</v>
      </c>
    </row>
    <row r="3537" spans="2:10" x14ac:dyDescent="0.2">
      <c r="G3537" s="4"/>
      <c r="I3537" s="5"/>
      <c r="J3537" s="5"/>
    </row>
    <row r="3538" spans="2:10" x14ac:dyDescent="0.2">
      <c r="B3538" s="1" t="s">
        <v>256</v>
      </c>
      <c r="C3538" s="2" t="s">
        <v>8</v>
      </c>
      <c r="D3538" s="2" t="s">
        <v>253</v>
      </c>
      <c r="E3538" s="3">
        <v>600</v>
      </c>
      <c r="F3538" s="3">
        <f>500/8</f>
        <v>62.5</v>
      </c>
      <c r="G3538" s="4">
        <v>44502</v>
      </c>
      <c r="I3538" s="5"/>
      <c r="J3538" s="5"/>
    </row>
    <row r="3539" spans="2:10" x14ac:dyDescent="0.2">
      <c r="G3539" s="4"/>
      <c r="I3539" s="5"/>
      <c r="J3539" s="5"/>
    </row>
    <row r="3540" spans="2:10" x14ac:dyDescent="0.2">
      <c r="B3540" s="1" t="s">
        <v>965</v>
      </c>
      <c r="C3540" s="2" t="s">
        <v>18</v>
      </c>
      <c r="D3540" s="2" t="s">
        <v>964</v>
      </c>
      <c r="E3540" s="3">
        <v>450</v>
      </c>
      <c r="F3540" s="3">
        <f>300/5</f>
        <v>60</v>
      </c>
      <c r="G3540" s="4">
        <v>45069</v>
      </c>
      <c r="I3540" s="290" t="s">
        <v>7964</v>
      </c>
      <c r="J3540" s="5"/>
    </row>
    <row r="3541" spans="2:10" x14ac:dyDescent="0.2">
      <c r="C3541" s="282" t="s">
        <v>8</v>
      </c>
      <c r="D3541" s="282" t="s">
        <v>926</v>
      </c>
      <c r="E3541" s="3">
        <v>235</v>
      </c>
      <c r="F3541" s="3">
        <f>185/8</f>
        <v>23.125</v>
      </c>
      <c r="G3541" s="4">
        <v>45161</v>
      </c>
      <c r="I3541" s="5">
        <v>4300</v>
      </c>
      <c r="J3541" s="5">
        <v>4300</v>
      </c>
    </row>
    <row r="3542" spans="2:10" x14ac:dyDescent="0.2">
      <c r="C3542" s="282" t="s">
        <v>7963</v>
      </c>
      <c r="D3542" s="282" t="s">
        <v>936</v>
      </c>
      <c r="E3542" s="3">
        <v>25</v>
      </c>
      <c r="F3542" s="3">
        <v>25</v>
      </c>
      <c r="G3542" s="4">
        <v>45047</v>
      </c>
      <c r="I3542" s="5"/>
      <c r="J3542" s="5"/>
    </row>
    <row r="3543" spans="2:10" x14ac:dyDescent="0.2">
      <c r="G3543" s="4"/>
      <c r="I3543" s="5"/>
      <c r="J3543" s="5"/>
    </row>
    <row r="3544" spans="2:10" x14ac:dyDescent="0.2">
      <c r="B3544" s="1" t="s">
        <v>30</v>
      </c>
      <c r="C3544" s="2" t="s">
        <v>5</v>
      </c>
      <c r="D3544" s="2" t="s">
        <v>29</v>
      </c>
      <c r="E3544" s="3">
        <f>1600/7</f>
        <v>228.57142857142858</v>
      </c>
      <c r="F3544" s="3">
        <f>109/2</f>
        <v>54.5</v>
      </c>
      <c r="G3544" s="4">
        <v>45078</v>
      </c>
      <c r="I3544" s="5">
        <v>1000</v>
      </c>
      <c r="J3544" s="5">
        <v>1000</v>
      </c>
    </row>
    <row r="3545" spans="2:10" x14ac:dyDescent="0.2">
      <c r="B3545" s="1" t="s">
        <v>86</v>
      </c>
      <c r="C3545" s="2" t="s">
        <v>18</v>
      </c>
      <c r="D3545" s="2" t="s">
        <v>80</v>
      </c>
      <c r="E3545" s="3">
        <v>257</v>
      </c>
      <c r="F3545" s="3">
        <v>50</v>
      </c>
      <c r="G3545" s="4">
        <v>44201</v>
      </c>
      <c r="I3545" s="5">
        <v>1286</v>
      </c>
      <c r="J3545" s="5"/>
    </row>
    <row r="3546" spans="2:10" x14ac:dyDescent="0.2">
      <c r="B3546" s="1" t="s">
        <v>2</v>
      </c>
      <c r="C3546" s="2" t="s">
        <v>1</v>
      </c>
      <c r="D3546" s="2" t="s">
        <v>0</v>
      </c>
      <c r="E3546" s="3">
        <v>300</v>
      </c>
      <c r="F3546" s="3">
        <v>50</v>
      </c>
      <c r="G3546" s="4">
        <v>45044</v>
      </c>
      <c r="I3546" s="5">
        <v>28700</v>
      </c>
      <c r="J3546" s="5">
        <v>28700</v>
      </c>
    </row>
    <row r="3547" spans="2:10" x14ac:dyDescent="0.2">
      <c r="B3547" s="1" t="s">
        <v>4369</v>
      </c>
      <c r="C3547" s="2" t="s">
        <v>9</v>
      </c>
      <c r="D3547" s="2" t="s">
        <v>3938</v>
      </c>
      <c r="E3547" s="3">
        <v>50</v>
      </c>
      <c r="F3547" s="3">
        <v>50</v>
      </c>
      <c r="G3547" s="4">
        <v>44321</v>
      </c>
      <c r="I3547" s="5"/>
      <c r="J3547" s="5"/>
    </row>
    <row r="3548" spans="2:10" x14ac:dyDescent="0.2">
      <c r="B3548" s="1" t="s">
        <v>238</v>
      </c>
      <c r="C3548" s="2" t="s">
        <v>18</v>
      </c>
      <c r="D3548" s="2" t="s">
        <v>232</v>
      </c>
      <c r="E3548" s="3">
        <v>460</v>
      </c>
      <c r="F3548" s="3">
        <f>160/4</f>
        <v>40</v>
      </c>
      <c r="G3548" s="4">
        <v>43040</v>
      </c>
      <c r="I3548" s="5"/>
      <c r="J3548" s="5"/>
    </row>
    <row r="3549" spans="2:10" x14ac:dyDescent="0.2">
      <c r="B3549" s="1" t="s">
        <v>237</v>
      </c>
      <c r="C3549" s="2" t="s">
        <v>18</v>
      </c>
      <c r="D3549" s="2" t="s">
        <v>232</v>
      </c>
      <c r="E3549" s="3">
        <v>460</v>
      </c>
      <c r="F3549" s="3">
        <f>160/4</f>
        <v>40</v>
      </c>
      <c r="G3549" s="4">
        <v>43040</v>
      </c>
      <c r="I3549" s="5"/>
      <c r="J3549" s="5"/>
    </row>
    <row r="3550" spans="2:10" x14ac:dyDescent="0.2">
      <c r="B3550" s="1" t="s">
        <v>235</v>
      </c>
      <c r="C3550" s="2" t="s">
        <v>18</v>
      </c>
      <c r="D3550" s="2" t="s">
        <v>232</v>
      </c>
      <c r="E3550" s="3">
        <v>100</v>
      </c>
      <c r="F3550" s="3">
        <v>40</v>
      </c>
      <c r="G3550" s="4">
        <v>42735</v>
      </c>
      <c r="I3550" s="5"/>
      <c r="J3550" s="5"/>
    </row>
    <row r="3551" spans="2:10" x14ac:dyDescent="0.2">
      <c r="B3551" s="1" t="s">
        <v>4335</v>
      </c>
      <c r="C3551" s="2" t="s">
        <v>8</v>
      </c>
      <c r="D3551" s="2" t="s">
        <v>2137</v>
      </c>
      <c r="E3551" s="3">
        <v>200</v>
      </c>
      <c r="F3551" s="3">
        <v>40</v>
      </c>
      <c r="G3551" s="4">
        <v>44237</v>
      </c>
      <c r="I3551" s="5"/>
      <c r="J3551" s="5"/>
    </row>
    <row r="3552" spans="2:10" x14ac:dyDescent="0.2">
      <c r="B3552" s="1" t="s">
        <v>196</v>
      </c>
      <c r="C3552" s="2" t="s">
        <v>53</v>
      </c>
      <c r="D3552" s="2" t="s">
        <v>176</v>
      </c>
      <c r="E3552" s="3">
        <v>475</v>
      </c>
      <c r="F3552" s="3">
        <f t="shared" ref="F3552:F3558" si="3">E3552/12</f>
        <v>39.583333333333336</v>
      </c>
      <c r="G3552" s="4">
        <v>44278</v>
      </c>
      <c r="I3552" s="5"/>
      <c r="J3552" s="5"/>
    </row>
    <row r="3553" spans="2:10" x14ac:dyDescent="0.2">
      <c r="B3553" s="1" t="s">
        <v>195</v>
      </c>
      <c r="C3553" s="2" t="s">
        <v>53</v>
      </c>
      <c r="D3553" s="2" t="s">
        <v>176</v>
      </c>
      <c r="E3553" s="3">
        <v>475</v>
      </c>
      <c r="F3553" s="3">
        <f t="shared" si="3"/>
        <v>39.583333333333336</v>
      </c>
      <c r="G3553" s="4">
        <v>44278</v>
      </c>
      <c r="I3553" s="5"/>
      <c r="J3553" s="5"/>
    </row>
    <row r="3554" spans="2:10" x14ac:dyDescent="0.2">
      <c r="B3554" s="184" t="s">
        <v>6835</v>
      </c>
      <c r="C3554" s="2" t="s">
        <v>53</v>
      </c>
      <c r="D3554" s="2" t="s">
        <v>176</v>
      </c>
      <c r="E3554" s="3">
        <v>475</v>
      </c>
      <c r="F3554" s="3">
        <f t="shared" si="3"/>
        <v>39.583333333333336</v>
      </c>
      <c r="G3554" s="4">
        <v>44278</v>
      </c>
      <c r="I3554" s="5"/>
      <c r="J3554" s="5"/>
    </row>
    <row r="3555" spans="2:10" x14ac:dyDescent="0.2">
      <c r="B3555" s="1" t="s">
        <v>194</v>
      </c>
      <c r="C3555" s="2" t="s">
        <v>53</v>
      </c>
      <c r="D3555" s="2" t="s">
        <v>176</v>
      </c>
      <c r="E3555" s="3">
        <v>475</v>
      </c>
      <c r="F3555" s="3">
        <f t="shared" si="3"/>
        <v>39.583333333333336</v>
      </c>
      <c r="G3555" s="4">
        <v>44278</v>
      </c>
      <c r="I3555" s="5"/>
      <c r="J3555" s="5"/>
    </row>
    <row r="3556" spans="2:10" x14ac:dyDescent="0.2">
      <c r="B3556" s="1" t="s">
        <v>191</v>
      </c>
      <c r="C3556" s="2" t="s">
        <v>53</v>
      </c>
      <c r="D3556" s="2" t="s">
        <v>176</v>
      </c>
      <c r="E3556" s="3">
        <v>475</v>
      </c>
      <c r="F3556" s="3">
        <f t="shared" si="3"/>
        <v>39.583333333333336</v>
      </c>
      <c r="G3556" s="4">
        <v>44278</v>
      </c>
      <c r="I3556" s="5"/>
      <c r="J3556" s="5"/>
    </row>
    <row r="3557" spans="2:10" x14ac:dyDescent="0.2">
      <c r="B3557" s="1" t="s">
        <v>190</v>
      </c>
      <c r="C3557" s="2" t="s">
        <v>53</v>
      </c>
      <c r="D3557" s="2" t="s">
        <v>176</v>
      </c>
      <c r="E3557" s="3">
        <v>475</v>
      </c>
      <c r="F3557" s="3">
        <f t="shared" si="3"/>
        <v>39.583333333333336</v>
      </c>
      <c r="G3557" s="4">
        <v>44278</v>
      </c>
      <c r="I3557" s="5"/>
      <c r="J3557" s="5"/>
    </row>
    <row r="3558" spans="2:10" x14ac:dyDescent="0.2">
      <c r="B3558" s="1" t="s">
        <v>189</v>
      </c>
      <c r="C3558" s="2" t="s">
        <v>53</v>
      </c>
      <c r="D3558" s="2" t="s">
        <v>176</v>
      </c>
      <c r="E3558" s="3">
        <v>475</v>
      </c>
      <c r="F3558" s="3">
        <f t="shared" si="3"/>
        <v>39.583333333333336</v>
      </c>
      <c r="G3558" s="4">
        <v>44278</v>
      </c>
      <c r="I3558" s="5"/>
      <c r="J3558" s="5"/>
    </row>
    <row r="3559" spans="2:10" x14ac:dyDescent="0.2">
      <c r="B3559" s="1" t="s">
        <v>221</v>
      </c>
      <c r="C3559" s="2" t="s">
        <v>18</v>
      </c>
      <c r="D3559" s="2" t="s">
        <v>211</v>
      </c>
      <c r="E3559" s="3">
        <v>230</v>
      </c>
      <c r="F3559" s="3">
        <f>E3559/6</f>
        <v>38.333333333333336</v>
      </c>
      <c r="G3559" s="4">
        <v>43923</v>
      </c>
      <c r="I3559" s="5"/>
      <c r="J3559" s="5"/>
    </row>
    <row r="3560" spans="2:10" x14ac:dyDescent="0.2">
      <c r="B3560" s="1" t="s">
        <v>219</v>
      </c>
      <c r="C3560" s="2" t="s">
        <v>18</v>
      </c>
      <c r="D3560" s="2" t="s">
        <v>211</v>
      </c>
      <c r="E3560" s="3">
        <v>230</v>
      </c>
      <c r="F3560" s="3">
        <f>E3560/6</f>
        <v>38.333333333333336</v>
      </c>
      <c r="G3560" s="4">
        <v>43923</v>
      </c>
      <c r="I3560" s="5"/>
      <c r="J3560" s="5"/>
    </row>
    <row r="3561" spans="2:10" x14ac:dyDescent="0.2">
      <c r="B3561" s="1" t="s">
        <v>67</v>
      </c>
      <c r="C3561" s="2" t="s">
        <v>5</v>
      </c>
      <c r="D3561" s="2" t="s">
        <v>64</v>
      </c>
      <c r="E3561" s="3">
        <f>500/7</f>
        <v>71.428571428571431</v>
      </c>
      <c r="F3561" s="3">
        <f>E3561/2</f>
        <v>35.714285714285715</v>
      </c>
      <c r="G3561" s="4">
        <v>44315</v>
      </c>
      <c r="I3561" s="5"/>
      <c r="J3561" s="5"/>
    </row>
    <row r="3562" spans="2:10" x14ac:dyDescent="0.2">
      <c r="B3562" s="1" t="s">
        <v>159</v>
      </c>
      <c r="C3562" s="2" t="s">
        <v>9</v>
      </c>
      <c r="D3562" s="2" t="s">
        <v>154</v>
      </c>
      <c r="E3562" s="3">
        <v>400</v>
      </c>
      <c r="F3562" s="3">
        <f>320/9</f>
        <v>35.555555555555557</v>
      </c>
      <c r="G3562" s="4">
        <v>44413</v>
      </c>
      <c r="I3562" s="5">
        <v>4200</v>
      </c>
      <c r="J3562" s="5"/>
    </row>
    <row r="3563" spans="2:10" x14ac:dyDescent="0.2">
      <c r="B3563" s="1" t="s">
        <v>171</v>
      </c>
      <c r="C3563" s="2" t="s">
        <v>18</v>
      </c>
      <c r="D3563" s="2" t="s">
        <v>161</v>
      </c>
      <c r="E3563" s="3">
        <v>267</v>
      </c>
      <c r="F3563" s="3">
        <f>167/5</f>
        <v>33.4</v>
      </c>
      <c r="G3563" s="4">
        <v>44140</v>
      </c>
      <c r="I3563" s="5">
        <v>5000</v>
      </c>
      <c r="J3563" s="5">
        <v>8400</v>
      </c>
    </row>
    <row r="3564" spans="2:10" x14ac:dyDescent="0.2">
      <c r="B3564" s="1" t="s">
        <v>228</v>
      </c>
      <c r="C3564" s="2" t="s">
        <v>8</v>
      </c>
      <c r="D3564" s="2" t="s">
        <v>211</v>
      </c>
      <c r="E3564" s="3">
        <v>700</v>
      </c>
      <c r="F3564" s="3">
        <f t="shared" ref="F3564:F3569" si="4">400/12</f>
        <v>33.333333333333336</v>
      </c>
      <c r="G3564" s="4">
        <v>44218</v>
      </c>
      <c r="I3564" s="5"/>
      <c r="J3564" s="5"/>
    </row>
    <row r="3565" spans="2:10" x14ac:dyDescent="0.2">
      <c r="B3565" s="1" t="s">
        <v>227</v>
      </c>
      <c r="C3565" s="2" t="s">
        <v>8</v>
      </c>
      <c r="D3565" s="2" t="s">
        <v>211</v>
      </c>
      <c r="E3565" s="3">
        <v>700</v>
      </c>
      <c r="F3565" s="3">
        <f t="shared" si="4"/>
        <v>33.333333333333336</v>
      </c>
      <c r="G3565" s="4">
        <v>44218</v>
      </c>
      <c r="I3565" s="5"/>
      <c r="J3565" s="5"/>
    </row>
    <row r="3566" spans="2:10" x14ac:dyDescent="0.2">
      <c r="B3566" s="1" t="s">
        <v>226</v>
      </c>
      <c r="C3566" s="2" t="s">
        <v>8</v>
      </c>
      <c r="D3566" s="2" t="s">
        <v>211</v>
      </c>
      <c r="E3566" s="3">
        <v>700</v>
      </c>
      <c r="F3566" s="3">
        <f t="shared" si="4"/>
        <v>33.333333333333336</v>
      </c>
      <c r="G3566" s="4">
        <v>44218</v>
      </c>
      <c r="I3566" s="5"/>
      <c r="J3566" s="5"/>
    </row>
    <row r="3567" spans="2:10" x14ac:dyDescent="0.2">
      <c r="B3567" s="1" t="s">
        <v>224</v>
      </c>
      <c r="C3567" s="2" t="s">
        <v>8</v>
      </c>
      <c r="D3567" s="2" t="s">
        <v>211</v>
      </c>
      <c r="E3567" s="3">
        <v>700</v>
      </c>
      <c r="F3567" s="3">
        <f t="shared" si="4"/>
        <v>33.333333333333336</v>
      </c>
      <c r="G3567" s="4">
        <v>44218</v>
      </c>
      <c r="I3567" s="5"/>
      <c r="J3567" s="5"/>
    </row>
    <row r="3568" spans="2:10" x14ac:dyDescent="0.2">
      <c r="B3568" s="1" t="s">
        <v>223</v>
      </c>
      <c r="C3568" s="2" t="s">
        <v>8</v>
      </c>
      <c r="D3568" s="2" t="s">
        <v>211</v>
      </c>
      <c r="E3568" s="3">
        <v>700</v>
      </c>
      <c r="F3568" s="3">
        <f t="shared" si="4"/>
        <v>33.333333333333336</v>
      </c>
      <c r="G3568" s="4">
        <v>44218</v>
      </c>
      <c r="I3568" s="5"/>
      <c r="J3568" s="5"/>
    </row>
    <row r="3569" spans="2:18" x14ac:dyDescent="0.2">
      <c r="B3569" s="1" t="s">
        <v>222</v>
      </c>
      <c r="C3569" s="2" t="s">
        <v>8</v>
      </c>
      <c r="D3569" s="2" t="s">
        <v>211</v>
      </c>
      <c r="E3569" s="3">
        <v>700</v>
      </c>
      <c r="F3569" s="3">
        <f t="shared" si="4"/>
        <v>33.333333333333336</v>
      </c>
      <c r="G3569" s="4">
        <v>44218</v>
      </c>
      <c r="I3569" s="5"/>
      <c r="J3569" s="5"/>
    </row>
    <row r="3570" spans="2:18" x14ac:dyDescent="0.2">
      <c r="B3570" s="1" t="s">
        <v>415</v>
      </c>
      <c r="C3570" s="2" t="s">
        <v>18</v>
      </c>
      <c r="D3570" s="2" t="s">
        <v>414</v>
      </c>
      <c r="E3570" s="3">
        <v>65</v>
      </c>
      <c r="F3570" s="3">
        <v>32.5</v>
      </c>
      <c r="G3570" s="4">
        <v>43789</v>
      </c>
      <c r="M3570" s="1"/>
      <c r="N3570" s="1"/>
      <c r="O3570" s="1"/>
      <c r="P3570" s="1"/>
      <c r="Q3570" s="1"/>
      <c r="R3570" s="1"/>
    </row>
    <row r="3571" spans="2:18" x14ac:dyDescent="0.2">
      <c r="B3571" s="1" t="s">
        <v>507</v>
      </c>
      <c r="C3571" s="2" t="s">
        <v>504</v>
      </c>
      <c r="D3571" s="2" t="s">
        <v>489</v>
      </c>
      <c r="E3571" s="3">
        <v>250</v>
      </c>
      <c r="F3571" s="3">
        <f>150/5</f>
        <v>30</v>
      </c>
      <c r="G3571" s="4">
        <v>44376</v>
      </c>
      <c r="M3571" s="1"/>
      <c r="N3571" s="1"/>
      <c r="O3571" s="1"/>
      <c r="P3571" s="1"/>
      <c r="Q3571" s="1"/>
      <c r="R3571" s="1"/>
    </row>
    <row r="3572" spans="2:18" x14ac:dyDescent="0.2">
      <c r="B3572" s="1" t="s">
        <v>506</v>
      </c>
      <c r="C3572" s="2" t="s">
        <v>504</v>
      </c>
      <c r="D3572" s="2" t="s">
        <v>489</v>
      </c>
      <c r="E3572" s="3">
        <v>250</v>
      </c>
      <c r="F3572" s="3">
        <f>150/5</f>
        <v>30</v>
      </c>
      <c r="G3572" s="4">
        <v>44376</v>
      </c>
      <c r="M3572" s="1"/>
      <c r="N3572" s="1"/>
      <c r="O3572" s="1"/>
      <c r="P3572" s="1"/>
      <c r="Q3572" s="1"/>
      <c r="R3572" s="1"/>
    </row>
    <row r="3573" spans="2:18" x14ac:dyDescent="0.2">
      <c r="G3573" s="4"/>
      <c r="M3573" s="1"/>
      <c r="N3573" s="1"/>
      <c r="O3573" s="1"/>
      <c r="P3573" s="1"/>
      <c r="Q3573" s="1"/>
      <c r="R3573" s="1"/>
    </row>
    <row r="3574" spans="2:18" x14ac:dyDescent="0.2">
      <c r="B3574" s="1" t="s">
        <v>373</v>
      </c>
      <c r="C3574" s="2" t="s">
        <v>7</v>
      </c>
      <c r="D3574" s="2" t="s">
        <v>363</v>
      </c>
      <c r="E3574" s="3">
        <v>120</v>
      </c>
      <c r="F3574" s="3">
        <v>30</v>
      </c>
      <c r="G3574" s="4">
        <v>44602</v>
      </c>
      <c r="M3574" s="1"/>
      <c r="N3574" s="1"/>
      <c r="O3574" s="1"/>
      <c r="P3574" s="1"/>
      <c r="Q3574" s="1"/>
      <c r="R3574" s="1"/>
    </row>
    <row r="3575" spans="2:18" x14ac:dyDescent="0.2">
      <c r="B3575" s="1" t="s">
        <v>203</v>
      </c>
      <c r="C3575" s="2" t="s">
        <v>7</v>
      </c>
      <c r="D3575" s="2" t="s">
        <v>197</v>
      </c>
      <c r="E3575" s="3">
        <v>120</v>
      </c>
      <c r="F3575" s="3">
        <v>30</v>
      </c>
      <c r="G3575" s="4">
        <v>43391</v>
      </c>
    </row>
    <row r="3576" spans="2:18" x14ac:dyDescent="0.2">
      <c r="B3576" s="1" t="s">
        <v>201</v>
      </c>
      <c r="C3576" s="2" t="s">
        <v>7</v>
      </c>
      <c r="D3576" s="2" t="s">
        <v>197</v>
      </c>
      <c r="E3576" s="3">
        <v>120</v>
      </c>
      <c r="F3576" s="3">
        <v>30</v>
      </c>
      <c r="G3576" s="4">
        <v>43391</v>
      </c>
    </row>
    <row r="3577" spans="2:18" x14ac:dyDescent="0.2">
      <c r="B3577" s="1" t="s">
        <v>73</v>
      </c>
      <c r="C3577" s="2" t="s">
        <v>7</v>
      </c>
      <c r="D3577" s="2" t="s">
        <v>64</v>
      </c>
      <c r="E3577" s="3">
        <f>1600/7</f>
        <v>228.57142857142858</v>
      </c>
      <c r="F3577" s="3">
        <v>30</v>
      </c>
      <c r="G3577" s="4">
        <v>44550</v>
      </c>
    </row>
    <row r="3578" spans="2:18" x14ac:dyDescent="0.2">
      <c r="B3578" s="1" t="s">
        <v>70</v>
      </c>
      <c r="C3578" s="2" t="s">
        <v>7</v>
      </c>
      <c r="D3578" s="2" t="s">
        <v>64</v>
      </c>
      <c r="E3578" s="3">
        <f>1600/7</f>
        <v>228.57142857142858</v>
      </c>
      <c r="F3578" s="3">
        <v>30</v>
      </c>
      <c r="G3578" s="4">
        <v>44550</v>
      </c>
    </row>
    <row r="3579" spans="2:18" x14ac:dyDescent="0.2">
      <c r="B3579" s="1" t="s">
        <v>68</v>
      </c>
      <c r="C3579" s="2" t="s">
        <v>7</v>
      </c>
      <c r="D3579" s="2" t="s">
        <v>64</v>
      </c>
      <c r="E3579" s="3">
        <f>1600/7</f>
        <v>228.57142857142858</v>
      </c>
      <c r="F3579" s="3">
        <v>30</v>
      </c>
      <c r="G3579" s="4">
        <v>44550</v>
      </c>
    </row>
    <row r="3580" spans="2:18" x14ac:dyDescent="0.2">
      <c r="B3580" s="1" t="s">
        <v>21</v>
      </c>
      <c r="C3580" s="2" t="s">
        <v>8</v>
      </c>
      <c r="D3580" s="2" t="s">
        <v>15</v>
      </c>
      <c r="E3580" s="3">
        <v>220</v>
      </c>
      <c r="F3580" s="3">
        <v>30</v>
      </c>
      <c r="G3580" s="4">
        <v>44502</v>
      </c>
      <c r="I3580" s="1">
        <v>794</v>
      </c>
      <c r="J3580" s="1">
        <v>794</v>
      </c>
    </row>
    <row r="3581" spans="2:18" x14ac:dyDescent="0.2">
      <c r="B3581" s="1" t="s">
        <v>4387</v>
      </c>
      <c r="C3581" s="2" t="s">
        <v>7</v>
      </c>
      <c r="D3581" s="2" t="s">
        <v>2133</v>
      </c>
      <c r="E3581" s="3">
        <f>1300/7</f>
        <v>185.71428571428572</v>
      </c>
      <c r="F3581" s="3">
        <v>30</v>
      </c>
      <c r="G3581" s="4">
        <v>44648</v>
      </c>
    </row>
    <row r="3582" spans="2:18" x14ac:dyDescent="0.2">
      <c r="B3582" s="1" t="s">
        <v>4388</v>
      </c>
      <c r="C3582" s="2" t="s">
        <v>7</v>
      </c>
      <c r="D3582" s="2" t="s">
        <v>2133</v>
      </c>
      <c r="E3582" s="3">
        <f>1300/7</f>
        <v>185.71428571428572</v>
      </c>
      <c r="F3582" s="3">
        <v>30</v>
      </c>
      <c r="G3582" s="4">
        <v>44648</v>
      </c>
    </row>
    <row r="3583" spans="2:18" x14ac:dyDescent="0.2">
      <c r="B3583" s="54" t="s">
        <v>5017</v>
      </c>
      <c r="C3583" s="55" t="s">
        <v>53</v>
      </c>
      <c r="D3583" s="55" t="s">
        <v>5013</v>
      </c>
      <c r="E3583" s="3">
        <v>100</v>
      </c>
      <c r="F3583" s="3">
        <v>30</v>
      </c>
      <c r="G3583" s="4">
        <v>44474</v>
      </c>
    </row>
    <row r="3584" spans="2:18" x14ac:dyDescent="0.2">
      <c r="B3584" s="1" t="s">
        <v>4373</v>
      </c>
      <c r="C3584" s="2" t="s">
        <v>504</v>
      </c>
      <c r="D3584" s="2" t="s">
        <v>3938</v>
      </c>
      <c r="E3584" s="3">
        <v>56</v>
      </c>
      <c r="F3584" s="3">
        <f>E3584/2</f>
        <v>28</v>
      </c>
      <c r="G3584" s="4">
        <v>41183</v>
      </c>
    </row>
    <row r="3585" spans="2:18" x14ac:dyDescent="0.2">
      <c r="B3585" s="1" t="s">
        <v>960</v>
      </c>
      <c r="C3585" s="2" t="s">
        <v>7</v>
      </c>
      <c r="D3585" s="2" t="s">
        <v>430</v>
      </c>
      <c r="E3585" s="3">
        <v>26</v>
      </c>
      <c r="F3585" s="3">
        <v>26</v>
      </c>
      <c r="G3585" s="4">
        <v>44594</v>
      </c>
    </row>
    <row r="3586" spans="2:18" x14ac:dyDescent="0.2">
      <c r="B3586" s="1" t="s">
        <v>959</v>
      </c>
      <c r="C3586" s="2" t="s">
        <v>4</v>
      </c>
      <c r="D3586" s="2" t="s">
        <v>936</v>
      </c>
      <c r="E3586" s="3">
        <v>100</v>
      </c>
      <c r="F3586" s="3">
        <v>25</v>
      </c>
      <c r="G3586" s="4">
        <v>44846</v>
      </c>
    </row>
    <row r="3587" spans="2:18" x14ac:dyDescent="0.2">
      <c r="G3587" s="4"/>
    </row>
    <row r="3588" spans="2:18" x14ac:dyDescent="0.2">
      <c r="B3588" s="1" t="s">
        <v>958</v>
      </c>
      <c r="C3588" s="282" t="s">
        <v>1040</v>
      </c>
      <c r="D3588" s="2" t="s">
        <v>957</v>
      </c>
      <c r="E3588" s="3">
        <v>141</v>
      </c>
      <c r="F3588" s="3">
        <v>30</v>
      </c>
      <c r="G3588" s="4">
        <v>45106</v>
      </c>
      <c r="I3588" s="1">
        <v>1400</v>
      </c>
      <c r="J3588" s="1">
        <v>1400</v>
      </c>
    </row>
    <row r="3589" spans="2:18" x14ac:dyDescent="0.2">
      <c r="G3589" s="4"/>
    </row>
    <row r="3590" spans="2:18" x14ac:dyDescent="0.2">
      <c r="G3590" s="4"/>
    </row>
    <row r="3591" spans="2:18" x14ac:dyDescent="0.2">
      <c r="G3591" s="4"/>
    </row>
    <row r="3592" spans="2:18" x14ac:dyDescent="0.2">
      <c r="B3592" s="1" t="s">
        <v>532</v>
      </c>
      <c r="C3592" s="2" t="s">
        <v>8</v>
      </c>
      <c r="D3592" s="2" t="s">
        <v>520</v>
      </c>
      <c r="E3592" s="3">
        <v>100</v>
      </c>
      <c r="F3592" s="3">
        <v>25</v>
      </c>
      <c r="G3592" s="4">
        <v>44419</v>
      </c>
      <c r="M3592" s="1"/>
      <c r="N3592" s="1"/>
      <c r="O3592" s="1"/>
      <c r="P3592" s="1"/>
      <c r="Q3592" s="1"/>
      <c r="R3592" s="1"/>
    </row>
    <row r="3593" spans="2:18" x14ac:dyDescent="0.2">
      <c r="B3593" s="54" t="s">
        <v>4995</v>
      </c>
      <c r="C3593" s="55" t="s">
        <v>9</v>
      </c>
      <c r="D3593" s="55" t="s">
        <v>2115</v>
      </c>
      <c r="E3593" s="3">
        <v>100</v>
      </c>
      <c r="F3593" s="3">
        <v>25</v>
      </c>
      <c r="G3593" s="4">
        <v>44507</v>
      </c>
      <c r="I3593" s="1">
        <v>1600</v>
      </c>
      <c r="J3593" s="1">
        <v>1600</v>
      </c>
    </row>
    <row r="3594" spans="2:18" x14ac:dyDescent="0.2">
      <c r="B3594" s="1" t="s">
        <v>44</v>
      </c>
      <c r="C3594" s="2" t="s">
        <v>9</v>
      </c>
      <c r="D3594" s="2" t="s">
        <v>39</v>
      </c>
      <c r="E3594" s="3">
        <v>230</v>
      </c>
      <c r="F3594" s="3">
        <f>170/7</f>
        <v>24.285714285714285</v>
      </c>
      <c r="G3594" s="4">
        <v>44984</v>
      </c>
      <c r="I3594" s="1">
        <v>2000</v>
      </c>
      <c r="J3594" s="1">
        <v>2000</v>
      </c>
    </row>
    <row r="3595" spans="2:18" x14ac:dyDescent="0.2">
      <c r="B3595" s="1" t="s">
        <v>43</v>
      </c>
      <c r="C3595" s="2" t="s">
        <v>9</v>
      </c>
      <c r="D3595" s="2" t="s">
        <v>39</v>
      </c>
      <c r="E3595" s="3">
        <v>230</v>
      </c>
      <c r="F3595" s="3">
        <f>170/7</f>
        <v>24.285714285714285</v>
      </c>
      <c r="G3595" s="4">
        <v>44984</v>
      </c>
      <c r="I3595" s="1">
        <v>2000</v>
      </c>
      <c r="J3595" s="1">
        <v>2000</v>
      </c>
    </row>
    <row r="3596" spans="2:18" x14ac:dyDescent="0.2">
      <c r="B3596" s="1" t="s">
        <v>956</v>
      </c>
      <c r="C3596" s="2" t="s">
        <v>18</v>
      </c>
      <c r="D3596" s="2" t="s">
        <v>952</v>
      </c>
      <c r="E3596" s="3">
        <v>270</v>
      </c>
      <c r="F3596" s="3">
        <v>24</v>
      </c>
      <c r="G3596" s="4">
        <v>45048</v>
      </c>
    </row>
    <row r="3597" spans="2:18" x14ac:dyDescent="0.2">
      <c r="B3597" s="1" t="s">
        <v>954</v>
      </c>
      <c r="C3597" s="2" t="s">
        <v>18</v>
      </c>
      <c r="D3597" s="2" t="s">
        <v>952</v>
      </c>
      <c r="E3597" s="3">
        <v>270</v>
      </c>
      <c r="F3597" s="3">
        <v>24</v>
      </c>
      <c r="G3597" s="4">
        <v>45048</v>
      </c>
    </row>
    <row r="3598" spans="2:18" x14ac:dyDescent="0.2">
      <c r="B3598" s="1" t="s">
        <v>953</v>
      </c>
      <c r="C3598" s="2" t="s">
        <v>18</v>
      </c>
      <c r="D3598" s="2" t="s">
        <v>952</v>
      </c>
      <c r="E3598" s="3">
        <v>270</v>
      </c>
      <c r="F3598" s="3">
        <v>24</v>
      </c>
      <c r="G3598" s="4">
        <v>45048</v>
      </c>
    </row>
    <row r="3599" spans="2:18" x14ac:dyDescent="0.2">
      <c r="B3599" s="1" t="s">
        <v>206</v>
      </c>
      <c r="C3599" s="2" t="s">
        <v>18</v>
      </c>
      <c r="D3599" s="2" t="s">
        <v>197</v>
      </c>
      <c r="E3599" s="3">
        <v>500</v>
      </c>
      <c r="F3599" s="3">
        <f>200/9</f>
        <v>22.222222222222221</v>
      </c>
      <c r="G3599" s="4">
        <v>44274</v>
      </c>
    </row>
    <row r="3600" spans="2:18" x14ac:dyDescent="0.2">
      <c r="G3600" s="4"/>
    </row>
    <row r="3601" spans="2:18" x14ac:dyDescent="0.2">
      <c r="B3601" s="1" t="s">
        <v>951</v>
      </c>
      <c r="C3601" s="2" t="s">
        <v>7</v>
      </c>
      <c r="D3601" s="2" t="s">
        <v>949</v>
      </c>
      <c r="E3601" s="3">
        <v>350</v>
      </c>
      <c r="F3601" s="3">
        <v>20</v>
      </c>
      <c r="G3601" s="4">
        <v>44999</v>
      </c>
    </row>
    <row r="3602" spans="2:18" x14ac:dyDescent="0.2">
      <c r="B3602" s="1" t="s">
        <v>950</v>
      </c>
      <c r="C3602" s="2" t="s">
        <v>7</v>
      </c>
      <c r="D3602" s="2" t="s">
        <v>949</v>
      </c>
      <c r="E3602" s="3">
        <v>350</v>
      </c>
      <c r="F3602" s="3">
        <v>20</v>
      </c>
      <c r="G3602" s="4">
        <v>44999</v>
      </c>
    </row>
    <row r="3603" spans="2:18" x14ac:dyDescent="0.2">
      <c r="B3603" s="1" t="s">
        <v>948</v>
      </c>
      <c r="C3603" s="2" t="s">
        <v>4</v>
      </c>
      <c r="D3603" s="2" t="s">
        <v>912</v>
      </c>
      <c r="E3603" s="3">
        <v>42</v>
      </c>
      <c r="F3603" s="3">
        <v>20</v>
      </c>
      <c r="G3603" s="4">
        <v>44882</v>
      </c>
    </row>
    <row r="3604" spans="2:18" x14ac:dyDescent="0.2">
      <c r="B3604" s="1" t="s">
        <v>547</v>
      </c>
      <c r="C3604" s="2" t="s">
        <v>5</v>
      </c>
      <c r="D3604" s="2" t="s">
        <v>546</v>
      </c>
      <c r="E3604" s="3">
        <v>58</v>
      </c>
      <c r="F3604" s="3">
        <v>20</v>
      </c>
      <c r="G3604" s="4">
        <v>45104</v>
      </c>
      <c r="M3604" s="1"/>
      <c r="N3604" s="1"/>
      <c r="O3604" s="1"/>
      <c r="P3604" s="1"/>
      <c r="Q3604" s="1"/>
      <c r="R3604" s="1"/>
    </row>
    <row r="3605" spans="2:18" x14ac:dyDescent="0.2">
      <c r="B3605" s="1" t="s">
        <v>392</v>
      </c>
      <c r="C3605" s="2" t="s">
        <v>18</v>
      </c>
      <c r="D3605" s="2" t="s">
        <v>386</v>
      </c>
      <c r="E3605" s="3">
        <v>110</v>
      </c>
      <c r="F3605" s="3">
        <v>20</v>
      </c>
      <c r="G3605" s="4">
        <v>43690</v>
      </c>
      <c r="M3605" s="1"/>
      <c r="N3605" s="1"/>
      <c r="O3605" s="1"/>
      <c r="P3605" s="1"/>
      <c r="Q3605" s="1"/>
      <c r="R3605" s="1"/>
    </row>
    <row r="3606" spans="2:18" x14ac:dyDescent="0.2">
      <c r="B3606" s="1" t="s">
        <v>4329</v>
      </c>
      <c r="C3606" s="2" t="s">
        <v>8</v>
      </c>
      <c r="D3606" s="2" t="s">
        <v>2137</v>
      </c>
      <c r="E3606" s="3">
        <v>220</v>
      </c>
      <c r="F3606" s="3">
        <v>20</v>
      </c>
      <c r="G3606" s="4">
        <v>44287</v>
      </c>
    </row>
    <row r="3607" spans="2:18" x14ac:dyDescent="0.2">
      <c r="B3607" s="1" t="s">
        <v>166</v>
      </c>
      <c r="C3607" s="2" t="s">
        <v>5</v>
      </c>
      <c r="D3607" s="2" t="s">
        <v>161</v>
      </c>
      <c r="E3607" s="3">
        <v>112</v>
      </c>
      <c r="F3607" s="3">
        <v>20</v>
      </c>
      <c r="G3607" s="4">
        <v>43115</v>
      </c>
      <c r="J3607" s="1">
        <v>8400</v>
      </c>
    </row>
    <row r="3608" spans="2:18" x14ac:dyDescent="0.2">
      <c r="B3608" s="1" t="s">
        <v>143</v>
      </c>
      <c r="C3608" s="2" t="s">
        <v>8</v>
      </c>
      <c r="D3608" s="2" t="s">
        <v>131</v>
      </c>
      <c r="E3608" s="3">
        <v>135</v>
      </c>
      <c r="F3608" s="3">
        <v>20</v>
      </c>
      <c r="G3608" s="4">
        <v>44880</v>
      </c>
    </row>
    <row r="3609" spans="2:18" x14ac:dyDescent="0.2">
      <c r="B3609" s="1" t="s">
        <v>137</v>
      </c>
      <c r="C3609" s="2" t="s">
        <v>18</v>
      </c>
      <c r="D3609" s="2" t="s">
        <v>131</v>
      </c>
      <c r="E3609" s="3">
        <v>73</v>
      </c>
      <c r="F3609" s="3">
        <v>20</v>
      </c>
      <c r="G3609" s="4">
        <v>44565</v>
      </c>
      <c r="J3609" s="1">
        <v>615</v>
      </c>
    </row>
    <row r="3610" spans="2:18" x14ac:dyDescent="0.2">
      <c r="B3610" s="1" t="s">
        <v>136</v>
      </c>
      <c r="C3610" s="2" t="s">
        <v>18</v>
      </c>
      <c r="D3610" s="2" t="s">
        <v>131</v>
      </c>
      <c r="E3610" s="3">
        <v>73</v>
      </c>
      <c r="F3610" s="3">
        <v>20</v>
      </c>
      <c r="G3610" s="4">
        <v>44565</v>
      </c>
    </row>
    <row r="3611" spans="2:18" x14ac:dyDescent="0.2">
      <c r="B3611" s="1" t="s">
        <v>4328</v>
      </c>
      <c r="C3611" s="2" t="s">
        <v>8</v>
      </c>
      <c r="D3611" s="2" t="s">
        <v>2137</v>
      </c>
      <c r="E3611" s="3">
        <v>220</v>
      </c>
      <c r="F3611" s="3">
        <f>140/7</f>
        <v>20</v>
      </c>
      <c r="G3611" s="4">
        <v>44287</v>
      </c>
    </row>
    <row r="3612" spans="2:18" x14ac:dyDescent="0.2">
      <c r="B3612" s="1" t="s">
        <v>4330</v>
      </c>
      <c r="C3612" s="2" t="s">
        <v>8</v>
      </c>
      <c r="D3612" s="2" t="s">
        <v>2137</v>
      </c>
      <c r="E3612" s="3">
        <v>220</v>
      </c>
      <c r="F3612" s="3">
        <f>140/7</f>
        <v>20</v>
      </c>
      <c r="G3612" s="4">
        <v>44287</v>
      </c>
    </row>
    <row r="3613" spans="2:18" x14ac:dyDescent="0.2">
      <c r="B3613" s="1" t="s">
        <v>4331</v>
      </c>
      <c r="C3613" s="2" t="s">
        <v>8</v>
      </c>
      <c r="D3613" s="2" t="s">
        <v>2137</v>
      </c>
      <c r="E3613" s="3">
        <v>220</v>
      </c>
      <c r="F3613" s="3">
        <f>140/7</f>
        <v>20</v>
      </c>
      <c r="G3613" s="4">
        <v>44287</v>
      </c>
    </row>
    <row r="3614" spans="2:18" x14ac:dyDescent="0.2">
      <c r="B3614" s="1" t="s">
        <v>4332</v>
      </c>
      <c r="C3614" s="2" t="s">
        <v>8</v>
      </c>
      <c r="D3614" s="2" t="s">
        <v>2137</v>
      </c>
      <c r="E3614" s="3">
        <v>220</v>
      </c>
      <c r="F3614" s="3">
        <f>140/7</f>
        <v>20</v>
      </c>
      <c r="G3614" s="4">
        <v>44287</v>
      </c>
    </row>
    <row r="3615" spans="2:18" x14ac:dyDescent="0.2">
      <c r="B3615" s="1" t="s">
        <v>4333</v>
      </c>
      <c r="C3615" s="2" t="s">
        <v>8</v>
      </c>
      <c r="D3615" s="2" t="s">
        <v>2137</v>
      </c>
      <c r="E3615" s="3">
        <v>220</v>
      </c>
      <c r="F3615" s="3">
        <f>140/7</f>
        <v>20</v>
      </c>
      <c r="G3615" s="4">
        <v>44287</v>
      </c>
    </row>
    <row r="3616" spans="2:18" x14ac:dyDescent="0.2">
      <c r="B3616" s="1" t="s">
        <v>4337</v>
      </c>
      <c r="C3616" s="2" t="s">
        <v>8</v>
      </c>
      <c r="D3616" s="2" t="s">
        <v>2137</v>
      </c>
      <c r="E3616" s="3">
        <v>200</v>
      </c>
      <c r="F3616" s="3">
        <f>160/8</f>
        <v>20</v>
      </c>
      <c r="G3616" s="4">
        <v>44237</v>
      </c>
    </row>
    <row r="3617" spans="2:18" x14ac:dyDescent="0.2">
      <c r="B3617" s="1" t="s">
        <v>4338</v>
      </c>
      <c r="C3617" s="2" t="s">
        <v>8</v>
      </c>
      <c r="D3617" s="2" t="s">
        <v>2137</v>
      </c>
      <c r="E3617" s="3">
        <v>200</v>
      </c>
      <c r="F3617" s="3">
        <f>160/8</f>
        <v>20</v>
      </c>
      <c r="G3617" s="4">
        <v>44237</v>
      </c>
    </row>
    <row r="3618" spans="2:18" x14ac:dyDescent="0.2">
      <c r="B3618" s="1" t="s">
        <v>4339</v>
      </c>
      <c r="C3618" s="2" t="s">
        <v>8</v>
      </c>
      <c r="D3618" s="2" t="s">
        <v>2137</v>
      </c>
      <c r="E3618" s="3">
        <v>200</v>
      </c>
      <c r="F3618" s="3">
        <f>160/8</f>
        <v>20</v>
      </c>
      <c r="G3618" s="4">
        <v>44237</v>
      </c>
    </row>
    <row r="3619" spans="2:18" x14ac:dyDescent="0.2">
      <c r="B3619" s="1" t="s">
        <v>4340</v>
      </c>
      <c r="C3619" s="2" t="s">
        <v>8</v>
      </c>
      <c r="D3619" s="2" t="s">
        <v>2137</v>
      </c>
      <c r="E3619" s="3">
        <v>200</v>
      </c>
      <c r="F3619" s="3">
        <f>160/8</f>
        <v>20</v>
      </c>
      <c r="G3619" s="4">
        <v>44237</v>
      </c>
    </row>
    <row r="3620" spans="2:18" x14ac:dyDescent="0.2">
      <c r="B3620" s="135" t="s">
        <v>6229</v>
      </c>
      <c r="C3620" s="141" t="s">
        <v>7</v>
      </c>
      <c r="D3620" s="141" t="s">
        <v>2060</v>
      </c>
      <c r="E3620" s="3">
        <v>50</v>
      </c>
      <c r="F3620" s="3">
        <v>20</v>
      </c>
      <c r="G3620" s="4">
        <v>44518</v>
      </c>
    </row>
    <row r="3621" spans="2:18" x14ac:dyDescent="0.2">
      <c r="B3621" s="135" t="s">
        <v>6297</v>
      </c>
      <c r="C3621" s="141" t="s">
        <v>7</v>
      </c>
      <c r="D3621" s="141" t="s">
        <v>6298</v>
      </c>
      <c r="E3621" s="3">
        <v>52.2</v>
      </c>
      <c r="F3621" s="3">
        <v>20</v>
      </c>
      <c r="G3621" s="4">
        <v>44476</v>
      </c>
    </row>
    <row r="3622" spans="2:18" x14ac:dyDescent="0.2">
      <c r="B3622" s="1" t="s">
        <v>946</v>
      </c>
      <c r="C3622" s="2" t="s">
        <v>9</v>
      </c>
      <c r="D3622" s="2" t="s">
        <v>803</v>
      </c>
      <c r="E3622" s="3">
        <v>325</v>
      </c>
      <c r="F3622" s="3">
        <v>18.5</v>
      </c>
      <c r="G3622" s="4">
        <v>44299</v>
      </c>
    </row>
    <row r="3623" spans="2:18" x14ac:dyDescent="0.2">
      <c r="B3623" s="1" t="s">
        <v>35</v>
      </c>
      <c r="C3623" s="2" t="s">
        <v>18</v>
      </c>
      <c r="D3623" s="2" t="s">
        <v>32</v>
      </c>
      <c r="E3623" s="3">
        <v>230</v>
      </c>
      <c r="F3623" s="3">
        <f>110/7</f>
        <v>15.714285714285714</v>
      </c>
      <c r="G3623" s="4">
        <v>43634</v>
      </c>
      <c r="I3623" s="1">
        <v>770</v>
      </c>
      <c r="J3623" s="1">
        <v>770</v>
      </c>
    </row>
    <row r="3624" spans="2:18" x14ac:dyDescent="0.2">
      <c r="B3624" s="1" t="s">
        <v>34</v>
      </c>
      <c r="C3624" s="2" t="s">
        <v>18</v>
      </c>
      <c r="D3624" s="2" t="s">
        <v>32</v>
      </c>
      <c r="E3624" s="3">
        <v>230</v>
      </c>
      <c r="F3624" s="3">
        <f>110/7</f>
        <v>15.714285714285714</v>
      </c>
      <c r="G3624" s="4">
        <v>43634</v>
      </c>
      <c r="I3624" s="1">
        <v>770</v>
      </c>
      <c r="J3624" s="1">
        <v>770</v>
      </c>
    </row>
    <row r="3625" spans="2:18" x14ac:dyDescent="0.2">
      <c r="B3625" s="1" t="s">
        <v>463</v>
      </c>
      <c r="C3625" s="2" t="s">
        <v>7</v>
      </c>
      <c r="D3625" s="2" t="s">
        <v>461</v>
      </c>
      <c r="E3625" s="3">
        <v>25.7</v>
      </c>
      <c r="F3625" s="3">
        <v>15.7</v>
      </c>
      <c r="G3625" s="4">
        <v>43837</v>
      </c>
      <c r="M3625" s="1"/>
      <c r="N3625" s="1"/>
      <c r="O3625" s="1"/>
      <c r="P3625" s="1"/>
      <c r="Q3625" s="1"/>
      <c r="R3625" s="1"/>
    </row>
    <row r="3626" spans="2:18" x14ac:dyDescent="0.2">
      <c r="B3626" s="1" t="s">
        <v>218</v>
      </c>
      <c r="C3626" s="2" t="s">
        <v>18</v>
      </c>
      <c r="D3626" s="2" t="s">
        <v>211</v>
      </c>
      <c r="E3626" s="3">
        <v>140</v>
      </c>
      <c r="F3626" s="3">
        <f t="shared" ref="F3626:F3632" si="5">E3626/9</f>
        <v>15.555555555555555</v>
      </c>
      <c r="G3626" s="4">
        <v>43453</v>
      </c>
    </row>
    <row r="3627" spans="2:18" x14ac:dyDescent="0.2">
      <c r="B3627" s="1" t="s">
        <v>217</v>
      </c>
      <c r="C3627" s="2" t="s">
        <v>18</v>
      </c>
      <c r="D3627" s="2" t="s">
        <v>211</v>
      </c>
      <c r="E3627" s="3">
        <v>140</v>
      </c>
      <c r="F3627" s="3">
        <f t="shared" si="5"/>
        <v>15.555555555555555</v>
      </c>
      <c r="G3627" s="4">
        <v>43453</v>
      </c>
    </row>
    <row r="3628" spans="2:18" x14ac:dyDescent="0.2">
      <c r="B3628" s="1" t="s">
        <v>216</v>
      </c>
      <c r="C3628" s="2" t="s">
        <v>18</v>
      </c>
      <c r="D3628" s="2" t="s">
        <v>211</v>
      </c>
      <c r="E3628" s="3">
        <v>140</v>
      </c>
      <c r="F3628" s="3">
        <f t="shared" si="5"/>
        <v>15.555555555555555</v>
      </c>
      <c r="G3628" s="4">
        <v>43453</v>
      </c>
    </row>
    <row r="3629" spans="2:18" x14ac:dyDescent="0.2">
      <c r="B3629" s="1" t="s">
        <v>215</v>
      </c>
      <c r="C3629" s="2" t="s">
        <v>18</v>
      </c>
      <c r="D3629" s="2" t="s">
        <v>211</v>
      </c>
      <c r="E3629" s="3">
        <v>140</v>
      </c>
      <c r="F3629" s="3">
        <f t="shared" si="5"/>
        <v>15.555555555555555</v>
      </c>
      <c r="G3629" s="4">
        <v>43453</v>
      </c>
    </row>
    <row r="3630" spans="2:18" x14ac:dyDescent="0.2">
      <c r="B3630" s="1" t="s">
        <v>214</v>
      </c>
      <c r="C3630" s="2" t="s">
        <v>18</v>
      </c>
      <c r="D3630" s="2" t="s">
        <v>211</v>
      </c>
      <c r="E3630" s="3">
        <v>140</v>
      </c>
      <c r="F3630" s="3">
        <f t="shared" si="5"/>
        <v>15.555555555555555</v>
      </c>
      <c r="G3630" s="4">
        <v>43453</v>
      </c>
    </row>
    <row r="3631" spans="2:18" x14ac:dyDescent="0.2">
      <c r="B3631" s="1" t="s">
        <v>213</v>
      </c>
      <c r="C3631" s="2" t="s">
        <v>18</v>
      </c>
      <c r="D3631" s="2" t="s">
        <v>211</v>
      </c>
      <c r="E3631" s="3">
        <v>140</v>
      </c>
      <c r="F3631" s="3">
        <f t="shared" si="5"/>
        <v>15.555555555555555</v>
      </c>
      <c r="G3631" s="4">
        <v>43453</v>
      </c>
    </row>
    <row r="3632" spans="2:18" x14ac:dyDescent="0.2">
      <c r="B3632" s="1" t="s">
        <v>212</v>
      </c>
      <c r="C3632" s="2" t="s">
        <v>18</v>
      </c>
      <c r="D3632" s="2" t="s">
        <v>211</v>
      </c>
      <c r="E3632" s="3">
        <v>140</v>
      </c>
      <c r="F3632" s="3">
        <f t="shared" si="5"/>
        <v>15.555555555555555</v>
      </c>
      <c r="G3632" s="4">
        <v>43453</v>
      </c>
    </row>
    <row r="3633" spans="2:18" x14ac:dyDescent="0.2">
      <c r="B3633" s="1" t="s">
        <v>945</v>
      </c>
      <c r="C3633" s="2" t="s">
        <v>5</v>
      </c>
      <c r="D3633" s="2" t="s">
        <v>763</v>
      </c>
      <c r="E3633" s="3">
        <v>125</v>
      </c>
      <c r="F3633" s="3">
        <v>15</v>
      </c>
      <c r="G3633" s="4">
        <v>44852</v>
      </c>
    </row>
    <row r="3634" spans="2:18" x14ac:dyDescent="0.2">
      <c r="G3634" s="4"/>
    </row>
    <row r="3635" spans="2:18" x14ac:dyDescent="0.2">
      <c r="B3635" s="1" t="s">
        <v>944</v>
      </c>
      <c r="C3635" s="2" t="s">
        <v>5</v>
      </c>
      <c r="D3635" s="2" t="s">
        <v>763</v>
      </c>
      <c r="E3635" s="3">
        <v>125</v>
      </c>
      <c r="F3635" s="3">
        <v>15</v>
      </c>
      <c r="G3635" s="4">
        <v>44852</v>
      </c>
    </row>
    <row r="3636" spans="2:18" x14ac:dyDescent="0.2">
      <c r="C3636" s="282" t="s">
        <v>504</v>
      </c>
      <c r="D3636" s="282" t="s">
        <v>1006</v>
      </c>
      <c r="E3636" s="3">
        <v>1000</v>
      </c>
      <c r="F3636" s="3">
        <f>900/23</f>
        <v>39.130434782608695</v>
      </c>
      <c r="G3636" s="4">
        <v>44228</v>
      </c>
      <c r="I3636" s="1">
        <v>27000</v>
      </c>
      <c r="J3636" s="1">
        <v>42500</v>
      </c>
    </row>
    <row r="3637" spans="2:18" x14ac:dyDescent="0.2">
      <c r="G3637" s="4"/>
    </row>
    <row r="3638" spans="2:18" x14ac:dyDescent="0.2">
      <c r="B3638" s="1" t="s">
        <v>943</v>
      </c>
      <c r="C3638" s="2" t="s">
        <v>5</v>
      </c>
      <c r="D3638" s="2" t="s">
        <v>928</v>
      </c>
      <c r="E3638" s="3">
        <v>25</v>
      </c>
      <c r="F3638" s="3">
        <v>15</v>
      </c>
      <c r="G3638" s="4">
        <v>44944</v>
      </c>
    </row>
    <row r="3639" spans="2:18" x14ac:dyDescent="0.2">
      <c r="B3639" s="1" t="s">
        <v>545</v>
      </c>
      <c r="C3639" s="2" t="s">
        <v>7</v>
      </c>
      <c r="D3639" s="2" t="s">
        <v>542</v>
      </c>
      <c r="E3639" s="3">
        <v>40</v>
      </c>
      <c r="F3639" s="3">
        <v>15</v>
      </c>
      <c r="G3639" s="4">
        <v>44811</v>
      </c>
      <c r="M3639" s="1"/>
      <c r="N3639" s="1"/>
      <c r="O3639" s="1"/>
      <c r="P3639" s="1"/>
      <c r="Q3639" s="1"/>
      <c r="R3639" s="1"/>
    </row>
    <row r="3640" spans="2:18" x14ac:dyDescent="0.2">
      <c r="B3640" s="1" t="s">
        <v>540</v>
      </c>
      <c r="C3640" s="2" t="s">
        <v>18</v>
      </c>
      <c r="D3640" s="2" t="s">
        <v>533</v>
      </c>
      <c r="E3640" s="3">
        <v>45</v>
      </c>
      <c r="F3640" s="3">
        <v>15</v>
      </c>
      <c r="G3640" s="4">
        <v>44159</v>
      </c>
      <c r="M3640" s="1"/>
      <c r="N3640" s="1"/>
      <c r="O3640" s="1"/>
      <c r="P3640" s="1"/>
      <c r="Q3640" s="1"/>
      <c r="R3640" s="1"/>
    </row>
    <row r="3641" spans="2:18" x14ac:dyDescent="0.2">
      <c r="B3641" s="1" t="s">
        <v>455</v>
      </c>
      <c r="C3641" s="2" t="s">
        <v>7</v>
      </c>
      <c r="D3641" s="2" t="s">
        <v>454</v>
      </c>
      <c r="E3641" s="3">
        <v>25</v>
      </c>
      <c r="F3641" s="3">
        <v>15</v>
      </c>
      <c r="G3641" s="4">
        <v>43972</v>
      </c>
      <c r="M3641" s="1"/>
      <c r="N3641" s="1"/>
      <c r="O3641" s="1"/>
      <c r="P3641" s="1"/>
      <c r="Q3641" s="1"/>
      <c r="R3641" s="1"/>
    </row>
    <row r="3642" spans="2:18" x14ac:dyDescent="0.2">
      <c r="B3642" s="1" t="s">
        <v>407</v>
      </c>
      <c r="C3642" s="2" t="s">
        <v>18</v>
      </c>
      <c r="D3642" s="2" t="s">
        <v>403</v>
      </c>
      <c r="E3642" s="3">
        <v>90</v>
      </c>
      <c r="F3642" s="3">
        <v>15</v>
      </c>
      <c r="G3642" s="4">
        <v>45090</v>
      </c>
      <c r="M3642" s="1"/>
      <c r="N3642" s="1"/>
      <c r="O3642" s="1"/>
      <c r="P3642" s="1"/>
      <c r="Q3642" s="1"/>
      <c r="R3642" s="1"/>
    </row>
    <row r="3643" spans="2:18" x14ac:dyDescent="0.2">
      <c r="B3643" s="1" t="s">
        <v>60</v>
      </c>
      <c r="C3643" s="2" t="s">
        <v>18</v>
      </c>
      <c r="D3643" s="2" t="s">
        <v>57</v>
      </c>
      <c r="E3643" s="3">
        <v>100</v>
      </c>
      <c r="F3643" s="3">
        <f>75/5</f>
        <v>15</v>
      </c>
      <c r="G3643" s="4">
        <v>44650</v>
      </c>
    </row>
    <row r="3644" spans="2:18" x14ac:dyDescent="0.2">
      <c r="B3644" s="1" t="s">
        <v>59</v>
      </c>
      <c r="C3644" s="2" t="s">
        <v>18</v>
      </c>
      <c r="D3644" s="2" t="s">
        <v>57</v>
      </c>
      <c r="E3644" s="3">
        <v>100</v>
      </c>
      <c r="F3644" s="3">
        <f>75/5</f>
        <v>15</v>
      </c>
      <c r="G3644" s="4">
        <v>44650</v>
      </c>
    </row>
    <row r="3645" spans="2:18" x14ac:dyDescent="0.2">
      <c r="B3645" s="1" t="s">
        <v>42</v>
      </c>
      <c r="C3645" s="2" t="s">
        <v>18</v>
      </c>
      <c r="D3645" s="2" t="s">
        <v>39</v>
      </c>
      <c r="E3645" s="3">
        <v>100</v>
      </c>
      <c r="F3645" s="3">
        <v>15</v>
      </c>
      <c r="G3645" s="4">
        <v>44025</v>
      </c>
      <c r="J3645" s="1">
        <v>2000</v>
      </c>
    </row>
    <row r="3646" spans="2:18" x14ac:dyDescent="0.2">
      <c r="B3646" s="1" t="s">
        <v>4367</v>
      </c>
      <c r="C3646" s="2" t="s">
        <v>8</v>
      </c>
      <c r="D3646" s="2" t="s">
        <v>3938</v>
      </c>
      <c r="E3646" s="3">
        <v>90</v>
      </c>
      <c r="F3646" s="3">
        <f>45/3</f>
        <v>15</v>
      </c>
      <c r="G3646" s="4">
        <v>40354</v>
      </c>
      <c r="I3646" s="1">
        <v>645</v>
      </c>
      <c r="J3646" s="1">
        <v>32500</v>
      </c>
    </row>
    <row r="3647" spans="2:18" x14ac:dyDescent="0.2">
      <c r="B3647" s="92" t="s">
        <v>5249</v>
      </c>
      <c r="C3647" s="93" t="s">
        <v>18</v>
      </c>
      <c r="D3647" s="93" t="s">
        <v>5250</v>
      </c>
      <c r="E3647" s="3">
        <v>115</v>
      </c>
      <c r="F3647" s="3">
        <v>15</v>
      </c>
      <c r="G3647" s="4">
        <v>44469</v>
      </c>
    </row>
    <row r="3648" spans="2:18" x14ac:dyDescent="0.2">
      <c r="B3648" s="51" t="s">
        <v>4856</v>
      </c>
      <c r="C3648" s="52" t="s">
        <v>18</v>
      </c>
      <c r="D3648" s="52" t="s">
        <v>2121</v>
      </c>
      <c r="E3648" s="3">
        <v>300</v>
      </c>
      <c r="F3648" s="3">
        <f t="shared" ref="F3648:F3660" si="6">200/14</f>
        <v>14.285714285714286</v>
      </c>
      <c r="G3648" s="4">
        <v>44300</v>
      </c>
      <c r="I3648" s="1">
        <v>700</v>
      </c>
      <c r="J3648" s="1">
        <v>700</v>
      </c>
    </row>
    <row r="3649" spans="2:18" x14ac:dyDescent="0.2">
      <c r="B3649" s="51"/>
      <c r="C3649" s="253" t="s">
        <v>5</v>
      </c>
      <c r="D3649" s="253" t="s">
        <v>2011</v>
      </c>
      <c r="E3649" s="3">
        <v>11.5</v>
      </c>
      <c r="F3649" s="3">
        <f>6/3</f>
        <v>2</v>
      </c>
      <c r="G3649" s="4">
        <v>45063</v>
      </c>
    </row>
    <row r="3650" spans="2:18" x14ac:dyDescent="0.2">
      <c r="B3650" s="51"/>
      <c r="C3650" s="52"/>
      <c r="D3650" s="52"/>
      <c r="G3650" s="4"/>
    </row>
    <row r="3651" spans="2:18" x14ac:dyDescent="0.2">
      <c r="B3651" s="51"/>
      <c r="C3651" s="52"/>
      <c r="D3651" s="52"/>
      <c r="G3651" s="4"/>
    </row>
    <row r="3652" spans="2:18" x14ac:dyDescent="0.2">
      <c r="B3652" s="51" t="s">
        <v>4857</v>
      </c>
      <c r="C3652" s="52" t="s">
        <v>18</v>
      </c>
      <c r="D3652" s="52" t="s">
        <v>2121</v>
      </c>
      <c r="E3652" s="3">
        <v>300</v>
      </c>
      <c r="F3652" s="3">
        <f t="shared" si="6"/>
        <v>14.285714285714286</v>
      </c>
      <c r="G3652" s="4">
        <v>44300</v>
      </c>
      <c r="I3652" s="1">
        <v>700</v>
      </c>
      <c r="J3652" s="1">
        <v>700</v>
      </c>
    </row>
    <row r="3653" spans="2:18" x14ac:dyDescent="0.2">
      <c r="B3653" s="51" t="s">
        <v>4858</v>
      </c>
      <c r="C3653" s="52" t="s">
        <v>18</v>
      </c>
      <c r="D3653" s="52" t="s">
        <v>2121</v>
      </c>
      <c r="E3653" s="3">
        <v>300</v>
      </c>
      <c r="F3653" s="3">
        <f t="shared" si="6"/>
        <v>14.285714285714286</v>
      </c>
      <c r="G3653" s="4">
        <v>44300</v>
      </c>
      <c r="I3653" s="1">
        <v>700</v>
      </c>
      <c r="J3653" s="1">
        <v>700</v>
      </c>
    </row>
    <row r="3654" spans="2:18" x14ac:dyDescent="0.2">
      <c r="B3654" s="51" t="s">
        <v>2282</v>
      </c>
      <c r="C3654" s="52" t="s">
        <v>18</v>
      </c>
      <c r="D3654" s="52" t="s">
        <v>2121</v>
      </c>
      <c r="E3654" s="3">
        <v>300</v>
      </c>
      <c r="F3654" s="3">
        <f t="shared" si="6"/>
        <v>14.285714285714286</v>
      </c>
      <c r="G3654" s="4">
        <v>44300</v>
      </c>
      <c r="I3654" s="1">
        <v>700</v>
      </c>
      <c r="J3654" s="1">
        <v>700</v>
      </c>
    </row>
    <row r="3655" spans="2:18" x14ac:dyDescent="0.2">
      <c r="B3655" s="51" t="s">
        <v>4859</v>
      </c>
      <c r="C3655" s="52" t="s">
        <v>18</v>
      </c>
      <c r="D3655" s="52" t="s">
        <v>2121</v>
      </c>
      <c r="E3655" s="3">
        <v>300</v>
      </c>
      <c r="F3655" s="3">
        <f t="shared" si="6"/>
        <v>14.285714285714286</v>
      </c>
      <c r="G3655" s="4">
        <v>44300</v>
      </c>
      <c r="I3655" s="1">
        <v>700</v>
      </c>
      <c r="J3655" s="1">
        <v>700</v>
      </c>
    </row>
    <row r="3656" spans="2:18" x14ac:dyDescent="0.2">
      <c r="B3656" s="51" t="s">
        <v>4860</v>
      </c>
      <c r="C3656" s="52" t="s">
        <v>18</v>
      </c>
      <c r="D3656" s="52" t="s">
        <v>2121</v>
      </c>
      <c r="E3656" s="3">
        <v>300</v>
      </c>
      <c r="F3656" s="3">
        <f t="shared" si="6"/>
        <v>14.285714285714286</v>
      </c>
      <c r="G3656" s="4">
        <v>44300</v>
      </c>
      <c r="I3656" s="1">
        <v>700</v>
      </c>
      <c r="J3656" s="1">
        <v>700</v>
      </c>
    </row>
    <row r="3657" spans="2:18" x14ac:dyDescent="0.2">
      <c r="B3657" s="51" t="s">
        <v>4861</v>
      </c>
      <c r="C3657" s="52" t="s">
        <v>18</v>
      </c>
      <c r="D3657" s="52" t="s">
        <v>2121</v>
      </c>
      <c r="E3657" s="3">
        <v>300</v>
      </c>
      <c r="F3657" s="3">
        <f t="shared" si="6"/>
        <v>14.285714285714286</v>
      </c>
      <c r="G3657" s="4">
        <v>44300</v>
      </c>
      <c r="I3657" s="1">
        <v>700</v>
      </c>
      <c r="J3657" s="1">
        <v>700</v>
      </c>
    </row>
    <row r="3658" spans="2:18" x14ac:dyDescent="0.2">
      <c r="B3658" s="51" t="s">
        <v>4862</v>
      </c>
      <c r="C3658" s="52" t="s">
        <v>18</v>
      </c>
      <c r="D3658" s="52" t="s">
        <v>2121</v>
      </c>
      <c r="E3658" s="3">
        <v>300</v>
      </c>
      <c r="F3658" s="3">
        <f t="shared" si="6"/>
        <v>14.285714285714286</v>
      </c>
      <c r="G3658" s="4">
        <v>44300</v>
      </c>
      <c r="I3658" s="1">
        <v>700</v>
      </c>
      <c r="J3658" s="1">
        <v>700</v>
      </c>
    </row>
    <row r="3659" spans="2:18" x14ac:dyDescent="0.2">
      <c r="B3659" s="51" t="s">
        <v>4863</v>
      </c>
      <c r="C3659" s="52" t="s">
        <v>18</v>
      </c>
      <c r="D3659" s="52" t="s">
        <v>2121</v>
      </c>
      <c r="E3659" s="3">
        <v>300</v>
      </c>
      <c r="F3659" s="3">
        <f t="shared" si="6"/>
        <v>14.285714285714286</v>
      </c>
      <c r="G3659" s="4">
        <v>44300</v>
      </c>
      <c r="I3659" s="1">
        <v>700</v>
      </c>
      <c r="J3659" s="1">
        <v>700</v>
      </c>
    </row>
    <row r="3660" spans="2:18" x14ac:dyDescent="0.2">
      <c r="B3660" s="51" t="s">
        <v>4864</v>
      </c>
      <c r="C3660" s="52" t="s">
        <v>18</v>
      </c>
      <c r="D3660" s="52" t="s">
        <v>2121</v>
      </c>
      <c r="E3660" s="3">
        <v>300</v>
      </c>
      <c r="F3660" s="3">
        <f t="shared" si="6"/>
        <v>14.285714285714286</v>
      </c>
      <c r="G3660" s="4">
        <v>44300</v>
      </c>
      <c r="I3660" s="1">
        <v>700</v>
      </c>
      <c r="J3660" s="1">
        <v>700</v>
      </c>
    </row>
    <row r="3661" spans="2:18" x14ac:dyDescent="0.2">
      <c r="B3661" s="1" t="s">
        <v>51</v>
      </c>
      <c r="C3661" s="2" t="s">
        <v>8</v>
      </c>
      <c r="D3661" s="2" t="s">
        <v>47</v>
      </c>
      <c r="E3661" s="3">
        <v>145</v>
      </c>
      <c r="F3661" s="3">
        <f>85/6</f>
        <v>14.166666666666666</v>
      </c>
      <c r="G3661" s="4">
        <v>43228</v>
      </c>
      <c r="I3661" s="1">
        <v>855</v>
      </c>
      <c r="J3661" s="1">
        <v>4100</v>
      </c>
    </row>
    <row r="3662" spans="2:18" x14ac:dyDescent="0.2">
      <c r="B3662" s="1" t="s">
        <v>50</v>
      </c>
      <c r="C3662" s="2" t="s">
        <v>8</v>
      </c>
      <c r="D3662" s="2" t="s">
        <v>47</v>
      </c>
      <c r="E3662" s="3">
        <v>145</v>
      </c>
      <c r="F3662" s="3">
        <f>85/6</f>
        <v>14.166666666666666</v>
      </c>
      <c r="G3662" s="4">
        <v>43228</v>
      </c>
      <c r="I3662" s="1">
        <v>855</v>
      </c>
      <c r="J3662" s="1">
        <v>4100</v>
      </c>
    </row>
    <row r="3663" spans="2:18" x14ac:dyDescent="0.2">
      <c r="B3663" s="1" t="s">
        <v>942</v>
      </c>
      <c r="C3663" s="2" t="s">
        <v>5</v>
      </c>
      <c r="D3663" s="2" t="s">
        <v>873</v>
      </c>
      <c r="E3663" s="3">
        <v>30</v>
      </c>
      <c r="F3663" s="3">
        <v>14</v>
      </c>
      <c r="G3663" s="4">
        <v>44522</v>
      </c>
    </row>
    <row r="3664" spans="2:18" x14ac:dyDescent="0.2">
      <c r="B3664" s="1" t="s">
        <v>494</v>
      </c>
      <c r="C3664" s="2" t="s">
        <v>9</v>
      </c>
      <c r="D3664" s="2" t="s">
        <v>489</v>
      </c>
      <c r="E3664" s="3">
        <v>206</v>
      </c>
      <c r="F3664" s="3">
        <v>14</v>
      </c>
      <c r="G3664" s="4">
        <v>43725</v>
      </c>
      <c r="M3664" s="1"/>
      <c r="N3664" s="1"/>
      <c r="O3664" s="1"/>
      <c r="P3664" s="1"/>
      <c r="Q3664" s="1"/>
      <c r="R3664" s="1"/>
    </row>
    <row r="3665" spans="2:18" x14ac:dyDescent="0.2">
      <c r="B3665" s="1" t="s">
        <v>492</v>
      </c>
      <c r="C3665" s="2" t="s">
        <v>9</v>
      </c>
      <c r="D3665" s="2" t="s">
        <v>489</v>
      </c>
      <c r="E3665" s="3">
        <v>206</v>
      </c>
      <c r="F3665" s="3">
        <v>14</v>
      </c>
      <c r="G3665" s="4">
        <v>43725</v>
      </c>
      <c r="M3665" s="1"/>
      <c r="N3665" s="1"/>
      <c r="O3665" s="1"/>
      <c r="P3665" s="1"/>
      <c r="Q3665" s="1"/>
      <c r="R3665" s="1"/>
    </row>
    <row r="3666" spans="2:18" x14ac:dyDescent="0.2">
      <c r="B3666" s="1" t="s">
        <v>311</v>
      </c>
      <c r="C3666" s="2" t="s">
        <v>18</v>
      </c>
      <c r="D3666" s="2" t="s">
        <v>310</v>
      </c>
      <c r="E3666" s="3">
        <v>110</v>
      </c>
      <c r="F3666" s="3">
        <v>14</v>
      </c>
      <c r="G3666" s="4">
        <v>44369</v>
      </c>
      <c r="M3666" s="1"/>
      <c r="N3666" s="1"/>
      <c r="O3666" s="1"/>
      <c r="P3666" s="1"/>
      <c r="Q3666" s="1"/>
      <c r="R3666" s="1"/>
    </row>
    <row r="3667" spans="2:18" x14ac:dyDescent="0.2">
      <c r="B3667" s="1" t="s">
        <v>173</v>
      </c>
      <c r="C3667" s="2" t="s">
        <v>18</v>
      </c>
      <c r="D3667" s="2" t="s">
        <v>161</v>
      </c>
      <c r="E3667" s="3">
        <v>100</v>
      </c>
      <c r="F3667" s="3">
        <v>14</v>
      </c>
      <c r="G3667" s="4">
        <v>44235</v>
      </c>
      <c r="I3667" s="1">
        <v>5200</v>
      </c>
      <c r="J3667" s="1">
        <v>8400</v>
      </c>
    </row>
    <row r="3668" spans="2:18" x14ac:dyDescent="0.2">
      <c r="B3668" s="1" t="s">
        <v>77</v>
      </c>
      <c r="C3668" s="2" t="s">
        <v>8</v>
      </c>
      <c r="D3668" s="2" t="s">
        <v>74</v>
      </c>
      <c r="E3668" s="3">
        <v>81</v>
      </c>
      <c r="F3668" s="3">
        <f>+E3668/6</f>
        <v>13.5</v>
      </c>
      <c r="G3668" s="4">
        <v>43418</v>
      </c>
      <c r="I3668" s="1">
        <v>1700</v>
      </c>
      <c r="J3668" s="1">
        <v>3800</v>
      </c>
      <c r="K3668" s="5">
        <f>(E3668/(I3668+E3668))*J3668*(F3668/E3668)</f>
        <v>28.804042672655811</v>
      </c>
    </row>
    <row r="3669" spans="2:18" x14ac:dyDescent="0.2">
      <c r="B3669" s="1" t="s">
        <v>940</v>
      </c>
      <c r="C3669" s="2" t="s">
        <v>18</v>
      </c>
      <c r="D3669" s="2" t="s">
        <v>398</v>
      </c>
      <c r="E3669" s="3">
        <v>13</v>
      </c>
      <c r="F3669" s="3">
        <v>13</v>
      </c>
      <c r="G3669" s="4">
        <v>45090</v>
      </c>
    </row>
    <row r="3670" spans="2:18" x14ac:dyDescent="0.2">
      <c r="B3670" s="1" t="s">
        <v>938</v>
      </c>
      <c r="C3670" s="2" t="s">
        <v>4</v>
      </c>
      <c r="D3670" s="2" t="s">
        <v>936</v>
      </c>
      <c r="E3670" s="3">
        <v>100</v>
      </c>
      <c r="F3670" s="3">
        <v>12.5</v>
      </c>
      <c r="G3670" s="4">
        <v>44846</v>
      </c>
    </row>
    <row r="3671" spans="2:18" x14ac:dyDescent="0.2">
      <c r="B3671" s="1" t="s">
        <v>937</v>
      </c>
      <c r="C3671" s="2" t="s">
        <v>4</v>
      </c>
      <c r="D3671" s="2" t="s">
        <v>936</v>
      </c>
      <c r="E3671" s="3">
        <v>100</v>
      </c>
      <c r="F3671" s="3">
        <v>12.5</v>
      </c>
      <c r="G3671" s="4">
        <v>44846</v>
      </c>
    </row>
    <row r="3672" spans="2:18" x14ac:dyDescent="0.2">
      <c r="B3672" s="1" t="s">
        <v>531</v>
      </c>
      <c r="C3672" s="2" t="s">
        <v>8</v>
      </c>
      <c r="D3672" s="2" t="s">
        <v>520</v>
      </c>
      <c r="E3672" s="3">
        <v>100</v>
      </c>
      <c r="F3672" s="3">
        <f>50/4</f>
        <v>12.5</v>
      </c>
      <c r="G3672" s="4">
        <v>44419</v>
      </c>
      <c r="M3672" s="1"/>
      <c r="N3672" s="1"/>
      <c r="O3672" s="1"/>
      <c r="P3672" s="1"/>
      <c r="Q3672" s="1"/>
      <c r="R3672" s="1"/>
    </row>
    <row r="3673" spans="2:18" x14ac:dyDescent="0.2">
      <c r="B3673" s="1" t="s">
        <v>368</v>
      </c>
      <c r="C3673" s="2" t="s">
        <v>5</v>
      </c>
      <c r="D3673" s="2" t="s">
        <v>363</v>
      </c>
      <c r="E3673" s="3">
        <v>50</v>
      </c>
      <c r="F3673" s="3">
        <f>25/2</f>
        <v>12.5</v>
      </c>
      <c r="G3673" s="4">
        <v>43039</v>
      </c>
      <c r="M3673" s="1"/>
      <c r="N3673" s="1"/>
      <c r="O3673" s="1"/>
      <c r="P3673" s="1"/>
      <c r="Q3673" s="1"/>
      <c r="R3673" s="1"/>
    </row>
    <row r="3674" spans="2:18" x14ac:dyDescent="0.2">
      <c r="B3674" s="1" t="s">
        <v>367</v>
      </c>
      <c r="C3674" s="2" t="s">
        <v>5</v>
      </c>
      <c r="D3674" s="2" t="s">
        <v>363</v>
      </c>
      <c r="E3674" s="3">
        <v>50</v>
      </c>
      <c r="F3674" s="3">
        <f>25/2</f>
        <v>12.5</v>
      </c>
      <c r="G3674" s="4">
        <v>43039</v>
      </c>
      <c r="M3674" s="1"/>
      <c r="N3674" s="1"/>
      <c r="O3674" s="1"/>
      <c r="P3674" s="1"/>
      <c r="Q3674" s="1"/>
      <c r="R3674" s="1"/>
    </row>
    <row r="3675" spans="2:18" x14ac:dyDescent="0.2">
      <c r="B3675" s="1" t="s">
        <v>4398</v>
      </c>
      <c r="C3675" s="2" t="s">
        <v>7</v>
      </c>
      <c r="D3675" s="2" t="s">
        <v>2132</v>
      </c>
      <c r="E3675" s="3">
        <f>176</f>
        <v>176</v>
      </c>
      <c r="F3675" s="3">
        <f>150/12</f>
        <v>12.5</v>
      </c>
      <c r="G3675" s="4">
        <v>44578</v>
      </c>
    </row>
    <row r="3676" spans="2:18" x14ac:dyDescent="0.2">
      <c r="B3676" s="1" t="s">
        <v>4399</v>
      </c>
      <c r="C3676" s="2" t="s">
        <v>7</v>
      </c>
      <c r="D3676" s="2" t="s">
        <v>2132</v>
      </c>
      <c r="E3676" s="3">
        <f>176</f>
        <v>176</v>
      </c>
      <c r="F3676" s="3">
        <f>150/12</f>
        <v>12.5</v>
      </c>
      <c r="G3676" s="4">
        <v>44578</v>
      </c>
    </row>
    <row r="3677" spans="2:18" x14ac:dyDescent="0.2">
      <c r="B3677" s="1" t="s">
        <v>4400</v>
      </c>
      <c r="C3677" s="2" t="s">
        <v>7</v>
      </c>
      <c r="D3677" s="2" t="s">
        <v>2132</v>
      </c>
      <c r="E3677" s="3">
        <f>176</f>
        <v>176</v>
      </c>
      <c r="F3677" s="3">
        <f>150/12</f>
        <v>12.5</v>
      </c>
      <c r="G3677" s="4">
        <v>44578</v>
      </c>
    </row>
    <row r="3678" spans="2:18" x14ac:dyDescent="0.2">
      <c r="B3678" s="1" t="s">
        <v>4402</v>
      </c>
      <c r="C3678" s="2" t="s">
        <v>7</v>
      </c>
      <c r="D3678" s="2" t="s">
        <v>2132</v>
      </c>
      <c r="E3678" s="3">
        <f>176</f>
        <v>176</v>
      </c>
      <c r="F3678" s="3">
        <f>150/12</f>
        <v>12.5</v>
      </c>
      <c r="G3678" s="4">
        <v>44578</v>
      </c>
    </row>
    <row r="3679" spans="2:18" x14ac:dyDescent="0.2">
      <c r="B3679" s="1" t="s">
        <v>354</v>
      </c>
      <c r="C3679" s="2" t="s">
        <v>7</v>
      </c>
      <c r="D3679" s="2" t="s">
        <v>351</v>
      </c>
      <c r="E3679" s="3">
        <v>22</v>
      </c>
      <c r="F3679" s="3">
        <v>12</v>
      </c>
      <c r="G3679" s="4">
        <v>44861</v>
      </c>
      <c r="M3679" s="1"/>
      <c r="N3679" s="1"/>
      <c r="O3679" s="1"/>
      <c r="P3679" s="1"/>
      <c r="Q3679" s="1"/>
      <c r="R3679" s="1"/>
    </row>
    <row r="3680" spans="2:18" x14ac:dyDescent="0.2">
      <c r="B3680" s="1" t="s">
        <v>317</v>
      </c>
      <c r="C3680" s="2" t="s">
        <v>5</v>
      </c>
      <c r="D3680" s="2" t="s">
        <v>313</v>
      </c>
      <c r="E3680" s="3">
        <v>57</v>
      </c>
      <c r="F3680" s="3">
        <v>12</v>
      </c>
      <c r="G3680" s="4">
        <v>44508</v>
      </c>
      <c r="M3680" s="1"/>
      <c r="N3680" s="1"/>
      <c r="O3680" s="1"/>
      <c r="P3680" s="1"/>
      <c r="Q3680" s="1"/>
      <c r="R3680" s="1"/>
    </row>
    <row r="3681" spans="2:18" x14ac:dyDescent="0.2">
      <c r="B3681" s="1" t="s">
        <v>4466</v>
      </c>
      <c r="C3681" s="2" t="s">
        <v>18</v>
      </c>
      <c r="D3681" s="2" t="s">
        <v>2130</v>
      </c>
      <c r="E3681" s="3">
        <v>200</v>
      </c>
      <c r="F3681" s="3">
        <v>12</v>
      </c>
      <c r="G3681" s="4">
        <v>44557</v>
      </c>
      <c r="I3681" s="1">
        <v>1300</v>
      </c>
      <c r="J3681" s="1">
        <v>1300</v>
      </c>
    </row>
    <row r="3682" spans="2:18" x14ac:dyDescent="0.2">
      <c r="B3682" s="1" t="s">
        <v>4467</v>
      </c>
      <c r="C3682" s="2" t="s">
        <v>18</v>
      </c>
      <c r="D3682" s="2" t="s">
        <v>2130</v>
      </c>
      <c r="E3682" s="3">
        <v>200</v>
      </c>
      <c r="F3682" s="3">
        <v>12</v>
      </c>
      <c r="G3682" s="4">
        <v>44557</v>
      </c>
      <c r="I3682" s="1">
        <v>1300</v>
      </c>
      <c r="J3682" s="1">
        <v>1300</v>
      </c>
    </row>
    <row r="3683" spans="2:18" x14ac:dyDescent="0.2">
      <c r="B3683" s="1" t="s">
        <v>4468</v>
      </c>
      <c r="C3683" s="2" t="s">
        <v>18</v>
      </c>
      <c r="D3683" s="2" t="s">
        <v>2130</v>
      </c>
      <c r="E3683" s="3">
        <v>200</v>
      </c>
      <c r="F3683" s="3">
        <v>12</v>
      </c>
      <c r="G3683" s="4">
        <v>44557</v>
      </c>
      <c r="I3683" s="1">
        <v>1300</v>
      </c>
      <c r="J3683" s="1">
        <v>1300</v>
      </c>
    </row>
    <row r="3684" spans="2:18" x14ac:dyDescent="0.2">
      <c r="B3684" s="1" t="s">
        <v>4469</v>
      </c>
      <c r="C3684" s="2" t="s">
        <v>18</v>
      </c>
      <c r="D3684" s="2" t="s">
        <v>2130</v>
      </c>
      <c r="E3684" s="3">
        <v>200</v>
      </c>
      <c r="F3684" s="3">
        <v>12</v>
      </c>
      <c r="G3684" s="4">
        <v>44557</v>
      </c>
      <c r="I3684" s="1">
        <v>1300</v>
      </c>
      <c r="J3684" s="1">
        <v>1300</v>
      </c>
    </row>
    <row r="3685" spans="2:18" x14ac:dyDescent="0.2">
      <c r="B3685" s="1" t="s">
        <v>4471</v>
      </c>
      <c r="C3685" s="2" t="s">
        <v>18</v>
      </c>
      <c r="D3685" s="2" t="s">
        <v>2130</v>
      </c>
      <c r="E3685" s="3">
        <v>200</v>
      </c>
      <c r="F3685" s="3">
        <v>12</v>
      </c>
      <c r="G3685" s="4">
        <v>44557</v>
      </c>
      <c r="I3685" s="1">
        <v>1300</v>
      </c>
      <c r="J3685" s="1">
        <v>1300</v>
      </c>
    </row>
    <row r="3686" spans="2:18" x14ac:dyDescent="0.2">
      <c r="B3686" s="1" t="s">
        <v>184</v>
      </c>
      <c r="C3686" s="2" t="s">
        <v>8</v>
      </c>
      <c r="D3686" s="2" t="s">
        <v>176</v>
      </c>
      <c r="E3686" s="3">
        <v>130</v>
      </c>
      <c r="F3686" s="3">
        <f>104/9</f>
        <v>11.555555555555555</v>
      </c>
      <c r="G3686" s="4">
        <v>42080</v>
      </c>
      <c r="I3686" s="1">
        <v>570</v>
      </c>
    </row>
    <row r="3687" spans="2:18" x14ac:dyDescent="0.2">
      <c r="B3687" s="1" t="s">
        <v>183</v>
      </c>
      <c r="C3687" s="2" t="s">
        <v>8</v>
      </c>
      <c r="D3687" s="2" t="s">
        <v>176</v>
      </c>
      <c r="E3687" s="3">
        <v>130</v>
      </c>
      <c r="F3687" s="3">
        <f>104/9</f>
        <v>11.555555555555555</v>
      </c>
      <c r="G3687" s="4">
        <v>42080</v>
      </c>
      <c r="I3687" s="1">
        <v>570</v>
      </c>
    </row>
    <row r="3688" spans="2:18" x14ac:dyDescent="0.2">
      <c r="B3688" s="1" t="s">
        <v>182</v>
      </c>
      <c r="C3688" s="2" t="s">
        <v>8</v>
      </c>
      <c r="D3688" s="2" t="s">
        <v>176</v>
      </c>
      <c r="E3688" s="3">
        <v>130</v>
      </c>
      <c r="F3688" s="3">
        <f>104/9</f>
        <v>11.555555555555555</v>
      </c>
      <c r="G3688" s="4">
        <v>42080</v>
      </c>
      <c r="I3688" s="1">
        <v>570</v>
      </c>
    </row>
    <row r="3689" spans="2:18" x14ac:dyDescent="0.2">
      <c r="B3689" s="1" t="s">
        <v>372</v>
      </c>
      <c r="C3689" s="2" t="s">
        <v>7</v>
      </c>
      <c r="D3689" s="2" t="s">
        <v>363</v>
      </c>
      <c r="E3689" s="3">
        <v>120</v>
      </c>
      <c r="F3689" s="3">
        <f t="shared" ref="F3689:F3694" si="7">90/8</f>
        <v>11.25</v>
      </c>
      <c r="G3689" s="4">
        <v>44602</v>
      </c>
      <c r="M3689" s="1"/>
      <c r="N3689" s="1"/>
      <c r="O3689" s="1"/>
      <c r="P3689" s="1"/>
      <c r="Q3689" s="1"/>
      <c r="R3689" s="1"/>
    </row>
    <row r="3690" spans="2:18" x14ac:dyDescent="0.2">
      <c r="B3690" s="1" t="s">
        <v>371</v>
      </c>
      <c r="C3690" s="2" t="s">
        <v>7</v>
      </c>
      <c r="D3690" s="2" t="s">
        <v>363</v>
      </c>
      <c r="E3690" s="3">
        <v>120</v>
      </c>
      <c r="F3690" s="3">
        <f t="shared" si="7"/>
        <v>11.25</v>
      </c>
      <c r="G3690" s="4">
        <v>44602</v>
      </c>
      <c r="M3690" s="1"/>
      <c r="N3690" s="1"/>
      <c r="O3690" s="1"/>
      <c r="P3690" s="1"/>
      <c r="Q3690" s="1"/>
      <c r="R3690" s="1"/>
    </row>
    <row r="3691" spans="2:18" x14ac:dyDescent="0.2">
      <c r="B3691" s="1" t="s">
        <v>370</v>
      </c>
      <c r="C3691" s="2" t="s">
        <v>7</v>
      </c>
      <c r="D3691" s="2" t="s">
        <v>363</v>
      </c>
      <c r="E3691" s="3">
        <v>120</v>
      </c>
      <c r="F3691" s="3">
        <f t="shared" si="7"/>
        <v>11.25</v>
      </c>
      <c r="G3691" s="4">
        <v>44602</v>
      </c>
      <c r="M3691" s="1"/>
      <c r="N3691" s="1"/>
      <c r="O3691" s="1"/>
      <c r="P3691" s="1"/>
      <c r="Q3691" s="1"/>
      <c r="R3691" s="1"/>
    </row>
    <row r="3692" spans="2:18" x14ac:dyDescent="0.2">
      <c r="B3692" s="1" t="s">
        <v>366</v>
      </c>
      <c r="C3692" s="2" t="s">
        <v>7</v>
      </c>
      <c r="D3692" s="2" t="s">
        <v>363</v>
      </c>
      <c r="E3692" s="3">
        <v>120</v>
      </c>
      <c r="F3692" s="3">
        <f t="shared" si="7"/>
        <v>11.25</v>
      </c>
      <c r="G3692" s="4">
        <v>44602</v>
      </c>
      <c r="M3692" s="1"/>
      <c r="N3692" s="1"/>
      <c r="O3692" s="1"/>
      <c r="P3692" s="1"/>
      <c r="Q3692" s="1"/>
      <c r="R3692" s="1"/>
    </row>
    <row r="3693" spans="2:18" x14ac:dyDescent="0.2">
      <c r="B3693" s="1" t="s">
        <v>365</v>
      </c>
      <c r="C3693" s="2" t="s">
        <v>7</v>
      </c>
      <c r="D3693" s="2" t="s">
        <v>363</v>
      </c>
      <c r="E3693" s="3">
        <v>120</v>
      </c>
      <c r="F3693" s="3">
        <f t="shared" si="7"/>
        <v>11.25</v>
      </c>
      <c r="G3693" s="4">
        <v>44602</v>
      </c>
      <c r="M3693" s="1"/>
      <c r="N3693" s="1"/>
      <c r="O3693" s="1"/>
      <c r="P3693" s="1"/>
      <c r="Q3693" s="1"/>
      <c r="R3693" s="1"/>
    </row>
    <row r="3694" spans="2:18" x14ac:dyDescent="0.2">
      <c r="B3694" s="1" t="s">
        <v>364</v>
      </c>
      <c r="C3694" s="2" t="s">
        <v>7</v>
      </c>
      <c r="D3694" s="2" t="s">
        <v>363</v>
      </c>
      <c r="E3694" s="3">
        <v>120</v>
      </c>
      <c r="F3694" s="3">
        <f t="shared" si="7"/>
        <v>11.25</v>
      </c>
      <c r="G3694" s="4">
        <v>44602</v>
      </c>
      <c r="M3694" s="1"/>
      <c r="N3694" s="1"/>
      <c r="O3694" s="1"/>
      <c r="P3694" s="1"/>
      <c r="Q3694" s="1"/>
      <c r="R3694" s="1"/>
    </row>
    <row r="3695" spans="2:18" x14ac:dyDescent="0.2">
      <c r="B3695" s="54" t="s">
        <v>4996</v>
      </c>
      <c r="C3695" s="55" t="s">
        <v>9</v>
      </c>
      <c r="D3695" s="55" t="s">
        <v>2115</v>
      </c>
      <c r="E3695" s="3">
        <v>100</v>
      </c>
      <c r="F3695" s="3">
        <v>10.714285714285714</v>
      </c>
      <c r="G3695" s="4">
        <v>44507</v>
      </c>
      <c r="I3695" s="1">
        <v>1600</v>
      </c>
      <c r="J3695" s="1">
        <v>1600</v>
      </c>
    </row>
    <row r="3696" spans="2:18" x14ac:dyDescent="0.2">
      <c r="B3696" s="184" t="s">
        <v>6836</v>
      </c>
      <c r="C3696" s="2" t="s">
        <v>5</v>
      </c>
      <c r="D3696" s="2" t="s">
        <v>935</v>
      </c>
      <c r="E3696" s="3">
        <v>150</v>
      </c>
      <c r="F3696" s="3">
        <v>10</v>
      </c>
      <c r="G3696" s="4">
        <v>45008</v>
      </c>
    </row>
    <row r="3697" spans="2:18" x14ac:dyDescent="0.2">
      <c r="B3697" s="1" t="s">
        <v>933</v>
      </c>
      <c r="C3697" s="2" t="s">
        <v>5</v>
      </c>
      <c r="D3697" s="2" t="s">
        <v>932</v>
      </c>
      <c r="E3697" s="3">
        <v>30</v>
      </c>
      <c r="F3697" s="3">
        <v>10</v>
      </c>
      <c r="G3697" s="4">
        <v>44656</v>
      </c>
    </row>
    <row r="3698" spans="2:18" x14ac:dyDescent="0.2">
      <c r="B3698" s="1" t="s">
        <v>930</v>
      </c>
      <c r="C3698" s="2" t="s">
        <v>4</v>
      </c>
      <c r="D3698" s="2" t="s">
        <v>887</v>
      </c>
      <c r="E3698" s="3">
        <v>20</v>
      </c>
      <c r="F3698" s="3">
        <v>10</v>
      </c>
      <c r="G3698" s="4">
        <v>44614</v>
      </c>
    </row>
    <row r="3699" spans="2:18" x14ac:dyDescent="0.2">
      <c r="B3699" s="1" t="s">
        <v>929</v>
      </c>
      <c r="C3699" s="2" t="s">
        <v>5</v>
      </c>
      <c r="D3699" s="2" t="s">
        <v>928</v>
      </c>
      <c r="E3699" s="3">
        <v>25</v>
      </c>
      <c r="F3699" s="3">
        <v>10</v>
      </c>
      <c r="G3699" s="4">
        <v>44944</v>
      </c>
    </row>
    <row r="3700" spans="2:18" x14ac:dyDescent="0.2">
      <c r="B3700" s="1" t="s">
        <v>631</v>
      </c>
      <c r="C3700" s="2" t="s">
        <v>5</v>
      </c>
      <c r="D3700" s="2" t="s">
        <v>630</v>
      </c>
      <c r="E3700" s="3">
        <v>10</v>
      </c>
      <c r="F3700" s="3">
        <v>10</v>
      </c>
      <c r="G3700" s="4">
        <v>44013</v>
      </c>
      <c r="M3700" s="1"/>
      <c r="N3700" s="1"/>
      <c r="O3700" s="1"/>
      <c r="P3700" s="1"/>
      <c r="Q3700" s="1"/>
      <c r="R3700" s="1"/>
    </row>
    <row r="3701" spans="2:18" x14ac:dyDescent="0.2">
      <c r="B3701" s="1" t="s">
        <v>500</v>
      </c>
      <c r="C3701" s="2" t="s">
        <v>53</v>
      </c>
      <c r="D3701" s="2" t="s">
        <v>489</v>
      </c>
      <c r="E3701" s="3">
        <v>50</v>
      </c>
      <c r="F3701" s="3">
        <v>10</v>
      </c>
      <c r="G3701" s="4">
        <v>44174</v>
      </c>
      <c r="M3701" s="1"/>
      <c r="N3701" s="1"/>
      <c r="O3701" s="1"/>
      <c r="P3701" s="1"/>
      <c r="Q3701" s="1"/>
      <c r="R3701" s="1"/>
    </row>
    <row r="3702" spans="2:18" x14ac:dyDescent="0.2">
      <c r="B3702" s="1" t="s">
        <v>491</v>
      </c>
      <c r="C3702" s="2" t="s">
        <v>18</v>
      </c>
      <c r="D3702" s="2" t="s">
        <v>489</v>
      </c>
      <c r="E3702" s="3">
        <v>67.2</v>
      </c>
      <c r="F3702" s="3">
        <v>10</v>
      </c>
      <c r="G3702" s="4">
        <v>42943</v>
      </c>
      <c r="M3702" s="1"/>
      <c r="N3702" s="1"/>
      <c r="O3702" s="1"/>
      <c r="P3702" s="1"/>
      <c r="Q3702" s="1"/>
      <c r="R3702" s="1"/>
    </row>
    <row r="3703" spans="2:18" x14ac:dyDescent="0.2">
      <c r="B3703" s="1" t="s">
        <v>490</v>
      </c>
      <c r="C3703" s="2" t="s">
        <v>18</v>
      </c>
      <c r="D3703" s="2" t="s">
        <v>489</v>
      </c>
      <c r="E3703" s="3">
        <v>67.2</v>
      </c>
      <c r="F3703" s="3">
        <v>10</v>
      </c>
      <c r="G3703" s="4">
        <v>42943</v>
      </c>
      <c r="M3703" s="1"/>
      <c r="N3703" s="1"/>
      <c r="O3703" s="1"/>
      <c r="P3703" s="1"/>
      <c r="Q3703" s="1"/>
      <c r="R3703" s="1"/>
    </row>
    <row r="3704" spans="2:18" x14ac:dyDescent="0.2">
      <c r="B3704" s="1" t="s">
        <v>400</v>
      </c>
      <c r="C3704" s="2" t="s">
        <v>7</v>
      </c>
      <c r="D3704" s="2" t="s">
        <v>398</v>
      </c>
      <c r="E3704" s="3">
        <v>80</v>
      </c>
      <c r="F3704" s="3">
        <v>10</v>
      </c>
      <c r="G3704" s="4">
        <v>44327</v>
      </c>
      <c r="M3704" s="1"/>
      <c r="N3704" s="1"/>
      <c r="O3704" s="1"/>
      <c r="P3704" s="1"/>
      <c r="Q3704" s="1"/>
      <c r="R3704" s="1"/>
    </row>
    <row r="3705" spans="2:18" x14ac:dyDescent="0.2">
      <c r="B3705" s="1" t="s">
        <v>399</v>
      </c>
      <c r="C3705" s="2" t="s">
        <v>7</v>
      </c>
      <c r="D3705" s="2" t="s">
        <v>398</v>
      </c>
      <c r="E3705" s="3">
        <v>80</v>
      </c>
      <c r="F3705" s="3">
        <v>10</v>
      </c>
      <c r="G3705" s="4">
        <v>44327</v>
      </c>
      <c r="M3705" s="1"/>
      <c r="N3705" s="1"/>
      <c r="O3705" s="1"/>
      <c r="P3705" s="1"/>
      <c r="Q3705" s="1"/>
      <c r="R3705" s="1"/>
    </row>
    <row r="3706" spans="2:18" x14ac:dyDescent="0.2">
      <c r="G3706" s="4"/>
      <c r="M3706" s="1"/>
      <c r="N3706" s="1"/>
      <c r="O3706" s="1"/>
      <c r="P3706" s="1"/>
      <c r="Q3706" s="1"/>
      <c r="R3706" s="1"/>
    </row>
    <row r="3707" spans="2:18" x14ac:dyDescent="0.2">
      <c r="G3707" s="4"/>
      <c r="M3707" s="1"/>
      <c r="N3707" s="1"/>
      <c r="O3707" s="1"/>
      <c r="P3707" s="1"/>
      <c r="Q3707" s="1"/>
      <c r="R3707" s="1"/>
    </row>
    <row r="3708" spans="2:18" x14ac:dyDescent="0.2">
      <c r="G3708" s="4"/>
      <c r="M3708" s="1"/>
      <c r="N3708" s="1"/>
      <c r="O3708" s="1"/>
      <c r="P3708" s="1"/>
      <c r="Q3708" s="1"/>
      <c r="R3708" s="1"/>
    </row>
    <row r="3709" spans="2:18" x14ac:dyDescent="0.2">
      <c r="G3709" s="4"/>
      <c r="M3709" s="1"/>
      <c r="N3709" s="1"/>
      <c r="O3709" s="1"/>
      <c r="P3709" s="1"/>
      <c r="Q3709" s="1"/>
      <c r="R3709" s="1"/>
    </row>
    <row r="3710" spans="2:18" x14ac:dyDescent="0.2">
      <c r="B3710" s="1" t="s">
        <v>391</v>
      </c>
      <c r="C3710" s="2" t="s">
        <v>18</v>
      </c>
      <c r="D3710" s="2" t="s">
        <v>386</v>
      </c>
      <c r="E3710" s="3">
        <v>110</v>
      </c>
      <c r="F3710" s="3">
        <v>10</v>
      </c>
      <c r="G3710" s="4">
        <v>43690</v>
      </c>
      <c r="M3710" s="1"/>
      <c r="N3710" s="1"/>
      <c r="O3710" s="1"/>
      <c r="P3710" s="1"/>
      <c r="Q3710" s="1"/>
      <c r="R3710" s="1"/>
    </row>
    <row r="3711" spans="2:18" x14ac:dyDescent="0.2">
      <c r="B3711" s="1" t="s">
        <v>385</v>
      </c>
      <c r="C3711" s="2" t="s">
        <v>5</v>
      </c>
      <c r="D3711" s="2" t="s">
        <v>381</v>
      </c>
      <c r="E3711" s="3">
        <v>86</v>
      </c>
      <c r="F3711" s="3">
        <v>10</v>
      </c>
      <c r="G3711" s="4">
        <v>44488</v>
      </c>
      <c r="M3711" s="1"/>
      <c r="N3711" s="1"/>
      <c r="O3711" s="1"/>
      <c r="P3711" s="1"/>
      <c r="Q3711" s="1"/>
      <c r="R3711" s="1"/>
    </row>
    <row r="3712" spans="2:18" x14ac:dyDescent="0.2">
      <c r="B3712" s="1" t="s">
        <v>383</v>
      </c>
      <c r="C3712" s="2" t="s">
        <v>5</v>
      </c>
      <c r="D3712" s="2" t="s">
        <v>381</v>
      </c>
      <c r="E3712" s="3">
        <v>86</v>
      </c>
      <c r="F3712" s="3">
        <v>10</v>
      </c>
      <c r="G3712" s="4">
        <v>44488</v>
      </c>
      <c r="M3712" s="1"/>
      <c r="N3712" s="1"/>
      <c r="O3712" s="1"/>
      <c r="P3712" s="1"/>
      <c r="Q3712" s="1"/>
      <c r="R3712" s="1"/>
    </row>
    <row r="3713" spans="2:10" x14ac:dyDescent="0.2">
      <c r="B3713" s="1" t="s">
        <v>130</v>
      </c>
      <c r="C3713" s="2" t="s">
        <v>7</v>
      </c>
      <c r="D3713" s="2" t="s">
        <v>128</v>
      </c>
      <c r="E3713" s="3">
        <v>23.5</v>
      </c>
      <c r="F3713" s="3">
        <v>10</v>
      </c>
      <c r="G3713" s="4">
        <v>45008</v>
      </c>
    </row>
    <row r="3714" spans="2:10" x14ac:dyDescent="0.2">
      <c r="B3714" s="1" t="s">
        <v>107</v>
      </c>
      <c r="C3714" s="2" t="s">
        <v>8</v>
      </c>
      <c r="D3714" s="2" t="s">
        <v>102</v>
      </c>
      <c r="E3714" s="3">
        <v>30</v>
      </c>
      <c r="F3714" s="3">
        <v>10</v>
      </c>
      <c r="G3714" s="4">
        <v>43178</v>
      </c>
    </row>
    <row r="3715" spans="2:10" x14ac:dyDescent="0.2">
      <c r="B3715" s="1" t="s">
        <v>103</v>
      </c>
      <c r="C3715" s="2" t="s">
        <v>8</v>
      </c>
      <c r="D3715" s="2" t="s">
        <v>102</v>
      </c>
      <c r="E3715" s="3">
        <v>10</v>
      </c>
      <c r="F3715" s="3">
        <v>10</v>
      </c>
      <c r="G3715" s="4">
        <v>43726</v>
      </c>
    </row>
    <row r="3716" spans="2:10" x14ac:dyDescent="0.2">
      <c r="B3716" s="1" t="s">
        <v>101</v>
      </c>
      <c r="C3716" s="2" t="s">
        <v>7</v>
      </c>
      <c r="D3716" s="2" t="s">
        <v>95</v>
      </c>
      <c r="E3716" s="3">
        <v>25</v>
      </c>
      <c r="F3716" s="3">
        <v>10</v>
      </c>
      <c r="G3716" s="4">
        <v>43783</v>
      </c>
    </row>
    <row r="3717" spans="2:10" x14ac:dyDescent="0.2">
      <c r="B3717" s="1" t="s">
        <v>66</v>
      </c>
      <c r="C3717" s="2" t="s">
        <v>5</v>
      </c>
      <c r="D3717" s="2" t="s">
        <v>64</v>
      </c>
      <c r="E3717" s="3">
        <v>50</v>
      </c>
      <c r="F3717" s="3">
        <v>10</v>
      </c>
      <c r="G3717" s="4">
        <v>44165</v>
      </c>
    </row>
    <row r="3718" spans="2:10" x14ac:dyDescent="0.2">
      <c r="B3718" s="92" t="s">
        <v>5919</v>
      </c>
      <c r="C3718" s="93" t="s">
        <v>18</v>
      </c>
      <c r="D3718" s="93" t="s">
        <v>2075</v>
      </c>
      <c r="E3718" s="3">
        <v>65</v>
      </c>
      <c r="F3718" s="3">
        <v>10</v>
      </c>
      <c r="G3718" s="4">
        <v>44644</v>
      </c>
      <c r="I3718" s="1">
        <v>500</v>
      </c>
      <c r="J3718" s="1">
        <v>500</v>
      </c>
    </row>
    <row r="3719" spans="2:10" x14ac:dyDescent="0.2">
      <c r="B3719" s="135" t="s">
        <v>6319</v>
      </c>
      <c r="C3719" s="141" t="s">
        <v>5</v>
      </c>
      <c r="D3719" s="141" t="s">
        <v>6320</v>
      </c>
      <c r="E3719" s="3">
        <v>25</v>
      </c>
      <c r="F3719" s="3">
        <v>10</v>
      </c>
      <c r="G3719" s="4">
        <v>44594</v>
      </c>
    </row>
    <row r="3720" spans="2:10" x14ac:dyDescent="0.2">
      <c r="B3720" s="160" t="s">
        <v>6386</v>
      </c>
      <c r="C3720" s="161" t="s">
        <v>7</v>
      </c>
      <c r="D3720" s="161" t="s">
        <v>2049</v>
      </c>
      <c r="E3720" s="3">
        <v>50</v>
      </c>
      <c r="F3720" s="3">
        <v>10</v>
      </c>
      <c r="G3720" s="4">
        <v>44252</v>
      </c>
    </row>
    <row r="3721" spans="2:10" x14ac:dyDescent="0.2">
      <c r="B3721" s="1" t="s">
        <v>28</v>
      </c>
      <c r="C3721" s="2" t="s">
        <v>9</v>
      </c>
      <c r="D3721" s="2" t="s">
        <v>22</v>
      </c>
      <c r="E3721" s="3">
        <v>222</v>
      </c>
      <c r="F3721" s="3">
        <f>200/21</f>
        <v>9.5238095238095237</v>
      </c>
      <c r="G3721" s="4">
        <v>44194</v>
      </c>
      <c r="I3721" s="1">
        <v>2500</v>
      </c>
      <c r="J3721" s="1">
        <v>2500</v>
      </c>
    </row>
    <row r="3722" spans="2:10" x14ac:dyDescent="0.2">
      <c r="B3722" s="1" t="s">
        <v>26</v>
      </c>
      <c r="C3722" s="2" t="s">
        <v>9</v>
      </c>
      <c r="D3722" s="2" t="s">
        <v>22</v>
      </c>
      <c r="E3722" s="3">
        <v>222</v>
      </c>
      <c r="F3722" s="3">
        <f>200/21</f>
        <v>9.5238095238095237</v>
      </c>
      <c r="G3722" s="4">
        <v>44194</v>
      </c>
      <c r="I3722" s="1">
        <v>2500</v>
      </c>
      <c r="J3722" s="1">
        <v>2500</v>
      </c>
    </row>
    <row r="3723" spans="2:10" x14ac:dyDescent="0.2">
      <c r="B3723" s="1" t="s">
        <v>927</v>
      </c>
      <c r="C3723" s="2" t="s">
        <v>18</v>
      </c>
      <c r="D3723" s="2" t="s">
        <v>926</v>
      </c>
      <c r="E3723" s="3">
        <v>100</v>
      </c>
      <c r="F3723" s="3">
        <v>9</v>
      </c>
      <c r="G3723" s="4">
        <v>44690</v>
      </c>
      <c r="J3723" s="1">
        <v>4300</v>
      </c>
    </row>
    <row r="3724" spans="2:10" x14ac:dyDescent="0.2">
      <c r="B3724" s="1" t="s">
        <v>165</v>
      </c>
      <c r="C3724" s="2" t="s">
        <v>5</v>
      </c>
      <c r="D3724" s="2" t="s">
        <v>161</v>
      </c>
      <c r="E3724" s="3">
        <v>112</v>
      </c>
      <c r="F3724" s="3">
        <f>72/8</f>
        <v>9</v>
      </c>
      <c r="G3724" s="4">
        <v>43115</v>
      </c>
      <c r="J3724" s="1">
        <v>8400</v>
      </c>
    </row>
    <row r="3725" spans="2:10" x14ac:dyDescent="0.2">
      <c r="B3725" s="1" t="s">
        <v>164</v>
      </c>
      <c r="C3725" s="2" t="s">
        <v>5</v>
      </c>
      <c r="D3725" s="2" t="s">
        <v>161</v>
      </c>
      <c r="E3725" s="3">
        <v>112</v>
      </c>
      <c r="F3725" s="3">
        <f>72/8</f>
        <v>9</v>
      </c>
      <c r="G3725" s="4">
        <v>43115</v>
      </c>
      <c r="J3725" s="1">
        <v>8400</v>
      </c>
    </row>
    <row r="3726" spans="2:10" x14ac:dyDescent="0.2">
      <c r="B3726" s="1" t="s">
        <v>163</v>
      </c>
      <c r="C3726" s="2" t="s">
        <v>5</v>
      </c>
      <c r="D3726" s="2" t="s">
        <v>161</v>
      </c>
      <c r="E3726" s="3">
        <v>112</v>
      </c>
      <c r="F3726" s="3">
        <f>72/8</f>
        <v>9</v>
      </c>
      <c r="G3726" s="4">
        <v>43115</v>
      </c>
      <c r="J3726" s="1">
        <v>8400</v>
      </c>
    </row>
    <row r="3727" spans="2:10" x14ac:dyDescent="0.2">
      <c r="B3727" s="1" t="s">
        <v>162</v>
      </c>
      <c r="C3727" s="2" t="s">
        <v>5</v>
      </c>
      <c r="D3727" s="2" t="s">
        <v>161</v>
      </c>
      <c r="E3727" s="3">
        <v>112</v>
      </c>
      <c r="F3727" s="3">
        <f>72/8</f>
        <v>9</v>
      </c>
      <c r="G3727" s="4">
        <v>43115</v>
      </c>
      <c r="J3727" s="1">
        <v>8400</v>
      </c>
    </row>
    <row r="3728" spans="2:10" x14ac:dyDescent="0.2">
      <c r="B3728" s="92" t="s">
        <v>5446</v>
      </c>
      <c r="C3728" s="93" t="s">
        <v>18</v>
      </c>
      <c r="D3728" s="93" t="s">
        <v>2093</v>
      </c>
      <c r="E3728" s="3">
        <v>50</v>
      </c>
      <c r="F3728" s="3">
        <v>9</v>
      </c>
      <c r="G3728" s="4">
        <v>44286</v>
      </c>
      <c r="J3728" s="1">
        <v>1500</v>
      </c>
    </row>
    <row r="3729" spans="2:18" x14ac:dyDescent="0.2">
      <c r="B3729" s="1" t="s">
        <v>321</v>
      </c>
      <c r="C3729" s="2" t="s">
        <v>18</v>
      </c>
      <c r="D3729" s="2" t="s">
        <v>318</v>
      </c>
      <c r="E3729" s="3">
        <v>91</v>
      </c>
      <c r="F3729" s="3">
        <f>70/8</f>
        <v>8.75</v>
      </c>
      <c r="G3729" s="4">
        <v>44867</v>
      </c>
      <c r="M3729" s="1"/>
      <c r="N3729" s="1"/>
      <c r="O3729" s="1"/>
      <c r="P3729" s="1"/>
      <c r="Q3729" s="1"/>
      <c r="R3729" s="1"/>
    </row>
    <row r="3730" spans="2:18" x14ac:dyDescent="0.2">
      <c r="B3730" s="1" t="s">
        <v>320</v>
      </c>
      <c r="C3730" s="2" t="s">
        <v>18</v>
      </c>
      <c r="D3730" s="2" t="s">
        <v>318</v>
      </c>
      <c r="E3730" s="3">
        <v>91</v>
      </c>
      <c r="F3730" s="3">
        <f>70/8</f>
        <v>8.75</v>
      </c>
      <c r="G3730" s="4">
        <v>44867</v>
      </c>
      <c r="M3730" s="1"/>
      <c r="N3730" s="1"/>
      <c r="O3730" s="1"/>
      <c r="P3730" s="1"/>
      <c r="Q3730" s="1"/>
      <c r="R3730" s="1"/>
    </row>
    <row r="3731" spans="2:18" x14ac:dyDescent="0.2">
      <c r="B3731" s="1" t="s">
        <v>319</v>
      </c>
      <c r="C3731" s="2" t="s">
        <v>18</v>
      </c>
      <c r="D3731" s="2" t="s">
        <v>318</v>
      </c>
      <c r="E3731" s="3">
        <v>91</v>
      </c>
      <c r="F3731" s="3">
        <f>70/8</f>
        <v>8.75</v>
      </c>
      <c r="G3731" s="4">
        <v>44867</v>
      </c>
      <c r="M3731" s="1"/>
      <c r="N3731" s="1"/>
      <c r="O3731" s="1"/>
      <c r="P3731" s="1"/>
      <c r="Q3731" s="1"/>
      <c r="R3731" s="1"/>
    </row>
    <row r="3732" spans="2:18" x14ac:dyDescent="0.2">
      <c r="B3732" s="1" t="s">
        <v>429</v>
      </c>
      <c r="C3732" s="2" t="s">
        <v>5</v>
      </c>
      <c r="D3732" s="2" t="s">
        <v>428</v>
      </c>
      <c r="E3732" s="3">
        <v>8.5</v>
      </c>
      <c r="F3732" s="3">
        <v>8.5</v>
      </c>
      <c r="G3732" s="4">
        <v>44307</v>
      </c>
      <c r="M3732" s="1"/>
      <c r="N3732" s="1"/>
      <c r="O3732" s="1"/>
      <c r="P3732" s="1"/>
      <c r="Q3732" s="1"/>
      <c r="R3732" s="1"/>
    </row>
    <row r="3733" spans="2:18" x14ac:dyDescent="0.2">
      <c r="B3733" s="1" t="s">
        <v>924</v>
      </c>
      <c r="C3733" s="2" t="s">
        <v>4</v>
      </c>
      <c r="D3733" s="2" t="s">
        <v>705</v>
      </c>
      <c r="E3733" s="3">
        <v>113</v>
      </c>
      <c r="F3733" s="3">
        <v>8</v>
      </c>
      <c r="G3733" s="4">
        <v>45090</v>
      </c>
    </row>
    <row r="3734" spans="2:18" x14ac:dyDescent="0.2">
      <c r="B3734" s="1" t="s">
        <v>922</v>
      </c>
      <c r="C3734" s="2" t="s">
        <v>4</v>
      </c>
      <c r="D3734" s="2" t="s">
        <v>705</v>
      </c>
      <c r="E3734" s="3">
        <v>113</v>
      </c>
      <c r="F3734" s="3">
        <v>8</v>
      </c>
      <c r="G3734" s="4">
        <v>45090</v>
      </c>
    </row>
    <row r="3735" spans="2:18" x14ac:dyDescent="0.2">
      <c r="B3735" s="1" t="s">
        <v>920</v>
      </c>
      <c r="C3735" s="2" t="s">
        <v>4</v>
      </c>
      <c r="D3735" s="2" t="s">
        <v>705</v>
      </c>
      <c r="E3735" s="3">
        <v>113</v>
      </c>
      <c r="F3735" s="3">
        <v>8</v>
      </c>
      <c r="G3735" s="4">
        <v>45090</v>
      </c>
    </row>
    <row r="3736" spans="2:18" x14ac:dyDescent="0.2">
      <c r="B3736" s="1" t="s">
        <v>581</v>
      </c>
      <c r="C3736" s="2" t="s">
        <v>4</v>
      </c>
      <c r="D3736" s="2" t="s">
        <v>580</v>
      </c>
      <c r="E3736" s="3">
        <v>8</v>
      </c>
      <c r="F3736" s="3">
        <v>8</v>
      </c>
      <c r="G3736" s="4">
        <v>44711</v>
      </c>
      <c r="M3736" s="1"/>
      <c r="N3736" s="1"/>
      <c r="O3736" s="1"/>
      <c r="P3736" s="1"/>
      <c r="Q3736" s="1"/>
      <c r="R3736" s="1"/>
    </row>
    <row r="3737" spans="2:18" x14ac:dyDescent="0.2">
      <c r="B3737" s="1" t="s">
        <v>169</v>
      </c>
      <c r="C3737" s="2" t="s">
        <v>5</v>
      </c>
      <c r="D3737" s="2" t="s">
        <v>161</v>
      </c>
      <c r="E3737" s="3">
        <v>102</v>
      </c>
      <c r="F3737" s="3">
        <v>8</v>
      </c>
      <c r="G3737" s="4">
        <v>43292</v>
      </c>
      <c r="J3737" s="1">
        <v>8400</v>
      </c>
    </row>
    <row r="3738" spans="2:18" x14ac:dyDescent="0.2">
      <c r="B3738" s="1" t="s">
        <v>168</v>
      </c>
      <c r="C3738" s="2" t="s">
        <v>5</v>
      </c>
      <c r="D3738" s="2" t="s">
        <v>161</v>
      </c>
      <c r="E3738" s="3">
        <v>102</v>
      </c>
      <c r="F3738" s="3">
        <v>8</v>
      </c>
      <c r="G3738" s="4">
        <v>43292</v>
      </c>
      <c r="J3738" s="1">
        <v>8400</v>
      </c>
    </row>
    <row r="3739" spans="2:18" x14ac:dyDescent="0.2">
      <c r="B3739" s="1" t="s">
        <v>153</v>
      </c>
      <c r="C3739" s="2" t="s">
        <v>8</v>
      </c>
      <c r="D3739" s="2" t="s">
        <v>148</v>
      </c>
      <c r="E3739" s="3">
        <v>38</v>
      </c>
      <c r="F3739" s="6" t="s">
        <v>152</v>
      </c>
      <c r="G3739" s="4">
        <v>43266</v>
      </c>
    </row>
    <row r="3740" spans="2:18" x14ac:dyDescent="0.2">
      <c r="B3740" s="1" t="s">
        <v>142</v>
      </c>
      <c r="C3740" s="2" t="s">
        <v>8</v>
      </c>
      <c r="D3740" s="2" t="s">
        <v>131</v>
      </c>
      <c r="E3740" s="3">
        <v>135</v>
      </c>
      <c r="F3740" s="3">
        <v>8</v>
      </c>
      <c r="G3740" s="4">
        <v>44880</v>
      </c>
    </row>
    <row r="3741" spans="2:18" x14ac:dyDescent="0.2">
      <c r="B3741" s="1" t="s">
        <v>141</v>
      </c>
      <c r="C3741" s="2" t="s">
        <v>8</v>
      </c>
      <c r="D3741" s="2" t="s">
        <v>131</v>
      </c>
      <c r="E3741" s="3">
        <v>135</v>
      </c>
      <c r="F3741" s="3">
        <v>8</v>
      </c>
      <c r="G3741" s="4">
        <v>44880</v>
      </c>
    </row>
    <row r="3742" spans="2:18" x14ac:dyDescent="0.2">
      <c r="B3742" s="1" t="s">
        <v>138</v>
      </c>
      <c r="C3742" s="2" t="s">
        <v>8</v>
      </c>
      <c r="D3742" s="2" t="s">
        <v>131</v>
      </c>
      <c r="E3742" s="3">
        <v>135</v>
      </c>
      <c r="F3742" s="3">
        <v>8</v>
      </c>
      <c r="G3742" s="4">
        <v>44880</v>
      </c>
    </row>
    <row r="3743" spans="2:18" x14ac:dyDescent="0.2">
      <c r="G3743" s="4"/>
    </row>
    <row r="3744" spans="2:18" x14ac:dyDescent="0.2">
      <c r="B3744" s="1" t="s">
        <v>919</v>
      </c>
      <c r="C3744" s="2" t="s">
        <v>7</v>
      </c>
      <c r="D3744" s="2" t="s">
        <v>907</v>
      </c>
      <c r="E3744" s="3">
        <v>97.4</v>
      </c>
      <c r="F3744" s="3">
        <f>47/6</f>
        <v>7.833333333333333</v>
      </c>
      <c r="G3744" s="4">
        <v>45041</v>
      </c>
    </row>
    <row r="3745" spans="2:18" x14ac:dyDescent="0.2">
      <c r="C3745" s="282" t="s">
        <v>53</v>
      </c>
      <c r="D3745" s="282" t="s">
        <v>3</v>
      </c>
      <c r="E3745" s="3">
        <v>200</v>
      </c>
      <c r="F3745" s="3">
        <v>33</v>
      </c>
      <c r="G3745" s="4">
        <v>45230</v>
      </c>
      <c r="I3745" s="1">
        <v>2500</v>
      </c>
      <c r="J3745" s="1">
        <v>2500</v>
      </c>
    </row>
    <row r="3746" spans="2:18" x14ac:dyDescent="0.2">
      <c r="G3746" s="4"/>
    </row>
    <row r="3747" spans="2:18" x14ac:dyDescent="0.2">
      <c r="G3747" s="4"/>
    </row>
    <row r="3748" spans="2:18" x14ac:dyDescent="0.2">
      <c r="B3748" s="1" t="s">
        <v>918</v>
      </c>
      <c r="C3748" s="2" t="s">
        <v>5</v>
      </c>
      <c r="D3748" s="2" t="s">
        <v>888</v>
      </c>
      <c r="E3748" s="3">
        <v>20</v>
      </c>
      <c r="F3748" s="3">
        <v>7.5</v>
      </c>
      <c r="G3748" s="4">
        <v>45009</v>
      </c>
    </row>
    <row r="3749" spans="2:18" x14ac:dyDescent="0.2">
      <c r="B3749" s="173" t="s">
        <v>6663</v>
      </c>
      <c r="C3749" s="176" t="s">
        <v>5</v>
      </c>
      <c r="D3749" s="176" t="s">
        <v>2035</v>
      </c>
      <c r="E3749" s="3">
        <v>30</v>
      </c>
      <c r="F3749" s="3">
        <v>7.5</v>
      </c>
      <c r="G3749" s="4">
        <v>44729</v>
      </c>
    </row>
    <row r="3750" spans="2:18" x14ac:dyDescent="0.2">
      <c r="B3750" s="51" t="s">
        <v>4868</v>
      </c>
      <c r="C3750" s="52" t="s">
        <v>5</v>
      </c>
      <c r="D3750" s="52" t="s">
        <v>2121</v>
      </c>
      <c r="E3750" s="3">
        <v>52.3</v>
      </c>
      <c r="F3750" s="5">
        <f>22/3</f>
        <v>7.333333333333333</v>
      </c>
      <c r="G3750" s="4">
        <v>43348</v>
      </c>
      <c r="J3750" s="1">
        <v>700</v>
      </c>
    </row>
    <row r="3751" spans="2:18" x14ac:dyDescent="0.2">
      <c r="B3751" s="1" t="s">
        <v>41</v>
      </c>
      <c r="C3751" s="2" t="s">
        <v>7</v>
      </c>
      <c r="D3751" s="2" t="s">
        <v>39</v>
      </c>
      <c r="E3751" s="3">
        <v>42</v>
      </c>
      <c r="F3751" s="3">
        <f>22/3</f>
        <v>7.333333333333333</v>
      </c>
      <c r="G3751" s="4">
        <v>43144</v>
      </c>
      <c r="J3751" s="1">
        <v>2000</v>
      </c>
    </row>
    <row r="3752" spans="2:18" x14ac:dyDescent="0.2">
      <c r="G3752" s="4"/>
    </row>
    <row r="3753" spans="2:18" x14ac:dyDescent="0.2">
      <c r="B3753" s="1" t="s">
        <v>614</v>
      </c>
      <c r="C3753" s="2" t="s">
        <v>9</v>
      </c>
      <c r="D3753" s="2" t="s">
        <v>606</v>
      </c>
      <c r="E3753" s="3">
        <v>132</v>
      </c>
      <c r="F3753" s="3">
        <f>72/10</f>
        <v>7.2</v>
      </c>
      <c r="G3753" s="4">
        <v>44215</v>
      </c>
      <c r="I3753" s="1">
        <v>1400</v>
      </c>
      <c r="J3753" s="1">
        <v>1200</v>
      </c>
      <c r="M3753" s="1"/>
      <c r="N3753" s="1"/>
      <c r="O3753" s="1"/>
      <c r="P3753" s="1"/>
      <c r="Q3753" s="1"/>
      <c r="R3753" s="1"/>
    </row>
    <row r="3754" spans="2:18" x14ac:dyDescent="0.2">
      <c r="C3754" s="282" t="s">
        <v>7978</v>
      </c>
      <c r="D3754" s="2" t="s">
        <v>606</v>
      </c>
      <c r="E3754" s="3">
        <v>59</v>
      </c>
      <c r="F3754" s="3">
        <f>59/9</f>
        <v>6.5555555555555554</v>
      </c>
      <c r="G3754" s="4">
        <v>45124</v>
      </c>
      <c r="I3754" s="1">
        <v>1200</v>
      </c>
      <c r="J3754" s="1">
        <v>1200</v>
      </c>
      <c r="M3754" s="1"/>
      <c r="N3754" s="1"/>
      <c r="O3754" s="1"/>
      <c r="P3754" s="1"/>
      <c r="Q3754" s="1"/>
      <c r="R3754" s="1"/>
    </row>
    <row r="3755" spans="2:18" x14ac:dyDescent="0.2">
      <c r="C3755" s="282"/>
      <c r="G3755" s="4"/>
      <c r="M3755" s="1"/>
      <c r="N3755" s="1"/>
      <c r="O3755" s="1"/>
      <c r="P3755" s="1"/>
      <c r="Q3755" s="1"/>
      <c r="R3755" s="1"/>
    </row>
    <row r="3756" spans="2:18" x14ac:dyDescent="0.2">
      <c r="B3756" s="1" t="s">
        <v>613</v>
      </c>
      <c r="C3756" s="2" t="s">
        <v>9</v>
      </c>
      <c r="D3756" s="2" t="s">
        <v>606</v>
      </c>
      <c r="E3756" s="3">
        <v>132</v>
      </c>
      <c r="F3756" s="3">
        <f>72/10</f>
        <v>7.2</v>
      </c>
      <c r="G3756" s="4">
        <v>44215</v>
      </c>
      <c r="M3756" s="1"/>
      <c r="N3756" s="1"/>
      <c r="O3756" s="1"/>
      <c r="P3756" s="1"/>
      <c r="Q3756" s="1"/>
      <c r="R3756" s="1"/>
    </row>
    <row r="3757" spans="2:18" x14ac:dyDescent="0.2">
      <c r="B3757" s="1" t="s">
        <v>612</v>
      </c>
      <c r="C3757" s="2" t="s">
        <v>9</v>
      </c>
      <c r="D3757" s="2" t="s">
        <v>606</v>
      </c>
      <c r="E3757" s="3">
        <v>132</v>
      </c>
      <c r="F3757" s="3">
        <f>72/10</f>
        <v>7.2</v>
      </c>
      <c r="G3757" s="4">
        <v>44215</v>
      </c>
      <c r="M3757" s="1"/>
      <c r="N3757" s="1"/>
      <c r="O3757" s="1"/>
      <c r="P3757" s="1"/>
      <c r="Q3757" s="1"/>
      <c r="R3757" s="1"/>
    </row>
    <row r="3758" spans="2:18" x14ac:dyDescent="0.2">
      <c r="B3758" s="1" t="s">
        <v>610</v>
      </c>
      <c r="C3758" s="2" t="s">
        <v>9</v>
      </c>
      <c r="D3758" s="2" t="s">
        <v>606</v>
      </c>
      <c r="E3758" s="3">
        <v>132</v>
      </c>
      <c r="F3758" s="3">
        <f>72/10</f>
        <v>7.2</v>
      </c>
      <c r="G3758" s="4">
        <v>44215</v>
      </c>
      <c r="M3758" s="1"/>
      <c r="N3758" s="1"/>
      <c r="O3758" s="1"/>
      <c r="P3758" s="1"/>
      <c r="Q3758" s="1"/>
      <c r="R3758" s="1"/>
    </row>
    <row r="3759" spans="2:18" x14ac:dyDescent="0.2">
      <c r="B3759" s="1" t="s">
        <v>82</v>
      </c>
      <c r="C3759" s="2" t="s">
        <v>5</v>
      </c>
      <c r="D3759" s="2" t="s">
        <v>80</v>
      </c>
      <c r="E3759" s="3">
        <v>43</v>
      </c>
      <c r="F3759" s="3">
        <f>+E3759/6</f>
        <v>7.166666666666667</v>
      </c>
      <c r="G3759" s="4">
        <v>43622</v>
      </c>
    </row>
    <row r="3760" spans="2:18" x14ac:dyDescent="0.2">
      <c r="B3760" s="1" t="s">
        <v>81</v>
      </c>
      <c r="C3760" s="2" t="s">
        <v>5</v>
      </c>
      <c r="D3760" s="2" t="s">
        <v>80</v>
      </c>
      <c r="E3760" s="3">
        <v>43</v>
      </c>
      <c r="F3760" s="3">
        <f>+E3760/6</f>
        <v>7.166666666666667</v>
      </c>
      <c r="G3760" s="4">
        <v>43622</v>
      </c>
    </row>
    <row r="3761" spans="2:18" x14ac:dyDescent="0.2">
      <c r="B3761" s="1" t="s">
        <v>917</v>
      </c>
      <c r="C3761" s="2" t="s">
        <v>7</v>
      </c>
      <c r="D3761" s="2" t="s">
        <v>864</v>
      </c>
      <c r="E3761" s="3">
        <v>50</v>
      </c>
      <c r="F3761" s="3">
        <f>E3761/7</f>
        <v>7.1428571428571432</v>
      </c>
      <c r="G3761" s="4">
        <v>44628</v>
      </c>
    </row>
    <row r="3762" spans="2:18" x14ac:dyDescent="0.2">
      <c r="B3762" s="1" t="s">
        <v>916</v>
      </c>
      <c r="C3762" s="2" t="s">
        <v>7</v>
      </c>
      <c r="D3762" s="2" t="s">
        <v>864</v>
      </c>
      <c r="E3762" s="3">
        <v>50</v>
      </c>
      <c r="F3762" s="3">
        <f>E3762/7</f>
        <v>7.1428571428571432</v>
      </c>
      <c r="G3762" s="4">
        <v>44628</v>
      </c>
    </row>
    <row r="3763" spans="2:18" x14ac:dyDescent="0.2">
      <c r="B3763" s="1" t="s">
        <v>915</v>
      </c>
      <c r="C3763" s="2" t="s">
        <v>5</v>
      </c>
      <c r="D3763" s="2" t="s">
        <v>722</v>
      </c>
      <c r="E3763" s="3">
        <v>20</v>
      </c>
      <c r="F3763" s="3">
        <v>7</v>
      </c>
      <c r="G3763" s="4">
        <v>44903</v>
      </c>
    </row>
    <row r="3764" spans="2:18" x14ac:dyDescent="0.2">
      <c r="B3764" s="1" t="s">
        <v>914</v>
      </c>
      <c r="C3764" s="2" t="s">
        <v>4</v>
      </c>
      <c r="D3764" s="2" t="s">
        <v>912</v>
      </c>
      <c r="E3764" s="3">
        <v>42</v>
      </c>
      <c r="F3764" s="3">
        <v>7</v>
      </c>
      <c r="G3764" s="4">
        <v>44882</v>
      </c>
    </row>
    <row r="3765" spans="2:18" x14ac:dyDescent="0.2">
      <c r="B3765" s="1" t="s">
        <v>913</v>
      </c>
      <c r="C3765" s="2" t="s">
        <v>4</v>
      </c>
      <c r="D3765" s="2" t="s">
        <v>912</v>
      </c>
      <c r="E3765" s="3">
        <v>42</v>
      </c>
      <c r="F3765" s="3">
        <v>7</v>
      </c>
      <c r="G3765" s="4">
        <v>44882</v>
      </c>
    </row>
    <row r="3766" spans="2:18" x14ac:dyDescent="0.2">
      <c r="B3766" s="1" t="s">
        <v>427</v>
      </c>
      <c r="C3766" s="2" t="s">
        <v>18</v>
      </c>
      <c r="D3766" s="2" t="s">
        <v>424</v>
      </c>
      <c r="E3766" s="3">
        <v>75</v>
      </c>
      <c r="F3766" s="3">
        <f>35/5</f>
        <v>7</v>
      </c>
      <c r="G3766" s="4">
        <v>45020</v>
      </c>
      <c r="M3766" s="1"/>
      <c r="N3766" s="1"/>
      <c r="O3766" s="1"/>
      <c r="P3766" s="1"/>
      <c r="Q3766" s="1"/>
      <c r="R3766" s="1"/>
    </row>
    <row r="3767" spans="2:18" x14ac:dyDescent="0.2">
      <c r="B3767" s="1" t="s">
        <v>426</v>
      </c>
      <c r="C3767" s="2" t="s">
        <v>18</v>
      </c>
      <c r="D3767" s="2" t="s">
        <v>424</v>
      </c>
      <c r="E3767" s="3">
        <v>75</v>
      </c>
      <c r="F3767" s="3">
        <f>35/5</f>
        <v>7</v>
      </c>
      <c r="G3767" s="4">
        <v>45020</v>
      </c>
      <c r="M3767" s="1"/>
      <c r="N3767" s="1"/>
      <c r="O3767" s="1"/>
      <c r="P3767" s="1"/>
      <c r="Q3767" s="1"/>
      <c r="R3767" s="1"/>
    </row>
    <row r="3768" spans="2:18" x14ac:dyDescent="0.2">
      <c r="B3768" s="1" t="s">
        <v>423</v>
      </c>
      <c r="C3768" s="2" t="s">
        <v>18</v>
      </c>
      <c r="D3768" s="2" t="s">
        <v>416</v>
      </c>
      <c r="E3768" s="3">
        <v>23</v>
      </c>
      <c r="F3768" s="3">
        <v>7</v>
      </c>
      <c r="G3768" s="4">
        <v>44328</v>
      </c>
      <c r="I3768" s="5"/>
      <c r="M3768" s="1"/>
      <c r="N3768" s="1"/>
      <c r="O3768" s="1"/>
      <c r="P3768" s="1"/>
      <c r="Q3768" s="1"/>
      <c r="R3768" s="1"/>
    </row>
    <row r="3769" spans="2:18" x14ac:dyDescent="0.2">
      <c r="B3769" s="1" t="s">
        <v>151</v>
      </c>
      <c r="C3769" s="2" t="s">
        <v>7</v>
      </c>
      <c r="D3769" s="2" t="s">
        <v>148</v>
      </c>
      <c r="E3769" s="3">
        <v>10</v>
      </c>
      <c r="F3769" s="6" t="s">
        <v>150</v>
      </c>
      <c r="G3769" s="4">
        <v>42355</v>
      </c>
    </row>
    <row r="3770" spans="2:18" x14ac:dyDescent="0.2">
      <c r="B3770" s="54" t="s">
        <v>5003</v>
      </c>
      <c r="C3770" s="55" t="s">
        <v>7</v>
      </c>
      <c r="D3770" s="55" t="s">
        <v>2115</v>
      </c>
      <c r="E3770" s="3">
        <v>20</v>
      </c>
      <c r="F3770" s="3">
        <v>7</v>
      </c>
      <c r="G3770" s="4">
        <v>42317</v>
      </c>
      <c r="J3770" s="1">
        <v>1600</v>
      </c>
    </row>
    <row r="3771" spans="2:18" x14ac:dyDescent="0.2">
      <c r="B3771" s="92" t="s">
        <v>5439</v>
      </c>
      <c r="C3771" s="93" t="s">
        <v>18</v>
      </c>
      <c r="D3771" s="93" t="s">
        <v>2093</v>
      </c>
      <c r="E3771" s="3">
        <v>80</v>
      </c>
      <c r="F3771" s="3">
        <f>7</f>
        <v>7</v>
      </c>
      <c r="G3771" s="4">
        <v>44637</v>
      </c>
      <c r="I3771" s="1">
        <v>1500</v>
      </c>
      <c r="J3771" s="1">
        <v>1500</v>
      </c>
    </row>
    <row r="3772" spans="2:18" x14ac:dyDescent="0.2">
      <c r="B3772" s="92" t="s">
        <v>5441</v>
      </c>
      <c r="C3772" s="93" t="s">
        <v>18</v>
      </c>
      <c r="D3772" s="93" t="s">
        <v>2093</v>
      </c>
      <c r="E3772" s="3">
        <v>80</v>
      </c>
      <c r="F3772" s="3">
        <f>7</f>
        <v>7</v>
      </c>
      <c r="G3772" s="4">
        <v>44637</v>
      </c>
      <c r="I3772" s="1">
        <v>1500</v>
      </c>
      <c r="J3772" s="1">
        <v>1500</v>
      </c>
    </row>
    <row r="3773" spans="2:18" x14ac:dyDescent="0.2">
      <c r="B3773" s="92" t="s">
        <v>5442</v>
      </c>
      <c r="C3773" s="93" t="s">
        <v>18</v>
      </c>
      <c r="D3773" s="93" t="s">
        <v>2093</v>
      </c>
      <c r="E3773" s="3">
        <v>80</v>
      </c>
      <c r="F3773" s="3">
        <f>7</f>
        <v>7</v>
      </c>
      <c r="G3773" s="4">
        <v>44637</v>
      </c>
      <c r="I3773" s="1">
        <v>1500</v>
      </c>
      <c r="J3773" s="1">
        <v>1500</v>
      </c>
    </row>
    <row r="3774" spans="2:18" x14ac:dyDescent="0.2">
      <c r="B3774" s="92" t="s">
        <v>5443</v>
      </c>
      <c r="C3774" s="93" t="s">
        <v>18</v>
      </c>
      <c r="D3774" s="93" t="s">
        <v>2093</v>
      </c>
      <c r="E3774" s="3">
        <v>80</v>
      </c>
      <c r="F3774" s="3">
        <f>7</f>
        <v>7</v>
      </c>
      <c r="G3774" s="4">
        <v>44637</v>
      </c>
      <c r="I3774" s="1">
        <v>1500</v>
      </c>
      <c r="J3774" s="1">
        <v>1500</v>
      </c>
    </row>
    <row r="3775" spans="2:18" x14ac:dyDescent="0.2">
      <c r="B3775" s="92" t="s">
        <v>5444</v>
      </c>
      <c r="C3775" s="93" t="s">
        <v>18</v>
      </c>
      <c r="D3775" s="93" t="s">
        <v>2093</v>
      </c>
      <c r="E3775" s="3">
        <v>80</v>
      </c>
      <c r="F3775" s="3">
        <f>7</f>
        <v>7</v>
      </c>
      <c r="G3775" s="4">
        <v>44637</v>
      </c>
      <c r="I3775" s="1">
        <v>1500</v>
      </c>
      <c r="J3775" s="1">
        <v>1500</v>
      </c>
    </row>
    <row r="3776" spans="2:18" x14ac:dyDescent="0.2">
      <c r="B3776" s="1" t="s">
        <v>275</v>
      </c>
      <c r="C3776" s="2" t="s">
        <v>8</v>
      </c>
      <c r="D3776" s="2" t="s">
        <v>258</v>
      </c>
      <c r="E3776" s="3">
        <v>111</v>
      </c>
      <c r="F3776" s="3">
        <f>97/14</f>
        <v>6.9285714285714288</v>
      </c>
      <c r="G3776" s="4">
        <v>44622</v>
      </c>
    </row>
    <row r="3777" spans="2:18" x14ac:dyDescent="0.2">
      <c r="B3777" s="1" t="s">
        <v>271</v>
      </c>
      <c r="C3777" s="2" t="s">
        <v>8</v>
      </c>
      <c r="D3777" s="2" t="s">
        <v>258</v>
      </c>
      <c r="E3777" s="3">
        <v>111</v>
      </c>
      <c r="F3777" s="3">
        <f>97/14</f>
        <v>6.9285714285714288</v>
      </c>
      <c r="G3777" s="4">
        <v>44622</v>
      </c>
    </row>
    <row r="3778" spans="2:18" x14ac:dyDescent="0.2">
      <c r="B3778" s="1" t="s">
        <v>269</v>
      </c>
      <c r="C3778" s="2" t="s">
        <v>8</v>
      </c>
      <c r="D3778" s="2" t="s">
        <v>258</v>
      </c>
      <c r="E3778" s="3">
        <v>111</v>
      </c>
      <c r="F3778" s="3">
        <f>97/14</f>
        <v>6.9285714285714288</v>
      </c>
      <c r="G3778" s="4">
        <v>44622</v>
      </c>
    </row>
    <row r="3779" spans="2:18" x14ac:dyDescent="0.2">
      <c r="B3779" s="1" t="s">
        <v>268</v>
      </c>
      <c r="C3779" s="2" t="s">
        <v>8</v>
      </c>
      <c r="D3779" s="2" t="s">
        <v>258</v>
      </c>
      <c r="E3779" s="3">
        <v>111</v>
      </c>
      <c r="F3779" s="3">
        <f>97/14</f>
        <v>6.9285714285714288</v>
      </c>
      <c r="G3779" s="4">
        <v>44622</v>
      </c>
    </row>
    <row r="3780" spans="2:18" x14ac:dyDescent="0.2">
      <c r="B3780" s="1" t="s">
        <v>911</v>
      </c>
      <c r="C3780" s="2" t="s">
        <v>5</v>
      </c>
      <c r="D3780" s="2" t="s">
        <v>907</v>
      </c>
      <c r="E3780" s="3">
        <v>80</v>
      </c>
      <c r="F3780" s="3">
        <f t="shared" ref="F3780:F3788" si="8">40/6</f>
        <v>6.666666666666667</v>
      </c>
      <c r="G3780" s="4">
        <v>44539</v>
      </c>
    </row>
    <row r="3781" spans="2:18" x14ac:dyDescent="0.2">
      <c r="B3781" s="1" t="s">
        <v>910</v>
      </c>
      <c r="C3781" s="2" t="s">
        <v>5</v>
      </c>
      <c r="D3781" s="2" t="s">
        <v>907</v>
      </c>
      <c r="E3781" s="3">
        <v>80</v>
      </c>
      <c r="F3781" s="3">
        <f t="shared" si="8"/>
        <v>6.666666666666667</v>
      </c>
      <c r="G3781" s="4">
        <v>44539</v>
      </c>
    </row>
    <row r="3782" spans="2:18" x14ac:dyDescent="0.2">
      <c r="B3782" s="1" t="s">
        <v>909</v>
      </c>
      <c r="C3782" s="2" t="s">
        <v>5</v>
      </c>
      <c r="D3782" s="2" t="s">
        <v>907</v>
      </c>
      <c r="E3782" s="3">
        <v>80</v>
      </c>
      <c r="F3782" s="3">
        <f t="shared" si="8"/>
        <v>6.666666666666667</v>
      </c>
      <c r="G3782" s="4">
        <v>44539</v>
      </c>
    </row>
    <row r="3783" spans="2:18" x14ac:dyDescent="0.2">
      <c r="B3783" s="1" t="s">
        <v>908</v>
      </c>
      <c r="C3783" s="2" t="s">
        <v>5</v>
      </c>
      <c r="D3783" s="2" t="s">
        <v>907</v>
      </c>
      <c r="E3783" s="3">
        <v>80</v>
      </c>
      <c r="F3783" s="3">
        <f t="shared" si="8"/>
        <v>6.666666666666667</v>
      </c>
      <c r="G3783" s="4">
        <v>44539</v>
      </c>
    </row>
    <row r="3784" spans="2:18" x14ac:dyDescent="0.2">
      <c r="B3784" s="1" t="s">
        <v>906</v>
      </c>
      <c r="C3784" s="2" t="s">
        <v>5</v>
      </c>
      <c r="D3784" s="2" t="s">
        <v>901</v>
      </c>
      <c r="E3784" s="3">
        <v>70</v>
      </c>
      <c r="F3784" s="3">
        <f t="shared" si="8"/>
        <v>6.666666666666667</v>
      </c>
      <c r="G3784" s="4">
        <v>45035</v>
      </c>
    </row>
    <row r="3785" spans="2:18" x14ac:dyDescent="0.2">
      <c r="B3785" s="1" t="s">
        <v>905</v>
      </c>
      <c r="C3785" s="2" t="s">
        <v>5</v>
      </c>
      <c r="D3785" s="2" t="s">
        <v>901</v>
      </c>
      <c r="E3785" s="3">
        <v>70</v>
      </c>
      <c r="F3785" s="3">
        <f t="shared" si="8"/>
        <v>6.666666666666667</v>
      </c>
      <c r="G3785" s="4">
        <v>45035</v>
      </c>
    </row>
    <row r="3786" spans="2:18" x14ac:dyDescent="0.2">
      <c r="B3786" s="1" t="s">
        <v>904</v>
      </c>
      <c r="C3786" s="2" t="s">
        <v>5</v>
      </c>
      <c r="D3786" s="2" t="s">
        <v>901</v>
      </c>
      <c r="E3786" s="3">
        <v>70</v>
      </c>
      <c r="F3786" s="3">
        <f t="shared" si="8"/>
        <v>6.666666666666667</v>
      </c>
      <c r="G3786" s="4">
        <v>45035</v>
      </c>
    </row>
    <row r="3787" spans="2:18" x14ac:dyDescent="0.2">
      <c r="B3787" s="1" t="s">
        <v>903</v>
      </c>
      <c r="C3787" s="2" t="s">
        <v>5</v>
      </c>
      <c r="D3787" s="2" t="s">
        <v>901</v>
      </c>
      <c r="E3787" s="3">
        <v>70</v>
      </c>
      <c r="F3787" s="3">
        <f t="shared" si="8"/>
        <v>6.666666666666667</v>
      </c>
      <c r="G3787" s="4">
        <v>45035</v>
      </c>
    </row>
    <row r="3788" spans="2:18" x14ac:dyDescent="0.2">
      <c r="B3788" s="1" t="s">
        <v>902</v>
      </c>
      <c r="C3788" s="2" t="s">
        <v>5</v>
      </c>
      <c r="D3788" s="2" t="s">
        <v>901</v>
      </c>
      <c r="E3788" s="3">
        <v>70</v>
      </c>
      <c r="F3788" s="3">
        <f t="shared" si="8"/>
        <v>6.666666666666667</v>
      </c>
      <c r="G3788" s="4">
        <v>45035</v>
      </c>
    </row>
    <row r="3789" spans="2:18" x14ac:dyDescent="0.2">
      <c r="B3789" s="1" t="s">
        <v>899</v>
      </c>
      <c r="C3789" s="2" t="s">
        <v>4</v>
      </c>
      <c r="D3789" s="2" t="s">
        <v>848</v>
      </c>
      <c r="E3789" s="3">
        <v>16</v>
      </c>
      <c r="F3789" s="3">
        <v>6</v>
      </c>
      <c r="G3789" s="4">
        <v>44298</v>
      </c>
    </row>
    <row r="3790" spans="2:18" x14ac:dyDescent="0.2">
      <c r="B3790" s="1" t="s">
        <v>898</v>
      </c>
      <c r="C3790" s="2" t="s">
        <v>4</v>
      </c>
      <c r="D3790" s="2" t="s">
        <v>661</v>
      </c>
      <c r="E3790" s="3">
        <v>13</v>
      </c>
      <c r="F3790" s="3">
        <v>6</v>
      </c>
      <c r="G3790" s="4">
        <v>44896</v>
      </c>
    </row>
    <row r="3791" spans="2:18" x14ac:dyDescent="0.2">
      <c r="B3791" s="1" t="s">
        <v>897</v>
      </c>
      <c r="C3791" s="2" t="s">
        <v>5</v>
      </c>
      <c r="D3791" s="2" t="s">
        <v>810</v>
      </c>
      <c r="E3791" s="3">
        <v>11</v>
      </c>
      <c r="F3791" s="3">
        <v>6</v>
      </c>
      <c r="G3791" s="4">
        <v>44044</v>
      </c>
    </row>
    <row r="3792" spans="2:18" x14ac:dyDescent="0.2">
      <c r="B3792" s="1" t="s">
        <v>592</v>
      </c>
      <c r="C3792" s="2" t="s">
        <v>4</v>
      </c>
      <c r="D3792" s="2" t="s">
        <v>591</v>
      </c>
      <c r="E3792" s="3">
        <v>6</v>
      </c>
      <c r="F3792" s="3">
        <v>6</v>
      </c>
      <c r="G3792" s="4">
        <v>44852</v>
      </c>
      <c r="M3792" s="1"/>
      <c r="N3792" s="1"/>
      <c r="O3792" s="1"/>
      <c r="P3792" s="1"/>
      <c r="Q3792" s="1"/>
      <c r="R3792" s="1"/>
    </row>
    <row r="3793" spans="2:18" x14ac:dyDescent="0.2">
      <c r="B3793" s="1" t="s">
        <v>478</v>
      </c>
      <c r="C3793" s="2" t="s">
        <v>7</v>
      </c>
      <c r="D3793" s="2" t="s">
        <v>475</v>
      </c>
      <c r="E3793" s="3">
        <v>90</v>
      </c>
      <c r="F3793" s="3">
        <v>6</v>
      </c>
      <c r="G3793" s="4">
        <v>44398</v>
      </c>
      <c r="M3793" s="1"/>
      <c r="N3793" s="1"/>
      <c r="O3793" s="1"/>
      <c r="P3793" s="1"/>
      <c r="Q3793" s="1"/>
      <c r="R3793" s="1"/>
    </row>
    <row r="3794" spans="2:18" x14ac:dyDescent="0.2">
      <c r="B3794" s="1" t="s">
        <v>477</v>
      </c>
      <c r="C3794" s="2" t="s">
        <v>7</v>
      </c>
      <c r="D3794" s="2" t="s">
        <v>475</v>
      </c>
      <c r="E3794" s="3">
        <v>90</v>
      </c>
      <c r="F3794" s="3">
        <v>6</v>
      </c>
      <c r="G3794" s="4">
        <v>44398</v>
      </c>
      <c r="M3794" s="1"/>
      <c r="N3794" s="1"/>
      <c r="O3794" s="1"/>
      <c r="P3794" s="1"/>
      <c r="Q3794" s="1"/>
      <c r="R3794" s="1"/>
    </row>
    <row r="3795" spans="2:18" x14ac:dyDescent="0.2">
      <c r="B3795" s="1" t="s">
        <v>358</v>
      </c>
      <c r="C3795" s="2" t="s">
        <v>5</v>
      </c>
      <c r="D3795" s="2" t="s">
        <v>355</v>
      </c>
      <c r="E3795" s="3">
        <v>16</v>
      </c>
      <c r="F3795" s="3">
        <v>6</v>
      </c>
      <c r="G3795" s="4">
        <v>44663</v>
      </c>
      <c r="M3795" s="1"/>
      <c r="N3795" s="1"/>
      <c r="O3795" s="1"/>
      <c r="P3795" s="1"/>
      <c r="Q3795" s="1"/>
      <c r="R3795" s="1"/>
    </row>
    <row r="3796" spans="2:18" x14ac:dyDescent="0.2">
      <c r="B3796" s="1" t="s">
        <v>357</v>
      </c>
      <c r="C3796" s="2" t="s">
        <v>4</v>
      </c>
      <c r="D3796" s="2" t="s">
        <v>355</v>
      </c>
      <c r="E3796" s="3">
        <v>12</v>
      </c>
      <c r="F3796" s="3">
        <v>6</v>
      </c>
      <c r="G3796" s="4">
        <v>44271</v>
      </c>
      <c r="M3796" s="1"/>
      <c r="N3796" s="1"/>
      <c r="O3796" s="1"/>
      <c r="P3796" s="1"/>
      <c r="Q3796" s="1"/>
      <c r="R3796" s="1"/>
    </row>
    <row r="3797" spans="2:18" x14ac:dyDescent="0.2">
      <c r="B3797" s="1" t="s">
        <v>295</v>
      </c>
      <c r="C3797" s="2" t="s">
        <v>18</v>
      </c>
      <c r="D3797" s="2" t="s">
        <v>292</v>
      </c>
      <c r="E3797" s="3">
        <v>38</v>
      </c>
      <c r="F3797" s="3">
        <v>6</v>
      </c>
      <c r="G3797" s="4">
        <v>43104</v>
      </c>
    </row>
    <row r="3798" spans="2:18" x14ac:dyDescent="0.2">
      <c r="B3798" s="1" t="s">
        <v>199</v>
      </c>
      <c r="C3798" s="2" t="s">
        <v>7</v>
      </c>
      <c r="D3798" s="2" t="s">
        <v>197</v>
      </c>
      <c r="E3798" s="3">
        <v>46</v>
      </c>
      <c r="F3798" s="3">
        <f>30/5</f>
        <v>6</v>
      </c>
      <c r="G3798" s="4">
        <v>42941</v>
      </c>
    </row>
    <row r="3799" spans="2:18" x14ac:dyDescent="0.2">
      <c r="B3799" s="92" t="s">
        <v>5430</v>
      </c>
      <c r="C3799" s="93" t="s">
        <v>18</v>
      </c>
      <c r="D3799" s="93" t="s">
        <v>5426</v>
      </c>
      <c r="E3799" s="3">
        <v>37</v>
      </c>
      <c r="F3799" s="3">
        <v>6</v>
      </c>
      <c r="G3799" s="4">
        <v>43831</v>
      </c>
      <c r="J3799" s="1">
        <v>2000</v>
      </c>
    </row>
    <row r="3800" spans="2:18" x14ac:dyDescent="0.2">
      <c r="B3800" s="181" t="s">
        <v>6684</v>
      </c>
      <c r="C3800" s="182" t="s">
        <v>7</v>
      </c>
      <c r="D3800" s="182" t="s">
        <v>2033</v>
      </c>
      <c r="E3800" s="3">
        <v>16</v>
      </c>
      <c r="F3800" s="3">
        <v>6</v>
      </c>
      <c r="G3800" s="4">
        <v>44825</v>
      </c>
    </row>
    <row r="3801" spans="2:18" x14ac:dyDescent="0.2">
      <c r="B3801" s="1" t="s">
        <v>316</v>
      </c>
      <c r="C3801" s="2" t="s">
        <v>5</v>
      </c>
      <c r="D3801" s="2" t="s">
        <v>313</v>
      </c>
      <c r="E3801" s="3">
        <v>57</v>
      </c>
      <c r="F3801" s="3">
        <v>5.625</v>
      </c>
      <c r="G3801" s="4">
        <v>44508</v>
      </c>
      <c r="M3801" s="1"/>
      <c r="N3801" s="1"/>
      <c r="O3801" s="1"/>
      <c r="P3801" s="1"/>
      <c r="Q3801" s="1"/>
      <c r="R3801" s="1"/>
    </row>
    <row r="3802" spans="2:18" x14ac:dyDescent="0.2">
      <c r="B3802" s="1" t="s">
        <v>315</v>
      </c>
      <c r="C3802" s="2" t="s">
        <v>5</v>
      </c>
      <c r="D3802" s="2" t="s">
        <v>313</v>
      </c>
      <c r="E3802" s="3">
        <v>57</v>
      </c>
      <c r="F3802" s="3">
        <v>5.625</v>
      </c>
      <c r="G3802" s="4">
        <v>44508</v>
      </c>
      <c r="M3802" s="1"/>
      <c r="N3802" s="1"/>
      <c r="O3802" s="1"/>
      <c r="P3802" s="1"/>
      <c r="Q3802" s="1"/>
      <c r="R3802" s="1"/>
    </row>
    <row r="3803" spans="2:18" x14ac:dyDescent="0.2">
      <c r="B3803" s="1" t="s">
        <v>314</v>
      </c>
      <c r="C3803" s="2" t="s">
        <v>5</v>
      </c>
      <c r="D3803" s="2" t="s">
        <v>313</v>
      </c>
      <c r="E3803" s="3">
        <v>57</v>
      </c>
      <c r="F3803" s="3">
        <v>5.625</v>
      </c>
      <c r="G3803" s="4">
        <v>44508</v>
      </c>
      <c r="M3803" s="1"/>
      <c r="N3803" s="1"/>
      <c r="O3803" s="1"/>
      <c r="P3803" s="1"/>
      <c r="Q3803" s="1"/>
      <c r="R3803" s="1"/>
    </row>
    <row r="3804" spans="2:18" x14ac:dyDescent="0.2">
      <c r="B3804" s="1" t="s">
        <v>266</v>
      </c>
      <c r="C3804" s="2" t="s">
        <v>18</v>
      </c>
      <c r="D3804" s="2" t="s">
        <v>258</v>
      </c>
      <c r="E3804" s="3">
        <v>55</v>
      </c>
      <c r="F3804" s="3">
        <v>5.625</v>
      </c>
      <c r="G3804" s="4">
        <v>44314</v>
      </c>
    </row>
    <row r="3805" spans="2:18" x14ac:dyDescent="0.2">
      <c r="B3805" s="1" t="s">
        <v>896</v>
      </c>
      <c r="C3805" s="2" t="s">
        <v>5</v>
      </c>
      <c r="D3805" s="2" t="s">
        <v>638</v>
      </c>
      <c r="E3805" s="3">
        <v>10.6</v>
      </c>
      <c r="F3805" s="3">
        <v>5.6</v>
      </c>
      <c r="G3805" s="4">
        <v>44819</v>
      </c>
    </row>
    <row r="3806" spans="2:18" x14ac:dyDescent="0.2">
      <c r="B3806" s="1" t="s">
        <v>636</v>
      </c>
      <c r="C3806" s="2" t="s">
        <v>4</v>
      </c>
      <c r="D3806" s="2" t="s">
        <v>635</v>
      </c>
      <c r="E3806" s="3">
        <v>10.6</v>
      </c>
      <c r="F3806" s="3">
        <v>5.6</v>
      </c>
      <c r="G3806" s="4">
        <v>45007</v>
      </c>
      <c r="M3806" s="1"/>
      <c r="N3806" s="1"/>
      <c r="O3806" s="1"/>
      <c r="P3806" s="1"/>
      <c r="Q3806" s="1"/>
      <c r="R3806" s="1"/>
    </row>
    <row r="3807" spans="2:18" x14ac:dyDescent="0.2">
      <c r="B3807" s="1" t="s">
        <v>58</v>
      </c>
      <c r="C3807" s="2" t="s">
        <v>5</v>
      </c>
      <c r="D3807" s="2" t="s">
        <v>57</v>
      </c>
      <c r="E3807" s="3">
        <v>29.5</v>
      </c>
      <c r="F3807" s="3">
        <f>E3807-24</f>
        <v>5.5</v>
      </c>
      <c r="G3807" s="4">
        <v>43410</v>
      </c>
    </row>
    <row r="3808" spans="2:18" x14ac:dyDescent="0.2">
      <c r="C3808" s="2" t="s">
        <v>4</v>
      </c>
      <c r="D3808" s="2" t="s">
        <v>7328</v>
      </c>
      <c r="E3808" s="3">
        <v>3</v>
      </c>
      <c r="F3808" s="3">
        <v>1</v>
      </c>
      <c r="G3808" s="4">
        <v>44452</v>
      </c>
    </row>
    <row r="3809" spans="2:18" x14ac:dyDescent="0.2">
      <c r="G3809" s="4"/>
    </row>
    <row r="3810" spans="2:18" x14ac:dyDescent="0.2">
      <c r="B3810" s="281" t="s">
        <v>7948</v>
      </c>
      <c r="C3810" s="161" t="s">
        <v>7</v>
      </c>
      <c r="D3810" s="161" t="s">
        <v>2044</v>
      </c>
      <c r="E3810" s="3">
        <v>42</v>
      </c>
      <c r="F3810" s="3">
        <f>22/4</f>
        <v>5.5</v>
      </c>
      <c r="G3810" s="4">
        <v>44831</v>
      </c>
    </row>
    <row r="3811" spans="2:18" x14ac:dyDescent="0.2">
      <c r="B3811" s="281"/>
      <c r="C3811" s="282" t="s">
        <v>504</v>
      </c>
      <c r="D3811" s="282" t="s">
        <v>1006</v>
      </c>
      <c r="E3811" s="3">
        <v>1000</v>
      </c>
      <c r="F3811" s="3">
        <f>900/23</f>
        <v>39.130434782608695</v>
      </c>
      <c r="G3811" s="4">
        <v>44228</v>
      </c>
      <c r="I3811" s="1">
        <v>27000</v>
      </c>
      <c r="J3811" s="1">
        <v>42500</v>
      </c>
    </row>
    <row r="3812" spans="2:18" x14ac:dyDescent="0.2">
      <c r="B3812" s="160"/>
      <c r="C3812" s="161"/>
      <c r="D3812" s="161"/>
      <c r="G3812" s="4"/>
    </row>
    <row r="3813" spans="2:18" x14ac:dyDescent="0.2">
      <c r="B3813" s="1" t="s">
        <v>895</v>
      </c>
      <c r="C3813" s="2" t="s">
        <v>7</v>
      </c>
      <c r="D3813" s="2" t="s">
        <v>894</v>
      </c>
      <c r="E3813" s="3">
        <v>40</v>
      </c>
      <c r="F3813" s="3">
        <v>5</v>
      </c>
      <c r="G3813" s="4">
        <v>44728</v>
      </c>
    </row>
    <row r="3814" spans="2:18" x14ac:dyDescent="0.2">
      <c r="B3814" s="1" t="s">
        <v>893</v>
      </c>
      <c r="C3814" s="2" t="s">
        <v>7</v>
      </c>
      <c r="D3814" s="2" t="s">
        <v>891</v>
      </c>
      <c r="E3814" s="3">
        <v>40</v>
      </c>
      <c r="F3814" s="3">
        <v>5</v>
      </c>
      <c r="G3814" s="4">
        <v>44650</v>
      </c>
    </row>
    <row r="3815" spans="2:18" x14ac:dyDescent="0.2">
      <c r="B3815" s="1" t="s">
        <v>890</v>
      </c>
      <c r="C3815" s="2" t="s">
        <v>5</v>
      </c>
      <c r="D3815" s="2" t="s">
        <v>819</v>
      </c>
      <c r="E3815" s="3">
        <v>20</v>
      </c>
      <c r="F3815" s="3">
        <v>5</v>
      </c>
      <c r="G3815" s="4">
        <v>44578</v>
      </c>
    </row>
    <row r="3816" spans="2:18" x14ac:dyDescent="0.2">
      <c r="B3816" s="1" t="s">
        <v>889</v>
      </c>
      <c r="C3816" s="2" t="s">
        <v>5</v>
      </c>
      <c r="D3816" s="2" t="s">
        <v>888</v>
      </c>
      <c r="E3816" s="3">
        <v>20</v>
      </c>
      <c r="F3816" s="3">
        <v>5</v>
      </c>
      <c r="G3816" s="4">
        <v>45009</v>
      </c>
    </row>
    <row r="3817" spans="2:18" x14ac:dyDescent="0.2">
      <c r="G3817" s="4"/>
    </row>
    <row r="3818" spans="2:18" x14ac:dyDescent="0.2">
      <c r="B3818" s="250" t="s">
        <v>7432</v>
      </c>
      <c r="C3818" s="2" t="s">
        <v>4</v>
      </c>
      <c r="D3818" s="2" t="s">
        <v>887</v>
      </c>
      <c r="E3818" s="3">
        <v>20</v>
      </c>
      <c r="F3818" s="3">
        <v>5</v>
      </c>
      <c r="G3818" s="4">
        <v>44614</v>
      </c>
    </row>
    <row r="3819" spans="2:18" x14ac:dyDescent="0.2">
      <c r="C3819" s="253" t="s">
        <v>4</v>
      </c>
      <c r="D3819" s="253" t="s">
        <v>2016</v>
      </c>
      <c r="E3819" s="3">
        <v>11</v>
      </c>
      <c r="F3819" s="3">
        <f>8/6</f>
        <v>1.3333333333333333</v>
      </c>
      <c r="G3819" s="4">
        <v>44686</v>
      </c>
    </row>
    <row r="3820" spans="2:18" x14ac:dyDescent="0.2">
      <c r="G3820" s="4"/>
    </row>
    <row r="3821" spans="2:18" x14ac:dyDescent="0.2">
      <c r="B3821" s="1" t="s">
        <v>885</v>
      </c>
      <c r="C3821" s="2" t="s">
        <v>4</v>
      </c>
      <c r="D3821" s="2" t="s">
        <v>686</v>
      </c>
      <c r="E3821" s="3">
        <v>30</v>
      </c>
      <c r="F3821" s="3">
        <v>5</v>
      </c>
      <c r="G3821" s="4">
        <v>44601</v>
      </c>
    </row>
    <row r="3822" spans="2:18" x14ac:dyDescent="0.2">
      <c r="B3822" s="1" t="s">
        <v>884</v>
      </c>
      <c r="C3822" s="2" t="s">
        <v>7</v>
      </c>
      <c r="D3822" s="2" t="s">
        <v>883</v>
      </c>
      <c r="E3822" s="3">
        <v>75</v>
      </c>
      <c r="F3822" s="3">
        <v>5</v>
      </c>
      <c r="G3822" s="4">
        <v>43783</v>
      </c>
    </row>
    <row r="3823" spans="2:18" x14ac:dyDescent="0.2">
      <c r="B3823" s="1" t="s">
        <v>590</v>
      </c>
      <c r="C3823" s="2" t="s">
        <v>5</v>
      </c>
      <c r="D3823" s="2" t="s">
        <v>584</v>
      </c>
      <c r="E3823" s="3">
        <v>20</v>
      </c>
      <c r="F3823" s="3">
        <v>5</v>
      </c>
      <c r="G3823" s="4">
        <v>44801</v>
      </c>
      <c r="M3823" s="1"/>
      <c r="N3823" s="1"/>
      <c r="O3823" s="1"/>
      <c r="P3823" s="1"/>
      <c r="Q3823" s="1"/>
      <c r="R3823" s="1"/>
    </row>
    <row r="3824" spans="2:18" x14ac:dyDescent="0.2">
      <c r="B3824" s="1" t="s">
        <v>560</v>
      </c>
      <c r="C3824" s="2" t="s">
        <v>5</v>
      </c>
      <c r="D3824" s="2" t="s">
        <v>559</v>
      </c>
      <c r="E3824" s="3">
        <v>20</v>
      </c>
      <c r="F3824" s="3">
        <v>5</v>
      </c>
      <c r="G3824" s="4">
        <v>44671</v>
      </c>
      <c r="M3824" s="1"/>
      <c r="N3824" s="1"/>
      <c r="O3824" s="1"/>
      <c r="P3824" s="1"/>
      <c r="Q3824" s="1"/>
      <c r="R3824" s="1"/>
    </row>
    <row r="3825" spans="2:18" x14ac:dyDescent="0.2">
      <c r="B3825" s="1" t="s">
        <v>539</v>
      </c>
      <c r="C3825" s="2" t="s">
        <v>18</v>
      </c>
      <c r="D3825" s="2" t="s">
        <v>533</v>
      </c>
      <c r="E3825" s="3">
        <v>45</v>
      </c>
      <c r="F3825" s="3">
        <v>5</v>
      </c>
      <c r="G3825" s="4">
        <v>44159</v>
      </c>
      <c r="M3825" s="1"/>
      <c r="N3825" s="1"/>
      <c r="O3825" s="1"/>
      <c r="P3825" s="1"/>
      <c r="Q3825" s="1"/>
      <c r="R3825" s="1"/>
    </row>
    <row r="3826" spans="2:18" x14ac:dyDescent="0.2">
      <c r="B3826" s="1" t="s">
        <v>538</v>
      </c>
      <c r="C3826" s="2" t="s">
        <v>18</v>
      </c>
      <c r="D3826" s="2" t="s">
        <v>533</v>
      </c>
      <c r="E3826" s="3">
        <v>45</v>
      </c>
      <c r="F3826" s="3">
        <v>5</v>
      </c>
      <c r="G3826" s="4">
        <v>44159</v>
      </c>
      <c r="M3826" s="1"/>
      <c r="N3826" s="1"/>
      <c r="O3826" s="1"/>
      <c r="P3826" s="1"/>
      <c r="Q3826" s="1"/>
      <c r="R3826" s="1"/>
    </row>
    <row r="3827" spans="2:18" x14ac:dyDescent="0.2">
      <c r="B3827" s="1" t="s">
        <v>537</v>
      </c>
      <c r="C3827" s="2" t="s">
        <v>18</v>
      </c>
      <c r="D3827" s="2" t="s">
        <v>533</v>
      </c>
      <c r="E3827" s="3">
        <v>45</v>
      </c>
      <c r="F3827" s="3">
        <v>5</v>
      </c>
      <c r="G3827" s="4">
        <v>44159</v>
      </c>
      <c r="M3827" s="1"/>
      <c r="N3827" s="1"/>
      <c r="O3827" s="1"/>
      <c r="P3827" s="1"/>
      <c r="Q3827" s="1"/>
      <c r="R3827" s="1"/>
    </row>
    <row r="3828" spans="2:18" x14ac:dyDescent="0.2">
      <c r="B3828" s="1" t="s">
        <v>536</v>
      </c>
      <c r="C3828" s="2" t="s">
        <v>18</v>
      </c>
      <c r="D3828" s="2" t="s">
        <v>533</v>
      </c>
      <c r="E3828" s="3">
        <v>45</v>
      </c>
      <c r="F3828" s="3">
        <v>5</v>
      </c>
      <c r="G3828" s="4">
        <v>44159</v>
      </c>
      <c r="M3828" s="1"/>
      <c r="N3828" s="1"/>
      <c r="O3828" s="1"/>
      <c r="P3828" s="1"/>
      <c r="Q3828" s="1"/>
      <c r="R3828" s="1"/>
    </row>
    <row r="3829" spans="2:18" x14ac:dyDescent="0.2">
      <c r="B3829" s="1" t="s">
        <v>535</v>
      </c>
      <c r="C3829" s="2" t="s">
        <v>18</v>
      </c>
      <c r="D3829" s="2" t="s">
        <v>533</v>
      </c>
      <c r="E3829" s="3">
        <v>45</v>
      </c>
      <c r="F3829" s="3">
        <v>5</v>
      </c>
      <c r="G3829" s="4">
        <v>44159</v>
      </c>
      <c r="M3829" s="1"/>
      <c r="N3829" s="1"/>
      <c r="O3829" s="1"/>
      <c r="P3829" s="1"/>
      <c r="Q3829" s="1"/>
      <c r="R3829" s="1"/>
    </row>
    <row r="3830" spans="2:18" x14ac:dyDescent="0.2">
      <c r="B3830" s="1" t="s">
        <v>534</v>
      </c>
      <c r="C3830" s="2" t="s">
        <v>18</v>
      </c>
      <c r="D3830" s="2" t="s">
        <v>533</v>
      </c>
      <c r="E3830" s="3">
        <v>45</v>
      </c>
      <c r="F3830" s="3">
        <v>5</v>
      </c>
      <c r="G3830" s="4">
        <v>44159</v>
      </c>
      <c r="M3830" s="1"/>
      <c r="N3830" s="1"/>
      <c r="O3830" s="1"/>
      <c r="P3830" s="1"/>
      <c r="Q3830" s="1"/>
      <c r="R3830" s="1"/>
    </row>
    <row r="3831" spans="2:18" x14ac:dyDescent="0.2">
      <c r="B3831" s="1" t="s">
        <v>530</v>
      </c>
      <c r="C3831" s="2" t="s">
        <v>18</v>
      </c>
      <c r="D3831" s="2" t="s">
        <v>520</v>
      </c>
      <c r="E3831" s="3">
        <v>60</v>
      </c>
      <c r="F3831" s="3">
        <v>5</v>
      </c>
      <c r="G3831" s="4">
        <v>43606</v>
      </c>
      <c r="M3831" s="1"/>
      <c r="N3831" s="1"/>
      <c r="O3831" s="1"/>
      <c r="P3831" s="1"/>
      <c r="Q3831" s="1"/>
      <c r="R3831" s="1"/>
    </row>
    <row r="3832" spans="2:18" x14ac:dyDescent="0.2">
      <c r="B3832" s="1" t="s">
        <v>529</v>
      </c>
      <c r="C3832" s="2" t="s">
        <v>18</v>
      </c>
      <c r="D3832" s="2" t="s">
        <v>520</v>
      </c>
      <c r="E3832" s="3">
        <v>60</v>
      </c>
      <c r="F3832" s="3">
        <v>5</v>
      </c>
      <c r="G3832" s="4">
        <v>43606</v>
      </c>
      <c r="M3832" s="1"/>
      <c r="N3832" s="1"/>
      <c r="O3832" s="1"/>
      <c r="P3832" s="1"/>
      <c r="Q3832" s="1"/>
      <c r="R3832" s="1"/>
    </row>
    <row r="3833" spans="2:18" x14ac:dyDescent="0.2">
      <c r="B3833" s="1" t="s">
        <v>464</v>
      </c>
      <c r="C3833" s="2" t="s">
        <v>7</v>
      </c>
      <c r="D3833" s="2" t="s">
        <v>461</v>
      </c>
      <c r="E3833" s="3">
        <v>25.7</v>
      </c>
      <c r="F3833" s="3">
        <v>5</v>
      </c>
      <c r="G3833" s="4">
        <v>43837</v>
      </c>
      <c r="M3833" s="1"/>
      <c r="N3833" s="1"/>
      <c r="O3833" s="1"/>
      <c r="P3833" s="1"/>
      <c r="Q3833" s="1"/>
      <c r="R3833" s="1"/>
    </row>
    <row r="3834" spans="2:18" x14ac:dyDescent="0.2">
      <c r="B3834" s="1" t="s">
        <v>462</v>
      </c>
      <c r="C3834" s="2" t="s">
        <v>7</v>
      </c>
      <c r="D3834" s="2" t="s">
        <v>461</v>
      </c>
      <c r="E3834" s="3">
        <v>25.7</v>
      </c>
      <c r="F3834" s="3">
        <v>5</v>
      </c>
      <c r="G3834" s="4">
        <v>43837</v>
      </c>
      <c r="M3834" s="1"/>
      <c r="N3834" s="1"/>
      <c r="O3834" s="1"/>
      <c r="P3834" s="1"/>
      <c r="Q3834" s="1"/>
      <c r="R3834" s="1"/>
    </row>
    <row r="3835" spans="2:18" x14ac:dyDescent="0.2">
      <c r="B3835" s="1" t="s">
        <v>406</v>
      </c>
      <c r="C3835" s="2" t="s">
        <v>7</v>
      </c>
      <c r="D3835" s="2" t="s">
        <v>403</v>
      </c>
      <c r="E3835" s="3">
        <v>50</v>
      </c>
      <c r="F3835" s="3">
        <f>30/6</f>
        <v>5</v>
      </c>
      <c r="G3835" s="4">
        <v>44538</v>
      </c>
      <c r="M3835" s="1"/>
      <c r="N3835" s="1"/>
      <c r="O3835" s="1"/>
      <c r="P3835" s="1"/>
      <c r="Q3835" s="1"/>
      <c r="R3835" s="1"/>
    </row>
    <row r="3836" spans="2:18" x14ac:dyDescent="0.2">
      <c r="B3836" s="1" t="s">
        <v>377</v>
      </c>
      <c r="C3836" s="2" t="s">
        <v>7</v>
      </c>
      <c r="D3836" s="2" t="s">
        <v>374</v>
      </c>
      <c r="E3836" s="3">
        <v>44</v>
      </c>
      <c r="F3836" s="3">
        <f>30/6</f>
        <v>5</v>
      </c>
      <c r="G3836" s="4">
        <v>43909</v>
      </c>
      <c r="M3836" s="1"/>
      <c r="N3836" s="1"/>
      <c r="O3836" s="1"/>
      <c r="P3836" s="1"/>
      <c r="Q3836" s="1"/>
      <c r="R3836" s="1"/>
    </row>
    <row r="3837" spans="2:18" x14ac:dyDescent="0.2">
      <c r="B3837" s="1" t="s">
        <v>288</v>
      </c>
      <c r="C3837" s="2" t="s">
        <v>7</v>
      </c>
      <c r="D3837" s="2" t="s">
        <v>286</v>
      </c>
      <c r="E3837" s="3">
        <v>35</v>
      </c>
      <c r="F3837" s="3">
        <f>15/3</f>
        <v>5</v>
      </c>
      <c r="G3837" s="4">
        <v>44309</v>
      </c>
    </row>
    <row r="3838" spans="2:18" x14ac:dyDescent="0.2">
      <c r="B3838" s="1" t="s">
        <v>282</v>
      </c>
      <c r="C3838" s="2" t="s">
        <v>5</v>
      </c>
      <c r="D3838" s="2" t="s">
        <v>281</v>
      </c>
      <c r="E3838" s="3">
        <v>32</v>
      </c>
      <c r="F3838" s="3">
        <v>5</v>
      </c>
      <c r="G3838" s="4">
        <v>44851</v>
      </c>
    </row>
    <row r="3839" spans="2:18" x14ac:dyDescent="0.2">
      <c r="B3839" s="1" t="s">
        <v>132</v>
      </c>
      <c r="C3839" s="2" t="s">
        <v>7</v>
      </c>
      <c r="D3839" s="2" t="s">
        <v>131</v>
      </c>
      <c r="E3839" s="3">
        <v>32</v>
      </c>
      <c r="F3839" s="3">
        <v>5</v>
      </c>
      <c r="G3839" s="4">
        <v>42528</v>
      </c>
    </row>
    <row r="3840" spans="2:18" x14ac:dyDescent="0.2">
      <c r="B3840" s="1" t="s">
        <v>65</v>
      </c>
      <c r="C3840" s="2" t="s">
        <v>5</v>
      </c>
      <c r="D3840" s="2" t="s">
        <v>64</v>
      </c>
      <c r="E3840" s="3">
        <v>50</v>
      </c>
      <c r="F3840" s="3">
        <f>20/4</f>
        <v>5</v>
      </c>
      <c r="G3840" s="4">
        <v>44165</v>
      </c>
    </row>
    <row r="3841" spans="2:18" x14ac:dyDescent="0.2">
      <c r="B3841" s="1" t="s">
        <v>40</v>
      </c>
      <c r="C3841" s="2" t="s">
        <v>5</v>
      </c>
      <c r="D3841" s="2" t="s">
        <v>39</v>
      </c>
      <c r="E3841" s="3">
        <v>25</v>
      </c>
      <c r="F3841" s="3">
        <v>5</v>
      </c>
      <c r="G3841" s="4">
        <v>42374</v>
      </c>
      <c r="J3841" s="1">
        <v>2000</v>
      </c>
    </row>
    <row r="3842" spans="2:18" x14ac:dyDescent="0.2">
      <c r="B3842" s="184" t="s">
        <v>6793</v>
      </c>
      <c r="C3842" s="185" t="s">
        <v>5</v>
      </c>
      <c r="D3842" s="185" t="s">
        <v>6794</v>
      </c>
      <c r="E3842" s="3">
        <v>11</v>
      </c>
      <c r="F3842" s="3">
        <v>5</v>
      </c>
      <c r="G3842" s="4">
        <v>43215</v>
      </c>
    </row>
    <row r="3843" spans="2:18" x14ac:dyDescent="0.2">
      <c r="B3843" s="1" t="s">
        <v>390</v>
      </c>
      <c r="C3843" s="2" t="s">
        <v>7</v>
      </c>
      <c r="D3843" s="2" t="s">
        <v>386</v>
      </c>
      <c r="E3843" s="3">
        <v>9.4</v>
      </c>
      <c r="F3843" s="3">
        <f>E3843/2</f>
        <v>4.7</v>
      </c>
      <c r="G3843" s="4">
        <v>42968</v>
      </c>
      <c r="M3843" s="1"/>
      <c r="N3843" s="1"/>
      <c r="O3843" s="1"/>
      <c r="P3843" s="1"/>
      <c r="Q3843" s="1"/>
      <c r="R3843" s="1"/>
    </row>
    <row r="3844" spans="2:18" x14ac:dyDescent="0.2">
      <c r="B3844" s="1" t="s">
        <v>389</v>
      </c>
      <c r="C3844" s="2" t="s">
        <v>7</v>
      </c>
      <c r="D3844" s="2" t="s">
        <v>386</v>
      </c>
      <c r="E3844" s="3">
        <v>9.4</v>
      </c>
      <c r="F3844" s="3">
        <f>E3844/2</f>
        <v>4.7</v>
      </c>
      <c r="G3844" s="4">
        <v>42968</v>
      </c>
      <c r="M3844" s="1"/>
      <c r="N3844" s="1"/>
      <c r="O3844" s="1"/>
      <c r="P3844" s="1"/>
      <c r="Q3844" s="1"/>
      <c r="R3844" s="1"/>
    </row>
    <row r="3845" spans="2:18" x14ac:dyDescent="0.2">
      <c r="B3845" s="1" t="s">
        <v>882</v>
      </c>
      <c r="C3845" s="2" t="s">
        <v>5</v>
      </c>
      <c r="D3845" s="2" t="s">
        <v>843</v>
      </c>
      <c r="E3845" s="3">
        <v>44</v>
      </c>
      <c r="F3845" s="3">
        <f>14/3</f>
        <v>4.666666666666667</v>
      </c>
      <c r="G3845" s="4">
        <v>44671</v>
      </c>
    </row>
    <row r="3846" spans="2:18" x14ac:dyDescent="0.2">
      <c r="B3846" s="1" t="s">
        <v>881</v>
      </c>
      <c r="C3846" s="2" t="s">
        <v>5</v>
      </c>
      <c r="D3846" s="2" t="s">
        <v>843</v>
      </c>
      <c r="E3846" s="3">
        <v>44</v>
      </c>
      <c r="F3846" s="3">
        <f>14/3</f>
        <v>4.666666666666667</v>
      </c>
      <c r="G3846" s="4">
        <v>44671</v>
      </c>
    </row>
    <row r="3847" spans="2:18" x14ac:dyDescent="0.2">
      <c r="B3847" s="1" t="s">
        <v>880</v>
      </c>
      <c r="C3847" s="2" t="s">
        <v>5</v>
      </c>
      <c r="D3847" s="2" t="s">
        <v>843</v>
      </c>
      <c r="E3847" s="3">
        <v>44</v>
      </c>
      <c r="F3847" s="3">
        <f>14/3</f>
        <v>4.666666666666667</v>
      </c>
      <c r="G3847" s="4">
        <v>44671</v>
      </c>
    </row>
    <row r="3848" spans="2:18" x14ac:dyDescent="0.2">
      <c r="B3848" s="1" t="s">
        <v>879</v>
      </c>
      <c r="C3848" s="2" t="s">
        <v>5</v>
      </c>
      <c r="D3848" s="2" t="s">
        <v>672</v>
      </c>
      <c r="E3848" s="3">
        <v>14.5</v>
      </c>
      <c r="F3848" s="3">
        <v>4.5</v>
      </c>
      <c r="G3848" s="4">
        <v>44389</v>
      </c>
    </row>
    <row r="3849" spans="2:18" x14ac:dyDescent="0.2">
      <c r="B3849" s="1" t="s">
        <v>135</v>
      </c>
      <c r="C3849" s="2" t="s">
        <v>18</v>
      </c>
      <c r="D3849" s="2" t="s">
        <v>131</v>
      </c>
      <c r="E3849" s="3">
        <v>31.7</v>
      </c>
      <c r="F3849" s="3">
        <f>18/4</f>
        <v>4.5</v>
      </c>
      <c r="G3849" s="4">
        <v>43599</v>
      </c>
    </row>
    <row r="3850" spans="2:18" x14ac:dyDescent="0.2">
      <c r="B3850" s="1" t="s">
        <v>134</v>
      </c>
      <c r="C3850" s="2" t="s">
        <v>18</v>
      </c>
      <c r="D3850" s="2" t="s">
        <v>131</v>
      </c>
      <c r="E3850" s="3">
        <v>31.7</v>
      </c>
      <c r="F3850" s="3">
        <f>18/4</f>
        <v>4.5</v>
      </c>
      <c r="G3850" s="4">
        <v>43599</v>
      </c>
    </row>
    <row r="3851" spans="2:18" x14ac:dyDescent="0.2">
      <c r="B3851" s="184" t="s">
        <v>6695</v>
      </c>
      <c r="C3851" s="185" t="s">
        <v>5</v>
      </c>
      <c r="D3851" s="182" t="s">
        <v>2033</v>
      </c>
      <c r="E3851" s="3">
        <v>9.3000000000000007</v>
      </c>
      <c r="F3851" s="3">
        <v>4.3</v>
      </c>
      <c r="G3851" s="4">
        <v>44229</v>
      </c>
    </row>
    <row r="3852" spans="2:18" x14ac:dyDescent="0.2">
      <c r="B3852" s="1" t="s">
        <v>878</v>
      </c>
      <c r="C3852" s="2" t="s">
        <v>7</v>
      </c>
      <c r="D3852" s="2" t="s">
        <v>877</v>
      </c>
      <c r="E3852" s="3">
        <v>35</v>
      </c>
      <c r="F3852" s="3">
        <f>25/6</f>
        <v>4.166666666666667</v>
      </c>
      <c r="G3852" s="4">
        <v>44293</v>
      </c>
    </row>
    <row r="3853" spans="2:18" x14ac:dyDescent="0.2">
      <c r="G3853" s="4"/>
    </row>
    <row r="3854" spans="2:18" x14ac:dyDescent="0.2">
      <c r="B3854" s="1" t="s">
        <v>875</v>
      </c>
      <c r="C3854" s="2" t="s">
        <v>5</v>
      </c>
      <c r="D3854" s="2" t="s">
        <v>644</v>
      </c>
      <c r="E3854" s="3">
        <v>12.5</v>
      </c>
      <c r="F3854" s="3">
        <f>E3854/3</f>
        <v>4.166666666666667</v>
      </c>
      <c r="G3854" s="4">
        <v>44825</v>
      </c>
    </row>
    <row r="3855" spans="2:18" x14ac:dyDescent="0.2">
      <c r="C3855" s="253" t="s">
        <v>4</v>
      </c>
      <c r="D3855" s="253" t="s">
        <v>2016</v>
      </c>
      <c r="E3855" s="3">
        <v>11</v>
      </c>
      <c r="F3855" s="3">
        <v>3</v>
      </c>
      <c r="G3855" s="259">
        <v>44686</v>
      </c>
    </row>
    <row r="3856" spans="2:18" x14ac:dyDescent="0.2">
      <c r="G3856" s="4"/>
    </row>
    <row r="3857" spans="2:18" x14ac:dyDescent="0.2">
      <c r="G3857" s="4"/>
    </row>
    <row r="3858" spans="2:18" x14ac:dyDescent="0.2">
      <c r="B3858" s="1" t="s">
        <v>874</v>
      </c>
      <c r="C3858" s="2" t="s">
        <v>5</v>
      </c>
      <c r="D3858" s="2" t="s">
        <v>873</v>
      </c>
      <c r="E3858" s="3">
        <v>30</v>
      </c>
      <c r="F3858" s="3">
        <v>4</v>
      </c>
      <c r="G3858" s="4">
        <v>44522</v>
      </c>
    </row>
    <row r="3859" spans="2:18" x14ac:dyDescent="0.2">
      <c r="B3859" s="1" t="s">
        <v>607</v>
      </c>
      <c r="C3859" s="2" t="s">
        <v>18</v>
      </c>
      <c r="D3859" s="2" t="s">
        <v>606</v>
      </c>
      <c r="E3859" s="3">
        <v>48</v>
      </c>
      <c r="F3859" s="3">
        <v>4</v>
      </c>
      <c r="G3859" s="4">
        <v>43888</v>
      </c>
      <c r="M3859" s="1"/>
      <c r="N3859" s="1"/>
      <c r="O3859" s="1"/>
      <c r="P3859" s="1"/>
      <c r="Q3859" s="1"/>
      <c r="R3859" s="1"/>
    </row>
    <row r="3860" spans="2:18" x14ac:dyDescent="0.2">
      <c r="B3860" s="1" t="s">
        <v>602</v>
      </c>
      <c r="C3860" s="2" t="s">
        <v>5</v>
      </c>
      <c r="D3860" s="2" t="s">
        <v>599</v>
      </c>
      <c r="E3860" s="3">
        <v>26</v>
      </c>
      <c r="F3860" s="3">
        <v>4</v>
      </c>
      <c r="G3860" s="4">
        <v>43809</v>
      </c>
      <c r="M3860" s="1"/>
      <c r="N3860" s="1"/>
      <c r="O3860" s="1"/>
      <c r="P3860" s="1"/>
      <c r="Q3860" s="1"/>
      <c r="R3860" s="1"/>
    </row>
    <row r="3861" spans="2:18" x14ac:dyDescent="0.2">
      <c r="B3861" s="1" t="s">
        <v>460</v>
      </c>
      <c r="C3861" s="2" t="s">
        <v>7</v>
      </c>
      <c r="D3861" s="2" t="s">
        <v>456</v>
      </c>
      <c r="E3861" s="3">
        <v>26.8</v>
      </c>
      <c r="F3861" s="3">
        <v>4</v>
      </c>
      <c r="G3861" s="4">
        <v>44600</v>
      </c>
      <c r="M3861" s="1"/>
      <c r="N3861" s="1"/>
      <c r="O3861" s="1"/>
      <c r="P3861" s="1"/>
      <c r="Q3861" s="1"/>
      <c r="R3861" s="1"/>
    </row>
    <row r="3862" spans="2:18" x14ac:dyDescent="0.2">
      <c r="B3862" s="1" t="s">
        <v>409</v>
      </c>
      <c r="C3862" s="2" t="s">
        <v>4</v>
      </c>
      <c r="D3862" s="2" t="s">
        <v>408</v>
      </c>
      <c r="E3862" s="3">
        <v>4</v>
      </c>
      <c r="F3862" s="3">
        <v>4</v>
      </c>
      <c r="G3862" s="4">
        <v>43389</v>
      </c>
      <c r="M3862" s="1"/>
      <c r="N3862" s="1"/>
      <c r="O3862" s="1"/>
      <c r="P3862" s="1"/>
      <c r="Q3862" s="1"/>
      <c r="R3862" s="1"/>
    </row>
    <row r="3863" spans="2:18" x14ac:dyDescent="0.2">
      <c r="B3863" s="1" t="s">
        <v>401</v>
      </c>
      <c r="C3863" s="2" t="s">
        <v>7</v>
      </c>
      <c r="D3863" s="2" t="s">
        <v>398</v>
      </c>
      <c r="E3863" s="3">
        <v>37</v>
      </c>
      <c r="F3863" s="3">
        <v>4</v>
      </c>
      <c r="G3863" s="4">
        <v>44860</v>
      </c>
      <c r="M3863" s="1"/>
      <c r="N3863" s="1"/>
      <c r="O3863" s="1"/>
      <c r="P3863" s="1"/>
      <c r="Q3863" s="1"/>
      <c r="R3863" s="1"/>
    </row>
    <row r="3864" spans="2:18" x14ac:dyDescent="0.2">
      <c r="B3864" s="1" t="s">
        <v>291</v>
      </c>
      <c r="C3864" s="2" t="s">
        <v>5</v>
      </c>
      <c r="D3864" s="2" t="s">
        <v>289</v>
      </c>
      <c r="E3864" s="3">
        <v>30</v>
      </c>
      <c r="F3864" s="3">
        <f>20/5</f>
        <v>4</v>
      </c>
      <c r="G3864" s="4">
        <v>44474</v>
      </c>
    </row>
    <row r="3865" spans="2:18" x14ac:dyDescent="0.2">
      <c r="B3865" s="160" t="s">
        <v>6388</v>
      </c>
      <c r="C3865" s="161" t="s">
        <v>7</v>
      </c>
      <c r="D3865" s="161" t="s">
        <v>2049</v>
      </c>
      <c r="E3865" s="3">
        <v>50</v>
      </c>
      <c r="F3865" s="3">
        <v>4</v>
      </c>
      <c r="G3865" s="4">
        <v>44252</v>
      </c>
    </row>
    <row r="3866" spans="2:18" x14ac:dyDescent="0.2">
      <c r="B3866" s="92" t="s">
        <v>5447</v>
      </c>
      <c r="C3866" s="93" t="s">
        <v>5</v>
      </c>
      <c r="D3866" s="93" t="s">
        <v>2093</v>
      </c>
      <c r="E3866" s="3">
        <v>15</v>
      </c>
      <c r="F3866" s="3">
        <f>7.5/2</f>
        <v>3.75</v>
      </c>
      <c r="G3866" s="4">
        <v>43864</v>
      </c>
      <c r="J3866" s="1">
        <v>1500</v>
      </c>
    </row>
    <row r="3867" spans="2:18" x14ac:dyDescent="0.2">
      <c r="B3867" s="1" t="s">
        <v>870</v>
      </c>
      <c r="C3867" s="2" t="s">
        <v>4</v>
      </c>
      <c r="D3867" s="2" t="s">
        <v>661</v>
      </c>
      <c r="E3867" s="3">
        <v>13</v>
      </c>
      <c r="F3867" s="3">
        <f>7/2</f>
        <v>3.5</v>
      </c>
      <c r="G3867" s="4">
        <v>44896</v>
      </c>
    </row>
    <row r="3868" spans="2:18" x14ac:dyDescent="0.2">
      <c r="B3868" s="1" t="s">
        <v>869</v>
      </c>
      <c r="C3868" s="2" t="s">
        <v>4</v>
      </c>
      <c r="D3868" s="2" t="s">
        <v>771</v>
      </c>
      <c r="E3868" s="3">
        <v>10</v>
      </c>
      <c r="F3868" s="3">
        <v>3.5</v>
      </c>
      <c r="G3868" s="4">
        <v>44858</v>
      </c>
    </row>
    <row r="3869" spans="2:18" x14ac:dyDescent="0.2">
      <c r="B3869" s="1" t="s">
        <v>868</v>
      </c>
      <c r="C3869" s="2" t="s">
        <v>4</v>
      </c>
      <c r="D3869" s="2" t="s">
        <v>771</v>
      </c>
      <c r="E3869" s="3">
        <v>10</v>
      </c>
      <c r="F3869" s="3">
        <v>3.5</v>
      </c>
      <c r="G3869" s="4">
        <v>44858</v>
      </c>
    </row>
    <row r="3870" spans="2:18" x14ac:dyDescent="0.2">
      <c r="B3870" s="1" t="s">
        <v>681</v>
      </c>
      <c r="C3870" s="2" t="s">
        <v>4</v>
      </c>
      <c r="D3870" s="2" t="s">
        <v>680</v>
      </c>
      <c r="E3870" s="3">
        <v>5.3</v>
      </c>
      <c r="F3870" s="3">
        <v>3.3</v>
      </c>
      <c r="G3870" s="4">
        <v>45069</v>
      </c>
    </row>
    <row r="3871" spans="2:18" x14ac:dyDescent="0.2">
      <c r="B3871" s="1" t="s">
        <v>476</v>
      </c>
      <c r="C3871" s="2" t="s">
        <v>5</v>
      </c>
      <c r="D3871" s="2" t="s">
        <v>475</v>
      </c>
      <c r="E3871" s="3">
        <v>22.8</v>
      </c>
      <c r="F3871" s="3">
        <v>3.3</v>
      </c>
      <c r="G3871" s="4">
        <v>43160</v>
      </c>
      <c r="H3871" s="8"/>
      <c r="M3871" s="1"/>
      <c r="N3871" s="1"/>
      <c r="O3871" s="1"/>
      <c r="P3871" s="1"/>
      <c r="Q3871" s="1"/>
      <c r="R3871" s="1"/>
    </row>
    <row r="3872" spans="2:18" x14ac:dyDescent="0.2">
      <c r="B3872" s="1" t="s">
        <v>178</v>
      </c>
      <c r="C3872" s="2" t="s">
        <v>7</v>
      </c>
      <c r="D3872" s="2" t="s">
        <v>176</v>
      </c>
      <c r="E3872" s="3">
        <v>16.5</v>
      </c>
      <c r="F3872" s="3">
        <f>E3872/5</f>
        <v>3.3</v>
      </c>
      <c r="G3872" s="4">
        <v>41176</v>
      </c>
    </row>
    <row r="3873" spans="2:18" x14ac:dyDescent="0.2">
      <c r="B3873" s="1" t="s">
        <v>177</v>
      </c>
      <c r="C3873" s="2" t="s">
        <v>7</v>
      </c>
      <c r="D3873" s="2" t="s">
        <v>176</v>
      </c>
      <c r="E3873" s="3">
        <v>16.5</v>
      </c>
      <c r="F3873" s="3">
        <f>E3873/5</f>
        <v>3.3</v>
      </c>
      <c r="G3873" s="4">
        <v>41176</v>
      </c>
    </row>
    <row r="3874" spans="2:18" x14ac:dyDescent="0.2">
      <c r="B3874" s="1" t="s">
        <v>96</v>
      </c>
      <c r="C3874" s="2" t="s">
        <v>7</v>
      </c>
      <c r="D3874" s="2" t="s">
        <v>95</v>
      </c>
      <c r="E3874" s="3">
        <v>15</v>
      </c>
      <c r="F3874" s="3">
        <v>3.2</v>
      </c>
      <c r="G3874" s="4">
        <v>43559</v>
      </c>
    </row>
    <row r="3875" spans="2:18" x14ac:dyDescent="0.2">
      <c r="B3875" s="1" t="s">
        <v>867</v>
      </c>
      <c r="C3875" s="2" t="s">
        <v>5</v>
      </c>
      <c r="D3875" s="2" t="s">
        <v>864</v>
      </c>
      <c r="E3875" s="3">
        <v>10</v>
      </c>
      <c r="F3875" s="3">
        <v>3</v>
      </c>
      <c r="G3875" s="4">
        <v>44378</v>
      </c>
    </row>
    <row r="3876" spans="2:18" x14ac:dyDescent="0.2">
      <c r="B3876" s="1" t="s">
        <v>865</v>
      </c>
      <c r="C3876" s="2" t="s">
        <v>5</v>
      </c>
      <c r="D3876" s="2" t="s">
        <v>864</v>
      </c>
      <c r="E3876" s="3">
        <v>10</v>
      </c>
      <c r="F3876" s="3">
        <v>3</v>
      </c>
      <c r="G3876" s="4">
        <v>44378</v>
      </c>
    </row>
    <row r="3877" spans="2:18" x14ac:dyDescent="0.2">
      <c r="B3877" s="1" t="s">
        <v>863</v>
      </c>
      <c r="C3877" s="2" t="s">
        <v>7</v>
      </c>
      <c r="D3877" s="2" t="s">
        <v>735</v>
      </c>
      <c r="E3877" s="3">
        <v>25</v>
      </c>
      <c r="F3877" s="3">
        <f>15/5</f>
        <v>3</v>
      </c>
      <c r="G3877" s="4">
        <v>44755</v>
      </c>
    </row>
    <row r="3878" spans="2:18" x14ac:dyDescent="0.2">
      <c r="B3878" s="1" t="s">
        <v>862</v>
      </c>
      <c r="C3878" s="2" t="s">
        <v>5</v>
      </c>
      <c r="D3878" s="2" t="s">
        <v>783</v>
      </c>
      <c r="E3878" s="3">
        <v>10.9</v>
      </c>
      <c r="F3878" s="3">
        <v>3</v>
      </c>
      <c r="G3878" s="4">
        <v>45070</v>
      </c>
    </row>
    <row r="3879" spans="2:18" x14ac:dyDescent="0.2">
      <c r="B3879" s="1" t="s">
        <v>861</v>
      </c>
      <c r="C3879" s="2" t="s">
        <v>7</v>
      </c>
      <c r="D3879" s="2" t="s">
        <v>860</v>
      </c>
      <c r="E3879" s="3">
        <v>25</v>
      </c>
      <c r="F3879" s="3">
        <v>3</v>
      </c>
      <c r="G3879" s="4">
        <v>44636</v>
      </c>
    </row>
    <row r="3880" spans="2:18" x14ac:dyDescent="0.2">
      <c r="B3880" s="1" t="s">
        <v>859</v>
      </c>
      <c r="C3880" s="2" t="s">
        <v>5</v>
      </c>
      <c r="D3880" s="2" t="s">
        <v>642</v>
      </c>
      <c r="E3880" s="3">
        <v>12</v>
      </c>
      <c r="F3880" s="3">
        <v>3</v>
      </c>
      <c r="G3880" s="4">
        <v>44860</v>
      </c>
    </row>
    <row r="3881" spans="2:18" x14ac:dyDescent="0.2">
      <c r="B3881" s="1" t="s">
        <v>857</v>
      </c>
      <c r="C3881" s="2" t="s">
        <v>7</v>
      </c>
      <c r="D3881" s="2" t="s">
        <v>525</v>
      </c>
      <c r="E3881" s="3">
        <v>32</v>
      </c>
      <c r="F3881" s="3">
        <v>3</v>
      </c>
      <c r="G3881" s="4">
        <v>44364</v>
      </c>
    </row>
    <row r="3882" spans="2:18" x14ac:dyDescent="0.2">
      <c r="G3882" s="4"/>
    </row>
    <row r="3883" spans="2:18" x14ac:dyDescent="0.2">
      <c r="B3883" s="1" t="s">
        <v>519</v>
      </c>
      <c r="C3883" s="2" t="s">
        <v>5</v>
      </c>
      <c r="D3883" s="2" t="s">
        <v>516</v>
      </c>
      <c r="E3883" s="3">
        <v>14.5</v>
      </c>
      <c r="F3883" s="3">
        <v>3</v>
      </c>
      <c r="G3883" s="4">
        <v>43389</v>
      </c>
      <c r="M3883" s="1"/>
      <c r="N3883" s="1"/>
      <c r="O3883" s="1"/>
      <c r="P3883" s="1"/>
      <c r="Q3883" s="1"/>
      <c r="R3883" s="1"/>
    </row>
    <row r="3884" spans="2:18" x14ac:dyDescent="0.2">
      <c r="B3884" s="1" t="s">
        <v>433</v>
      </c>
      <c r="C3884" s="2" t="s">
        <v>5</v>
      </c>
      <c r="D3884" s="2" t="s">
        <v>431</v>
      </c>
      <c r="E3884" s="3">
        <v>15</v>
      </c>
      <c r="F3884" s="3">
        <v>3</v>
      </c>
      <c r="G3884" s="4">
        <v>42690</v>
      </c>
      <c r="M3884" s="1"/>
      <c r="N3884" s="1"/>
      <c r="O3884" s="1"/>
      <c r="P3884" s="1"/>
      <c r="Q3884" s="1"/>
      <c r="R3884" s="1"/>
    </row>
    <row r="3885" spans="2:18" x14ac:dyDescent="0.2">
      <c r="B3885" s="1" t="s">
        <v>356</v>
      </c>
      <c r="C3885" s="2" t="s">
        <v>4</v>
      </c>
      <c r="D3885" s="2" t="s">
        <v>355</v>
      </c>
      <c r="E3885" s="3">
        <v>12</v>
      </c>
      <c r="F3885" s="3">
        <v>3</v>
      </c>
      <c r="G3885" s="4">
        <v>44271</v>
      </c>
      <c r="M3885" s="1"/>
      <c r="N3885" s="1"/>
      <c r="O3885" s="1"/>
      <c r="P3885" s="1"/>
      <c r="Q3885" s="1"/>
      <c r="R3885" s="1"/>
    </row>
    <row r="3886" spans="2:18" x14ac:dyDescent="0.2">
      <c r="B3886" s="1" t="s">
        <v>331</v>
      </c>
      <c r="C3886" s="2" t="s">
        <v>4</v>
      </c>
      <c r="D3886" s="2" t="s">
        <v>329</v>
      </c>
      <c r="E3886" s="3">
        <v>5</v>
      </c>
      <c r="F3886" s="3">
        <v>3</v>
      </c>
      <c r="G3886" s="4">
        <v>43224</v>
      </c>
      <c r="L3886" s="1">
        <v>0</v>
      </c>
      <c r="M3886" s="1"/>
      <c r="N3886" s="1"/>
      <c r="O3886" s="1"/>
      <c r="P3886" s="1"/>
      <c r="Q3886" s="1"/>
      <c r="R3886" s="1"/>
    </row>
    <row r="3887" spans="2:18" x14ac:dyDescent="0.2">
      <c r="G3887" s="4"/>
      <c r="M3887" s="1"/>
      <c r="N3887" s="1"/>
      <c r="O3887" s="1"/>
      <c r="P3887" s="1"/>
      <c r="Q3887" s="1"/>
      <c r="R3887" s="1"/>
    </row>
    <row r="3888" spans="2:18" x14ac:dyDescent="0.2">
      <c r="B3888" s="1" t="s">
        <v>149</v>
      </c>
      <c r="C3888" s="2" t="s">
        <v>7</v>
      </c>
      <c r="D3888" s="2" t="s">
        <v>148</v>
      </c>
      <c r="E3888" s="3">
        <v>10</v>
      </c>
      <c r="F3888" s="6" t="s">
        <v>147</v>
      </c>
      <c r="G3888" s="4">
        <v>42355</v>
      </c>
    </row>
    <row r="3889" spans="2:18" x14ac:dyDescent="0.2">
      <c r="C3889" s="253" t="s">
        <v>5</v>
      </c>
      <c r="D3889" s="253" t="s">
        <v>2015</v>
      </c>
      <c r="E3889" s="3">
        <v>9</v>
      </c>
      <c r="F3889" s="6">
        <v>1</v>
      </c>
      <c r="G3889" s="4">
        <v>44152</v>
      </c>
    </row>
    <row r="3890" spans="2:18" x14ac:dyDescent="0.2">
      <c r="C3890" s="253" t="s">
        <v>4</v>
      </c>
      <c r="D3890" s="253" t="s">
        <v>2015</v>
      </c>
      <c r="E3890" s="3">
        <v>4</v>
      </c>
      <c r="F3890" s="6">
        <v>1</v>
      </c>
      <c r="G3890" s="4">
        <v>43481</v>
      </c>
    </row>
    <row r="3891" spans="2:18" x14ac:dyDescent="0.2">
      <c r="F3891" s="6"/>
      <c r="G3891" s="4"/>
    </row>
    <row r="3892" spans="2:18" x14ac:dyDescent="0.2">
      <c r="B3892" s="1" t="s">
        <v>100</v>
      </c>
      <c r="C3892" s="2" t="s">
        <v>7</v>
      </c>
      <c r="D3892" s="2" t="s">
        <v>95</v>
      </c>
      <c r="E3892" s="3">
        <v>25</v>
      </c>
      <c r="F3892" s="3">
        <f>15/5</f>
        <v>3</v>
      </c>
      <c r="G3892" s="4">
        <v>43783</v>
      </c>
    </row>
    <row r="3893" spans="2:18" x14ac:dyDescent="0.2">
      <c r="B3893" s="1" t="s">
        <v>99</v>
      </c>
      <c r="C3893" s="2" t="s">
        <v>7</v>
      </c>
      <c r="D3893" s="2" t="s">
        <v>95</v>
      </c>
      <c r="E3893" s="3">
        <v>25</v>
      </c>
      <c r="F3893" s="3">
        <f>15/5</f>
        <v>3</v>
      </c>
      <c r="G3893" s="4">
        <v>43783</v>
      </c>
    </row>
    <row r="3894" spans="2:18" x14ac:dyDescent="0.2">
      <c r="B3894" s="1" t="s">
        <v>4381</v>
      </c>
      <c r="C3894" s="2" t="s">
        <v>5</v>
      </c>
      <c r="D3894" s="2" t="s">
        <v>2028</v>
      </c>
      <c r="E3894" s="3">
        <v>18</v>
      </c>
      <c r="F3894" s="3">
        <v>3</v>
      </c>
      <c r="G3894" s="4">
        <v>44866</v>
      </c>
    </row>
    <row r="3895" spans="2:18" x14ac:dyDescent="0.2">
      <c r="B3895" s="135" t="s">
        <v>6321</v>
      </c>
      <c r="C3895" s="141" t="s">
        <v>5</v>
      </c>
      <c r="D3895" s="141" t="s">
        <v>6320</v>
      </c>
      <c r="E3895" s="3">
        <v>25</v>
      </c>
      <c r="F3895" s="3">
        <v>3</v>
      </c>
      <c r="G3895" s="4">
        <v>44594</v>
      </c>
    </row>
    <row r="3896" spans="2:18" x14ac:dyDescent="0.2">
      <c r="B3896" s="135" t="s">
        <v>6323</v>
      </c>
      <c r="C3896" s="141" t="s">
        <v>5</v>
      </c>
      <c r="D3896" s="141" t="s">
        <v>6320</v>
      </c>
      <c r="E3896" s="3">
        <v>25</v>
      </c>
      <c r="F3896" s="3">
        <v>3</v>
      </c>
      <c r="G3896" s="4">
        <v>44594</v>
      </c>
    </row>
    <row r="3897" spans="2:18" x14ac:dyDescent="0.2">
      <c r="B3897" s="160" t="s">
        <v>6574</v>
      </c>
      <c r="C3897" s="161" t="s">
        <v>5</v>
      </c>
      <c r="D3897" s="161" t="s">
        <v>2038</v>
      </c>
      <c r="E3897" s="3">
        <v>9.1</v>
      </c>
      <c r="F3897" s="3">
        <v>3</v>
      </c>
      <c r="G3897" s="4">
        <v>42087</v>
      </c>
    </row>
    <row r="3898" spans="2:18" x14ac:dyDescent="0.2">
      <c r="B3898" s="1" t="s">
        <v>106</v>
      </c>
      <c r="C3898" s="2" t="s">
        <v>8</v>
      </c>
      <c r="D3898" s="2" t="s">
        <v>102</v>
      </c>
      <c r="E3898" s="3">
        <v>30</v>
      </c>
      <c r="F3898" s="3">
        <f>20/7</f>
        <v>2.8571428571428572</v>
      </c>
      <c r="G3898" s="4">
        <v>43178</v>
      </c>
    </row>
    <row r="3899" spans="2:18" x14ac:dyDescent="0.2">
      <c r="B3899" s="1" t="s">
        <v>105</v>
      </c>
      <c r="C3899" s="2" t="s">
        <v>8</v>
      </c>
      <c r="D3899" s="2" t="s">
        <v>102</v>
      </c>
      <c r="E3899" s="3">
        <v>30</v>
      </c>
      <c r="F3899" s="3">
        <f>20/7</f>
        <v>2.8571428571428572</v>
      </c>
      <c r="G3899" s="4">
        <v>43178</v>
      </c>
    </row>
    <row r="3900" spans="2:18" x14ac:dyDescent="0.2">
      <c r="B3900" s="1" t="s">
        <v>120</v>
      </c>
      <c r="C3900" s="2" t="s">
        <v>5</v>
      </c>
      <c r="D3900" s="2" t="s">
        <v>110</v>
      </c>
      <c r="E3900" s="3">
        <v>25</v>
      </c>
      <c r="F3900" s="3">
        <f>17/6</f>
        <v>2.8333333333333335</v>
      </c>
      <c r="G3900" s="4">
        <v>44510</v>
      </c>
    </row>
    <row r="3901" spans="2:18" x14ac:dyDescent="0.2">
      <c r="B3901" s="1" t="s">
        <v>119</v>
      </c>
      <c r="C3901" s="2" t="s">
        <v>5</v>
      </c>
      <c r="D3901" s="2" t="s">
        <v>110</v>
      </c>
      <c r="E3901" s="3">
        <v>25</v>
      </c>
      <c r="F3901" s="3">
        <f>17/6</f>
        <v>2.8333333333333335</v>
      </c>
      <c r="G3901" s="4">
        <v>44510</v>
      </c>
    </row>
    <row r="3902" spans="2:18" x14ac:dyDescent="0.2">
      <c r="B3902" s="1" t="s">
        <v>855</v>
      </c>
      <c r="C3902" s="2" t="s">
        <v>5</v>
      </c>
      <c r="D3902" s="2" t="s">
        <v>735</v>
      </c>
      <c r="E3902" s="3">
        <v>21</v>
      </c>
      <c r="F3902" s="3">
        <f>14/5</f>
        <v>2.8</v>
      </c>
      <c r="G3902" s="4">
        <v>44489</v>
      </c>
    </row>
    <row r="3903" spans="2:18" x14ac:dyDescent="0.2">
      <c r="B3903" s="1" t="s">
        <v>361</v>
      </c>
      <c r="C3903" s="2" t="s">
        <v>5</v>
      </c>
      <c r="D3903" s="2" t="s">
        <v>360</v>
      </c>
      <c r="E3903" s="3">
        <v>10.7</v>
      </c>
      <c r="F3903" s="3">
        <f>+E3903-8</f>
        <v>2.6999999999999993</v>
      </c>
      <c r="G3903" s="4">
        <v>43250</v>
      </c>
      <c r="M3903" s="1"/>
      <c r="N3903" s="1"/>
      <c r="O3903" s="1"/>
      <c r="P3903" s="1"/>
      <c r="Q3903" s="1"/>
      <c r="R3903" s="1"/>
    </row>
    <row r="3904" spans="2:18" x14ac:dyDescent="0.2">
      <c r="B3904" s="1" t="s">
        <v>422</v>
      </c>
      <c r="C3904" s="2" t="s">
        <v>18</v>
      </c>
      <c r="D3904" s="2" t="s">
        <v>416</v>
      </c>
      <c r="E3904" s="3">
        <v>23</v>
      </c>
      <c r="F3904" s="3">
        <f>16/6</f>
        <v>2.6666666666666665</v>
      </c>
      <c r="G3904" s="4">
        <v>44328</v>
      </c>
      <c r="M3904" s="1"/>
      <c r="N3904" s="1"/>
      <c r="O3904" s="1"/>
      <c r="P3904" s="1"/>
      <c r="Q3904" s="1"/>
      <c r="R3904" s="1"/>
    </row>
    <row r="3905" spans="2:18" x14ac:dyDescent="0.2">
      <c r="B3905" s="1" t="s">
        <v>421</v>
      </c>
      <c r="C3905" s="2" t="s">
        <v>18</v>
      </c>
      <c r="D3905" s="2" t="s">
        <v>416</v>
      </c>
      <c r="E3905" s="3">
        <v>23</v>
      </c>
      <c r="F3905" s="3">
        <f>16/6</f>
        <v>2.6666666666666665</v>
      </c>
      <c r="G3905" s="4">
        <v>44328</v>
      </c>
      <c r="M3905" s="1"/>
      <c r="N3905" s="1"/>
      <c r="O3905" s="1"/>
      <c r="P3905" s="1"/>
      <c r="Q3905" s="1"/>
      <c r="R3905" s="1"/>
    </row>
    <row r="3906" spans="2:18" x14ac:dyDescent="0.2">
      <c r="B3906" s="1" t="s">
        <v>420</v>
      </c>
      <c r="C3906" s="2" t="s">
        <v>18</v>
      </c>
      <c r="D3906" s="2" t="s">
        <v>416</v>
      </c>
      <c r="E3906" s="3">
        <v>23</v>
      </c>
      <c r="F3906" s="3">
        <f>16/6</f>
        <v>2.6666666666666665</v>
      </c>
      <c r="G3906" s="4">
        <v>44328</v>
      </c>
      <c r="M3906" s="1"/>
      <c r="N3906" s="1"/>
      <c r="O3906" s="1"/>
      <c r="P3906" s="1"/>
      <c r="Q3906" s="1"/>
      <c r="R3906" s="1"/>
    </row>
    <row r="3907" spans="2:18" x14ac:dyDescent="0.2">
      <c r="B3907" s="1" t="s">
        <v>419</v>
      </c>
      <c r="C3907" s="2" t="s">
        <v>18</v>
      </c>
      <c r="D3907" s="2" t="s">
        <v>416</v>
      </c>
      <c r="E3907" s="3">
        <v>23</v>
      </c>
      <c r="F3907" s="3">
        <f>16/6</f>
        <v>2.6666666666666665</v>
      </c>
      <c r="G3907" s="4">
        <v>44328</v>
      </c>
      <c r="M3907" s="1"/>
      <c r="N3907" s="1"/>
      <c r="O3907" s="1"/>
      <c r="P3907" s="1"/>
      <c r="Q3907" s="1"/>
      <c r="R3907" s="1"/>
    </row>
    <row r="3908" spans="2:18" x14ac:dyDescent="0.2">
      <c r="B3908" s="1" t="s">
        <v>418</v>
      </c>
      <c r="C3908" s="2" t="s">
        <v>18</v>
      </c>
      <c r="D3908" s="2" t="s">
        <v>416</v>
      </c>
      <c r="E3908" s="3">
        <v>23</v>
      </c>
      <c r="F3908" s="3">
        <f>16/6</f>
        <v>2.6666666666666665</v>
      </c>
      <c r="G3908" s="4">
        <v>44328</v>
      </c>
      <c r="M3908" s="1"/>
      <c r="N3908" s="1"/>
      <c r="O3908" s="1"/>
      <c r="P3908" s="1"/>
      <c r="Q3908" s="1"/>
      <c r="R3908" s="1"/>
    </row>
    <row r="3909" spans="2:18" x14ac:dyDescent="0.2">
      <c r="B3909" s="92" t="s">
        <v>5431</v>
      </c>
      <c r="C3909" s="93" t="s">
        <v>7</v>
      </c>
      <c r="D3909" s="93" t="s">
        <v>5426</v>
      </c>
      <c r="E3909" s="3">
        <v>13.5</v>
      </c>
      <c r="F3909" s="3">
        <f>8/3</f>
        <v>2.6666666666666665</v>
      </c>
      <c r="G3909" s="4">
        <v>43320</v>
      </c>
      <c r="J3909" s="1">
        <v>2000</v>
      </c>
    </row>
    <row r="3910" spans="2:18" x14ac:dyDescent="0.2">
      <c r="B3910" s="1" t="s">
        <v>853</v>
      </c>
      <c r="C3910" s="2" t="s">
        <v>5</v>
      </c>
      <c r="D3910" s="2" t="s">
        <v>730</v>
      </c>
      <c r="E3910" s="3">
        <v>25</v>
      </c>
      <c r="F3910" s="3">
        <f>18/7</f>
        <v>2.5714285714285716</v>
      </c>
      <c r="G3910" s="4">
        <v>44757</v>
      </c>
    </row>
    <row r="3911" spans="2:18" x14ac:dyDescent="0.2">
      <c r="B3911" s="1" t="s">
        <v>852</v>
      </c>
      <c r="C3911" s="2" t="s">
        <v>4</v>
      </c>
      <c r="D3911" s="2" t="s">
        <v>848</v>
      </c>
      <c r="E3911" s="3">
        <v>16</v>
      </c>
      <c r="F3911" s="3">
        <f>10/4</f>
        <v>2.5</v>
      </c>
      <c r="G3911" s="4">
        <v>44298</v>
      </c>
    </row>
    <row r="3912" spans="2:18" x14ac:dyDescent="0.2">
      <c r="B3912" s="1" t="s">
        <v>851</v>
      </c>
      <c r="C3912" s="2" t="s">
        <v>4</v>
      </c>
      <c r="D3912" s="2" t="s">
        <v>848</v>
      </c>
      <c r="E3912" s="3">
        <v>16</v>
      </c>
      <c r="F3912" s="3">
        <f>10/4</f>
        <v>2.5</v>
      </c>
      <c r="G3912" s="4">
        <v>44298</v>
      </c>
    </row>
    <row r="3913" spans="2:18" x14ac:dyDescent="0.2">
      <c r="B3913" s="1" t="s">
        <v>850</v>
      </c>
      <c r="C3913" s="2" t="s">
        <v>4</v>
      </c>
      <c r="D3913" s="2" t="s">
        <v>848</v>
      </c>
      <c r="E3913" s="3">
        <v>16</v>
      </c>
      <c r="F3913" s="3">
        <f>10/4</f>
        <v>2.5</v>
      </c>
      <c r="G3913" s="4">
        <v>44298</v>
      </c>
    </row>
    <row r="3914" spans="2:18" x14ac:dyDescent="0.2">
      <c r="B3914" s="1" t="s">
        <v>849</v>
      </c>
      <c r="C3914" s="2" t="s">
        <v>4</v>
      </c>
      <c r="D3914" s="2" t="s">
        <v>848</v>
      </c>
      <c r="E3914" s="3">
        <v>16</v>
      </c>
      <c r="F3914" s="3">
        <f>10/4</f>
        <v>2.5</v>
      </c>
      <c r="G3914" s="4">
        <v>44298</v>
      </c>
    </row>
    <row r="3915" spans="2:18" x14ac:dyDescent="0.2">
      <c r="B3915" s="1" t="s">
        <v>847</v>
      </c>
      <c r="C3915" s="2" t="s">
        <v>5</v>
      </c>
      <c r="D3915" s="2" t="s">
        <v>701</v>
      </c>
      <c r="E3915" s="3">
        <v>50</v>
      </c>
      <c r="F3915" s="3">
        <f>30/12</f>
        <v>2.5</v>
      </c>
      <c r="G3915" s="4">
        <v>44796</v>
      </c>
    </row>
    <row r="3916" spans="2:18" x14ac:dyDescent="0.2">
      <c r="B3916" s="1" t="s">
        <v>846</v>
      </c>
      <c r="C3916" s="2" t="s">
        <v>5</v>
      </c>
      <c r="D3916" s="2" t="s">
        <v>701</v>
      </c>
      <c r="E3916" s="3">
        <v>50</v>
      </c>
      <c r="F3916" s="3">
        <f>30/12</f>
        <v>2.5</v>
      </c>
      <c r="G3916" s="4">
        <v>44796</v>
      </c>
    </row>
    <row r="3917" spans="2:18" x14ac:dyDescent="0.2">
      <c r="B3917" s="1" t="s">
        <v>845</v>
      </c>
      <c r="C3917" s="2" t="s">
        <v>5</v>
      </c>
      <c r="D3917" s="2" t="s">
        <v>695</v>
      </c>
      <c r="E3917" s="3">
        <v>20</v>
      </c>
      <c r="F3917" s="3">
        <v>2.5</v>
      </c>
      <c r="G3917" s="4">
        <v>44392</v>
      </c>
    </row>
    <row r="3918" spans="2:18" x14ac:dyDescent="0.2">
      <c r="B3918" s="1" t="s">
        <v>589</v>
      </c>
      <c r="C3918" s="2" t="s">
        <v>5</v>
      </c>
      <c r="D3918" s="2" t="s">
        <v>584</v>
      </c>
      <c r="E3918" s="3">
        <v>20</v>
      </c>
      <c r="F3918" s="3">
        <f t="shared" ref="F3918:F3923" si="9">15/6</f>
        <v>2.5</v>
      </c>
      <c r="G3918" s="4">
        <v>44801</v>
      </c>
      <c r="M3918" s="1"/>
      <c r="N3918" s="1"/>
      <c r="O3918" s="1"/>
      <c r="P3918" s="1"/>
      <c r="Q3918" s="1"/>
      <c r="R3918" s="1"/>
    </row>
    <row r="3919" spans="2:18" x14ac:dyDescent="0.2">
      <c r="B3919" s="1" t="s">
        <v>588</v>
      </c>
      <c r="C3919" s="2" t="s">
        <v>5</v>
      </c>
      <c r="D3919" s="2" t="s">
        <v>584</v>
      </c>
      <c r="E3919" s="3">
        <v>20</v>
      </c>
      <c r="F3919" s="3">
        <f t="shared" si="9"/>
        <v>2.5</v>
      </c>
      <c r="G3919" s="4">
        <v>44801</v>
      </c>
      <c r="M3919" s="1"/>
      <c r="N3919" s="1"/>
      <c r="O3919" s="1"/>
      <c r="P3919" s="1"/>
      <c r="Q3919" s="1"/>
      <c r="R3919" s="1"/>
    </row>
    <row r="3920" spans="2:18" x14ac:dyDescent="0.2">
      <c r="B3920" s="1" t="s">
        <v>587</v>
      </c>
      <c r="C3920" s="2" t="s">
        <v>5</v>
      </c>
      <c r="D3920" s="2" t="s">
        <v>584</v>
      </c>
      <c r="E3920" s="3">
        <v>20</v>
      </c>
      <c r="F3920" s="3">
        <f t="shared" si="9"/>
        <v>2.5</v>
      </c>
      <c r="G3920" s="4">
        <v>44801</v>
      </c>
      <c r="M3920" s="1"/>
      <c r="N3920" s="1"/>
      <c r="O3920" s="1"/>
      <c r="P3920" s="1"/>
      <c r="Q3920" s="1"/>
      <c r="R3920" s="1"/>
    </row>
    <row r="3921" spans="2:18" x14ac:dyDescent="0.2">
      <c r="B3921" s="1" t="s">
        <v>586</v>
      </c>
      <c r="C3921" s="2" t="s">
        <v>5</v>
      </c>
      <c r="D3921" s="2" t="s">
        <v>584</v>
      </c>
      <c r="E3921" s="3">
        <v>20</v>
      </c>
      <c r="F3921" s="3">
        <f t="shared" si="9"/>
        <v>2.5</v>
      </c>
      <c r="G3921" s="4">
        <v>44801</v>
      </c>
      <c r="M3921" s="1"/>
      <c r="N3921" s="1"/>
      <c r="O3921" s="1"/>
      <c r="P3921" s="1"/>
      <c r="Q3921" s="1"/>
      <c r="R3921" s="1"/>
    </row>
    <row r="3922" spans="2:18" x14ac:dyDescent="0.2">
      <c r="B3922" s="1" t="s">
        <v>585</v>
      </c>
      <c r="C3922" s="2" t="s">
        <v>5</v>
      </c>
      <c r="D3922" s="2" t="s">
        <v>584</v>
      </c>
      <c r="E3922" s="3">
        <v>20</v>
      </c>
      <c r="F3922" s="3">
        <f t="shared" si="9"/>
        <v>2.5</v>
      </c>
      <c r="G3922" s="4">
        <v>44801</v>
      </c>
      <c r="M3922" s="1"/>
      <c r="N3922" s="1"/>
      <c r="O3922" s="1"/>
      <c r="P3922" s="1"/>
      <c r="Q3922" s="1"/>
      <c r="R3922" s="1"/>
    </row>
    <row r="3923" spans="2:18" x14ac:dyDescent="0.2">
      <c r="B3923" s="1" t="s">
        <v>94</v>
      </c>
      <c r="C3923" s="2" t="s">
        <v>7</v>
      </c>
      <c r="D3923" s="2" t="s">
        <v>87</v>
      </c>
      <c r="E3923" s="3">
        <v>25</v>
      </c>
      <c r="F3923" s="3">
        <f t="shared" si="9"/>
        <v>2.5</v>
      </c>
      <c r="G3923" s="4">
        <v>44642</v>
      </c>
    </row>
    <row r="3924" spans="2:18" x14ac:dyDescent="0.2">
      <c r="B3924" s="1" t="s">
        <v>49</v>
      </c>
      <c r="C3924" s="2" t="s">
        <v>5</v>
      </c>
      <c r="D3924" s="2" t="s">
        <v>47</v>
      </c>
      <c r="E3924" s="3">
        <v>10.7</v>
      </c>
      <c r="F3924" s="3">
        <v>2.5</v>
      </c>
      <c r="G3924" s="4">
        <v>41076</v>
      </c>
      <c r="J3924" s="1">
        <v>4100</v>
      </c>
    </row>
    <row r="3925" spans="2:18" x14ac:dyDescent="0.2">
      <c r="B3925" s="1" t="s">
        <v>48</v>
      </c>
      <c r="C3925" s="2" t="s">
        <v>5</v>
      </c>
      <c r="D3925" s="2" t="s">
        <v>47</v>
      </c>
      <c r="E3925" s="3">
        <v>10.7</v>
      </c>
      <c r="F3925" s="3">
        <v>2.5</v>
      </c>
      <c r="G3925" s="4">
        <v>41076</v>
      </c>
      <c r="J3925" s="1">
        <v>4100</v>
      </c>
    </row>
    <row r="3926" spans="2:18" x14ac:dyDescent="0.2">
      <c r="B3926" s="160" t="s">
        <v>6392</v>
      </c>
      <c r="C3926" s="161" t="s">
        <v>5</v>
      </c>
      <c r="D3926" s="161" t="s">
        <v>2049</v>
      </c>
      <c r="E3926" s="3">
        <v>10</v>
      </c>
      <c r="F3926" s="3">
        <v>2.5</v>
      </c>
      <c r="G3926" s="4">
        <v>43059</v>
      </c>
    </row>
    <row r="3927" spans="2:18" x14ac:dyDescent="0.2">
      <c r="B3927" s="1" t="s">
        <v>842</v>
      </c>
      <c r="C3927" s="2" t="s">
        <v>5</v>
      </c>
      <c r="D3927" s="2" t="s">
        <v>722</v>
      </c>
      <c r="E3927" s="3">
        <v>20</v>
      </c>
      <c r="F3927" s="3">
        <f>13/6</f>
        <v>2.1666666666666665</v>
      </c>
      <c r="G3927" s="4">
        <v>44903</v>
      </c>
    </row>
    <row r="3928" spans="2:18" x14ac:dyDescent="0.2">
      <c r="B3928" s="1" t="s">
        <v>841</v>
      </c>
      <c r="C3928" s="2" t="s">
        <v>5</v>
      </c>
      <c r="D3928" s="2" t="s">
        <v>722</v>
      </c>
      <c r="E3928" s="3">
        <v>20</v>
      </c>
      <c r="F3928" s="3">
        <f>13/6</f>
        <v>2.1666666666666665</v>
      </c>
      <c r="G3928" s="4">
        <v>44903</v>
      </c>
    </row>
    <row r="3929" spans="2:18" x14ac:dyDescent="0.2">
      <c r="B3929" s="1" t="s">
        <v>840</v>
      </c>
      <c r="C3929" s="2" t="s">
        <v>5</v>
      </c>
      <c r="D3929" s="2" t="s">
        <v>722</v>
      </c>
      <c r="E3929" s="3">
        <v>20</v>
      </c>
      <c r="F3929" s="3">
        <f>13/6</f>
        <v>2.1666666666666665</v>
      </c>
      <c r="G3929" s="4">
        <v>44903</v>
      </c>
    </row>
    <row r="3930" spans="2:18" x14ac:dyDescent="0.2">
      <c r="B3930" s="1" t="s">
        <v>839</v>
      </c>
      <c r="C3930" s="2" t="s">
        <v>5</v>
      </c>
      <c r="D3930" s="2" t="s">
        <v>725</v>
      </c>
      <c r="E3930" s="3">
        <v>20</v>
      </c>
      <c r="F3930" s="3">
        <f>13/6</f>
        <v>2.1666666666666665</v>
      </c>
      <c r="G3930" s="4">
        <v>44676</v>
      </c>
    </row>
    <row r="3931" spans="2:18" x14ac:dyDescent="0.2">
      <c r="B3931" s="1" t="s">
        <v>838</v>
      </c>
      <c r="C3931" s="2" t="s">
        <v>5</v>
      </c>
      <c r="D3931" s="2" t="s">
        <v>725</v>
      </c>
      <c r="E3931" s="3">
        <v>20</v>
      </c>
      <c r="F3931" s="3">
        <f>13/6</f>
        <v>2.1666666666666665</v>
      </c>
      <c r="G3931" s="4">
        <v>44676</v>
      </c>
    </row>
    <row r="3932" spans="2:18" x14ac:dyDescent="0.2">
      <c r="B3932" s="1" t="s">
        <v>837</v>
      </c>
      <c r="C3932" s="2" t="s">
        <v>4</v>
      </c>
      <c r="D3932" s="2" t="s">
        <v>678</v>
      </c>
      <c r="E3932" s="3">
        <v>15</v>
      </c>
      <c r="F3932" s="3">
        <f>15/7</f>
        <v>2.1428571428571428</v>
      </c>
      <c r="G3932" s="4">
        <v>44691</v>
      </c>
    </row>
    <row r="3933" spans="2:18" x14ac:dyDescent="0.2">
      <c r="B3933" s="1" t="s">
        <v>836</v>
      </c>
      <c r="C3933" s="2" t="s">
        <v>4</v>
      </c>
      <c r="D3933" s="2" t="s">
        <v>678</v>
      </c>
      <c r="E3933" s="3">
        <v>15</v>
      </c>
      <c r="F3933" s="3">
        <f>15/7</f>
        <v>2.1428571428571428</v>
      </c>
      <c r="G3933" s="4">
        <v>44691</v>
      </c>
    </row>
    <row r="3934" spans="2:18" x14ac:dyDescent="0.2">
      <c r="B3934" s="1" t="s">
        <v>835</v>
      </c>
      <c r="C3934" s="2" t="s">
        <v>4</v>
      </c>
      <c r="D3934" s="2" t="s">
        <v>678</v>
      </c>
      <c r="E3934" s="3">
        <v>15</v>
      </c>
      <c r="F3934" s="3">
        <f>15/7</f>
        <v>2.1428571428571428</v>
      </c>
      <c r="G3934" s="4">
        <v>44691</v>
      </c>
    </row>
    <row r="3935" spans="2:18" x14ac:dyDescent="0.2">
      <c r="B3935" s="1" t="s">
        <v>834</v>
      </c>
      <c r="C3935" s="2" t="s">
        <v>4</v>
      </c>
      <c r="D3935" s="2" t="s">
        <v>678</v>
      </c>
      <c r="E3935" s="3">
        <v>15</v>
      </c>
      <c r="F3935" s="3">
        <f>15/7</f>
        <v>2.1428571428571428</v>
      </c>
      <c r="G3935" s="4">
        <v>44691</v>
      </c>
    </row>
    <row r="3936" spans="2:18" x14ac:dyDescent="0.2">
      <c r="B3936" s="1" t="s">
        <v>679</v>
      </c>
      <c r="C3936" s="2" t="s">
        <v>4</v>
      </c>
      <c r="D3936" s="2" t="s">
        <v>678</v>
      </c>
      <c r="E3936" s="3">
        <v>15</v>
      </c>
      <c r="F3936" s="3">
        <f>15/7</f>
        <v>2.1428571428571428</v>
      </c>
      <c r="G3936" s="4">
        <v>44691</v>
      </c>
    </row>
    <row r="3937" spans="2:7" x14ac:dyDescent="0.2">
      <c r="B3937" s="1" t="s">
        <v>833</v>
      </c>
      <c r="C3937" s="2" t="s">
        <v>5</v>
      </c>
      <c r="D3937" s="2" t="s">
        <v>832</v>
      </c>
      <c r="E3937" s="3">
        <v>20</v>
      </c>
      <c r="F3937" s="3">
        <f>12/6</f>
        <v>2</v>
      </c>
      <c r="G3937" s="4">
        <v>43816</v>
      </c>
    </row>
    <row r="3938" spans="2:7" x14ac:dyDescent="0.2">
      <c r="B3938" s="1" t="s">
        <v>831</v>
      </c>
      <c r="C3938" s="2" t="s">
        <v>5</v>
      </c>
      <c r="D3938" s="2" t="s">
        <v>716</v>
      </c>
      <c r="E3938" s="3">
        <v>12.5</v>
      </c>
      <c r="F3938" s="3">
        <v>2</v>
      </c>
      <c r="G3938" s="4">
        <v>44784</v>
      </c>
    </row>
    <row r="3939" spans="2:7" x14ac:dyDescent="0.2">
      <c r="B3939" s="1" t="s">
        <v>830</v>
      </c>
      <c r="C3939" s="2" t="s">
        <v>4</v>
      </c>
      <c r="D3939" s="2" t="s">
        <v>829</v>
      </c>
      <c r="E3939" s="3">
        <v>4.5</v>
      </c>
      <c r="F3939" s="3">
        <v>2</v>
      </c>
      <c r="G3939" s="4">
        <v>45056</v>
      </c>
    </row>
    <row r="3940" spans="2:7" x14ac:dyDescent="0.2">
      <c r="B3940" s="1" t="s">
        <v>828</v>
      </c>
      <c r="C3940" s="2" t="s">
        <v>5</v>
      </c>
      <c r="D3940" s="2" t="s">
        <v>697</v>
      </c>
      <c r="E3940" s="3">
        <v>23.5</v>
      </c>
      <c r="F3940" s="3">
        <v>2</v>
      </c>
      <c r="G3940" s="4">
        <v>44875</v>
      </c>
    </row>
    <row r="3941" spans="2:7" x14ac:dyDescent="0.2">
      <c r="B3941" s="1" t="s">
        <v>827</v>
      </c>
      <c r="C3941" s="2" t="s">
        <v>5</v>
      </c>
      <c r="D3941" s="2" t="s">
        <v>825</v>
      </c>
      <c r="E3941" s="3">
        <v>20</v>
      </c>
      <c r="F3941" s="3">
        <v>2</v>
      </c>
      <c r="G3941" s="4">
        <v>44602</v>
      </c>
    </row>
    <row r="3942" spans="2:7" x14ac:dyDescent="0.2">
      <c r="B3942" s="1" t="s">
        <v>826</v>
      </c>
      <c r="C3942" s="2" t="s">
        <v>5</v>
      </c>
      <c r="D3942" s="2" t="s">
        <v>825</v>
      </c>
      <c r="E3942" s="3">
        <v>20</v>
      </c>
      <c r="F3942" s="3">
        <v>2</v>
      </c>
      <c r="G3942" s="4">
        <v>44602</v>
      </c>
    </row>
    <row r="3943" spans="2:7" x14ac:dyDescent="0.2">
      <c r="B3943" s="1" t="s">
        <v>823</v>
      </c>
      <c r="C3943" s="2" t="s">
        <v>5</v>
      </c>
      <c r="D3943" s="2" t="s">
        <v>819</v>
      </c>
      <c r="E3943" s="3">
        <v>20</v>
      </c>
      <c r="F3943" s="3">
        <v>2</v>
      </c>
      <c r="G3943" s="4">
        <v>44578</v>
      </c>
    </row>
    <row r="3944" spans="2:7" x14ac:dyDescent="0.2">
      <c r="B3944" s="1" t="s">
        <v>822</v>
      </c>
      <c r="C3944" s="2" t="s">
        <v>5</v>
      </c>
      <c r="D3944" s="2" t="s">
        <v>819</v>
      </c>
      <c r="E3944" s="3">
        <v>20</v>
      </c>
      <c r="F3944" s="3">
        <v>2</v>
      </c>
      <c r="G3944" s="4">
        <v>44578</v>
      </c>
    </row>
    <row r="3945" spans="2:7" x14ac:dyDescent="0.2">
      <c r="B3945" s="1" t="s">
        <v>821</v>
      </c>
      <c r="C3945" s="2" t="s">
        <v>5</v>
      </c>
      <c r="D3945" s="2" t="s">
        <v>819</v>
      </c>
      <c r="E3945" s="3">
        <v>20</v>
      </c>
      <c r="F3945" s="3">
        <v>2</v>
      </c>
      <c r="G3945" s="4">
        <v>44578</v>
      </c>
    </row>
    <row r="3946" spans="2:7" x14ac:dyDescent="0.2">
      <c r="B3946" s="1" t="s">
        <v>820</v>
      </c>
      <c r="C3946" s="2" t="s">
        <v>5</v>
      </c>
      <c r="D3946" s="2" t="s">
        <v>819</v>
      </c>
      <c r="E3946" s="3">
        <v>20</v>
      </c>
      <c r="F3946" s="3">
        <v>2</v>
      </c>
      <c r="G3946" s="4">
        <v>44578</v>
      </c>
    </row>
    <row r="3947" spans="2:7" x14ac:dyDescent="0.2">
      <c r="B3947" s="1" t="s">
        <v>818</v>
      </c>
      <c r="C3947" s="2" t="s">
        <v>4</v>
      </c>
      <c r="D3947" s="2" t="s">
        <v>596</v>
      </c>
      <c r="E3947" s="3">
        <v>6</v>
      </c>
      <c r="F3947" s="3">
        <v>2</v>
      </c>
      <c r="G3947" s="4">
        <v>44781</v>
      </c>
    </row>
    <row r="3948" spans="2:7" x14ac:dyDescent="0.2">
      <c r="B3948" s="1" t="s">
        <v>817</v>
      </c>
      <c r="C3948" s="2" t="s">
        <v>4</v>
      </c>
      <c r="D3948" s="2" t="s">
        <v>703</v>
      </c>
      <c r="E3948" s="3">
        <v>6</v>
      </c>
      <c r="F3948" s="3">
        <v>2</v>
      </c>
      <c r="G3948" s="4">
        <v>44180</v>
      </c>
    </row>
    <row r="3949" spans="2:7" x14ac:dyDescent="0.2">
      <c r="B3949" s="1" t="s">
        <v>816</v>
      </c>
      <c r="C3949" s="2" t="s">
        <v>4</v>
      </c>
      <c r="D3949" s="2" t="s">
        <v>644</v>
      </c>
      <c r="E3949" s="3">
        <v>2</v>
      </c>
      <c r="F3949" s="3">
        <v>2</v>
      </c>
      <c r="G3949" s="4">
        <v>43685</v>
      </c>
    </row>
    <row r="3950" spans="2:7" x14ac:dyDescent="0.2">
      <c r="B3950" s="1" t="s">
        <v>814</v>
      </c>
      <c r="C3950" s="2" t="s">
        <v>5</v>
      </c>
      <c r="D3950" s="2" t="s">
        <v>646</v>
      </c>
      <c r="E3950" s="3">
        <v>13</v>
      </c>
      <c r="F3950" s="3">
        <f>8/4</f>
        <v>2</v>
      </c>
      <c r="G3950" s="4">
        <v>44642</v>
      </c>
    </row>
    <row r="3951" spans="2:7" x14ac:dyDescent="0.2">
      <c r="B3951" s="1" t="s">
        <v>813</v>
      </c>
      <c r="C3951" s="2" t="s">
        <v>5</v>
      </c>
      <c r="D3951" s="2" t="s">
        <v>646</v>
      </c>
      <c r="E3951" s="3">
        <v>13</v>
      </c>
      <c r="F3951" s="3">
        <f>8/4</f>
        <v>2</v>
      </c>
      <c r="G3951" s="4">
        <v>44642</v>
      </c>
    </row>
    <row r="3952" spans="2:7" x14ac:dyDescent="0.2">
      <c r="B3952" s="1" t="s">
        <v>812</v>
      </c>
      <c r="C3952" s="2" t="s">
        <v>4</v>
      </c>
      <c r="D3952" s="2" t="s">
        <v>654</v>
      </c>
      <c r="E3952" s="3">
        <v>12.8</v>
      </c>
      <c r="F3952" s="3">
        <v>2</v>
      </c>
      <c r="G3952" s="4">
        <v>44601</v>
      </c>
    </row>
    <row r="3953" spans="2:18" x14ac:dyDescent="0.2">
      <c r="B3953" s="1" t="s">
        <v>809</v>
      </c>
      <c r="C3953" s="2" t="s">
        <v>4</v>
      </c>
      <c r="D3953" s="2" t="s">
        <v>765</v>
      </c>
      <c r="E3953" s="3">
        <v>4</v>
      </c>
      <c r="F3953" s="3">
        <v>2</v>
      </c>
      <c r="G3953" s="4">
        <v>45026</v>
      </c>
    </row>
    <row r="3954" spans="2:18" x14ac:dyDescent="0.2">
      <c r="B3954" s="1" t="s">
        <v>627</v>
      </c>
      <c r="C3954" s="2" t="s">
        <v>5</v>
      </c>
      <c r="D3954" s="2" t="s">
        <v>624</v>
      </c>
      <c r="E3954" s="3">
        <v>10</v>
      </c>
      <c r="F3954" s="3">
        <v>2</v>
      </c>
      <c r="G3954" s="4">
        <v>44930</v>
      </c>
      <c r="M3954" s="1"/>
      <c r="N3954" s="1"/>
      <c r="O3954" s="1"/>
      <c r="P3954" s="1"/>
      <c r="Q3954" s="1"/>
      <c r="R3954" s="1"/>
    </row>
    <row r="3955" spans="2:18" x14ac:dyDescent="0.2">
      <c r="B3955" s="1" t="s">
        <v>626</v>
      </c>
      <c r="C3955" s="2" t="s">
        <v>5</v>
      </c>
      <c r="D3955" s="2" t="s">
        <v>624</v>
      </c>
      <c r="E3955" s="3">
        <v>10</v>
      </c>
      <c r="F3955" s="3">
        <v>2</v>
      </c>
      <c r="G3955" s="4">
        <v>44930</v>
      </c>
      <c r="M3955" s="1"/>
      <c r="N3955" s="1"/>
      <c r="O3955" s="1"/>
      <c r="P3955" s="1"/>
      <c r="Q3955" s="1"/>
      <c r="R3955" s="1"/>
    </row>
    <row r="3956" spans="2:18" x14ac:dyDescent="0.2">
      <c r="B3956" s="1" t="s">
        <v>572</v>
      </c>
      <c r="C3956" s="2" t="s">
        <v>4</v>
      </c>
      <c r="D3956" s="2" t="s">
        <v>565</v>
      </c>
      <c r="E3956" s="3">
        <v>9</v>
      </c>
      <c r="F3956" s="3">
        <v>2</v>
      </c>
      <c r="G3956" s="4">
        <v>44859</v>
      </c>
      <c r="M3956" s="1"/>
      <c r="N3956" s="1"/>
      <c r="O3956" s="1"/>
      <c r="P3956" s="1"/>
      <c r="Q3956" s="1"/>
      <c r="R3956" s="1"/>
    </row>
    <row r="3957" spans="2:18" x14ac:dyDescent="0.2">
      <c r="B3957" s="1" t="s">
        <v>555</v>
      </c>
      <c r="C3957" s="2" t="s">
        <v>7</v>
      </c>
      <c r="D3957" s="2" t="s">
        <v>548</v>
      </c>
      <c r="E3957" s="3">
        <v>20</v>
      </c>
      <c r="F3957" s="3">
        <f>12/6</f>
        <v>2</v>
      </c>
      <c r="G3957" s="4">
        <v>45077</v>
      </c>
      <c r="M3957" s="1"/>
      <c r="N3957" s="1"/>
      <c r="O3957" s="1"/>
      <c r="P3957" s="1"/>
      <c r="Q3957" s="1"/>
      <c r="R3957" s="1"/>
    </row>
    <row r="3958" spans="2:18" x14ac:dyDescent="0.2">
      <c r="B3958" s="1" t="s">
        <v>552</v>
      </c>
      <c r="C3958" s="2" t="s">
        <v>7</v>
      </c>
      <c r="D3958" s="2" t="s">
        <v>548</v>
      </c>
      <c r="E3958" s="3">
        <v>20</v>
      </c>
      <c r="F3958" s="3">
        <f>12/6</f>
        <v>2</v>
      </c>
      <c r="G3958" s="4">
        <v>45077</v>
      </c>
      <c r="M3958" s="1"/>
      <c r="N3958" s="1"/>
      <c r="O3958" s="1"/>
      <c r="P3958" s="1"/>
      <c r="Q3958" s="1"/>
      <c r="R3958" s="1"/>
    </row>
    <row r="3959" spans="2:18" x14ac:dyDescent="0.2">
      <c r="B3959" s="1" t="s">
        <v>457</v>
      </c>
      <c r="C3959" s="2" t="s">
        <v>5</v>
      </c>
      <c r="D3959" s="2" t="s">
        <v>456</v>
      </c>
      <c r="E3959" s="3">
        <v>8.3000000000000007</v>
      </c>
      <c r="F3959" s="3">
        <v>2</v>
      </c>
      <c r="G3959" s="4">
        <v>44053</v>
      </c>
      <c r="M3959" s="1"/>
      <c r="N3959" s="1"/>
      <c r="O3959" s="1"/>
      <c r="P3959" s="1"/>
      <c r="Q3959" s="1"/>
      <c r="R3959" s="1"/>
    </row>
    <row r="3960" spans="2:18" x14ac:dyDescent="0.2">
      <c r="B3960" s="1" t="s">
        <v>417</v>
      </c>
      <c r="C3960" s="2" t="s">
        <v>5</v>
      </c>
      <c r="D3960" s="2" t="s">
        <v>416</v>
      </c>
      <c r="E3960" s="3">
        <v>8</v>
      </c>
      <c r="F3960" s="3">
        <v>2</v>
      </c>
      <c r="G3960" s="4">
        <v>42416</v>
      </c>
      <c r="M3960" s="1"/>
      <c r="N3960" s="1"/>
      <c r="O3960" s="1"/>
      <c r="P3960" s="1"/>
      <c r="Q3960" s="1"/>
      <c r="R3960" s="1"/>
    </row>
    <row r="3961" spans="2:18" x14ac:dyDescent="0.2">
      <c r="B3961" s="1" t="s">
        <v>326</v>
      </c>
      <c r="C3961" s="2" t="s">
        <v>5</v>
      </c>
      <c r="D3961" s="2" t="s">
        <v>318</v>
      </c>
      <c r="E3961" s="3">
        <v>16</v>
      </c>
      <c r="F3961" s="3">
        <v>2</v>
      </c>
      <c r="G3961" s="4">
        <v>43783</v>
      </c>
      <c r="L3961" s="1">
        <f>+F3961*5</f>
        <v>10</v>
      </c>
      <c r="M3961" s="1"/>
      <c r="N3961" s="1"/>
      <c r="O3961" s="1"/>
      <c r="P3961" s="1"/>
      <c r="Q3961" s="1"/>
      <c r="R3961" s="1"/>
    </row>
    <row r="3962" spans="2:18" x14ac:dyDescent="0.2">
      <c r="B3962" s="1" t="s">
        <v>323</v>
      </c>
      <c r="C3962" s="2" t="s">
        <v>5</v>
      </c>
      <c r="D3962" s="2" t="s">
        <v>318</v>
      </c>
      <c r="E3962" s="3">
        <v>16</v>
      </c>
      <c r="F3962" s="3">
        <v>2</v>
      </c>
      <c r="G3962" s="4">
        <v>43783</v>
      </c>
      <c r="L3962" s="1">
        <f>+F3962*5</f>
        <v>10</v>
      </c>
      <c r="M3962" s="1"/>
      <c r="N3962" s="1"/>
      <c r="O3962" s="1"/>
      <c r="P3962" s="1"/>
      <c r="Q3962" s="1"/>
      <c r="R3962" s="1"/>
    </row>
    <row r="3963" spans="2:18" x14ac:dyDescent="0.2">
      <c r="B3963" s="1" t="s">
        <v>301</v>
      </c>
      <c r="C3963" s="2" t="s">
        <v>5</v>
      </c>
      <c r="D3963" s="2" t="s">
        <v>298</v>
      </c>
      <c r="E3963" s="3">
        <v>15</v>
      </c>
      <c r="F3963" s="3">
        <v>2</v>
      </c>
      <c r="G3963" s="4">
        <v>44314</v>
      </c>
    </row>
    <row r="3964" spans="2:18" x14ac:dyDescent="0.2">
      <c r="B3964" s="1" t="s">
        <v>300</v>
      </c>
      <c r="C3964" s="2" t="s">
        <v>5</v>
      </c>
      <c r="D3964" s="2" t="s">
        <v>298</v>
      </c>
      <c r="E3964" s="3">
        <v>15</v>
      </c>
      <c r="F3964" s="3">
        <v>2</v>
      </c>
      <c r="G3964" s="4">
        <v>44314</v>
      </c>
    </row>
    <row r="3965" spans="2:18" x14ac:dyDescent="0.2">
      <c r="B3965" s="1" t="s">
        <v>124</v>
      </c>
      <c r="C3965" s="2" t="s">
        <v>4</v>
      </c>
      <c r="D3965" s="2" t="s">
        <v>122</v>
      </c>
      <c r="E3965" s="3">
        <v>4.5</v>
      </c>
      <c r="F3965" s="3">
        <v>2</v>
      </c>
      <c r="G3965" s="4">
        <v>44434</v>
      </c>
    </row>
    <row r="3966" spans="2:18" x14ac:dyDescent="0.2">
      <c r="B3966" s="1" t="s">
        <v>16</v>
      </c>
      <c r="C3966" s="2" t="s">
        <v>5</v>
      </c>
      <c r="D3966" s="2" t="s">
        <v>15</v>
      </c>
      <c r="E3966" s="3">
        <v>10</v>
      </c>
      <c r="F3966" s="3">
        <v>2</v>
      </c>
      <c r="G3966" s="4">
        <v>42508</v>
      </c>
    </row>
    <row r="3967" spans="2:18" x14ac:dyDescent="0.2">
      <c r="B3967" s="160" t="s">
        <v>6404</v>
      </c>
      <c r="C3967" s="161" t="s">
        <v>5</v>
      </c>
      <c r="D3967" s="161" t="s">
        <v>2044</v>
      </c>
      <c r="E3967" s="3">
        <v>15</v>
      </c>
      <c r="F3967" s="3">
        <f>10/5</f>
        <v>2</v>
      </c>
      <c r="G3967" s="4">
        <v>44174</v>
      </c>
    </row>
    <row r="3968" spans="2:18" x14ac:dyDescent="0.2">
      <c r="B3968" s="181" t="s">
        <v>6687</v>
      </c>
      <c r="C3968" s="182" t="s">
        <v>7</v>
      </c>
      <c r="D3968" s="182" t="s">
        <v>2033</v>
      </c>
      <c r="E3968" s="3">
        <v>16</v>
      </c>
      <c r="F3968" s="3">
        <v>2</v>
      </c>
      <c r="G3968" s="4">
        <v>44825</v>
      </c>
    </row>
    <row r="3969" spans="2:18" x14ac:dyDescent="0.2">
      <c r="B3969" s="181" t="s">
        <v>6688</v>
      </c>
      <c r="C3969" s="182" t="s">
        <v>7</v>
      </c>
      <c r="D3969" s="182" t="s">
        <v>2033</v>
      </c>
      <c r="E3969" s="3">
        <v>16</v>
      </c>
      <c r="F3969" s="3">
        <v>2</v>
      </c>
      <c r="G3969" s="4">
        <v>44825</v>
      </c>
    </row>
    <row r="3970" spans="2:18" x14ac:dyDescent="0.2">
      <c r="B3970" s="181" t="s">
        <v>6689</v>
      </c>
      <c r="C3970" s="182" t="s">
        <v>7</v>
      </c>
      <c r="D3970" s="182" t="s">
        <v>2033</v>
      </c>
      <c r="E3970" s="3">
        <v>16</v>
      </c>
      <c r="F3970" s="3">
        <v>2</v>
      </c>
      <c r="G3970" s="4">
        <v>44825</v>
      </c>
    </row>
    <row r="3971" spans="2:18" x14ac:dyDescent="0.2">
      <c r="B3971" s="184" t="s">
        <v>6713</v>
      </c>
      <c r="C3971" s="185" t="s">
        <v>4</v>
      </c>
      <c r="D3971" s="185" t="s">
        <v>6708</v>
      </c>
      <c r="E3971" s="3">
        <v>5</v>
      </c>
      <c r="F3971" s="3">
        <v>2</v>
      </c>
      <c r="G3971" s="4">
        <v>44073</v>
      </c>
    </row>
    <row r="3972" spans="2:18" x14ac:dyDescent="0.2">
      <c r="B3972" s="184" t="s">
        <v>6795</v>
      </c>
      <c r="C3972" s="185" t="s">
        <v>5</v>
      </c>
      <c r="D3972" s="185" t="s">
        <v>6794</v>
      </c>
      <c r="E3972" s="3">
        <v>11</v>
      </c>
      <c r="F3972" s="3">
        <v>2</v>
      </c>
      <c r="G3972" s="4">
        <v>43215</v>
      </c>
    </row>
    <row r="3973" spans="2:18" x14ac:dyDescent="0.2">
      <c r="B3973" s="1" t="s">
        <v>564</v>
      </c>
      <c r="C3973" s="2" t="s">
        <v>4</v>
      </c>
      <c r="D3973" s="2" t="s">
        <v>562</v>
      </c>
      <c r="E3973" s="3">
        <v>5.6</v>
      </c>
      <c r="F3973" s="3">
        <f>E3973/3</f>
        <v>1.8666666666666665</v>
      </c>
      <c r="G3973" s="4">
        <v>45048</v>
      </c>
      <c r="M3973" s="1"/>
      <c r="N3973" s="1"/>
      <c r="O3973" s="1"/>
      <c r="P3973" s="1"/>
      <c r="Q3973" s="1"/>
      <c r="R3973" s="1"/>
    </row>
    <row r="3974" spans="2:18" x14ac:dyDescent="0.2">
      <c r="B3974" s="1" t="s">
        <v>563</v>
      </c>
      <c r="C3974" s="2" t="s">
        <v>4</v>
      </c>
      <c r="D3974" s="2" t="s">
        <v>562</v>
      </c>
      <c r="E3974" s="3">
        <v>5.6</v>
      </c>
      <c r="F3974" s="3">
        <f>E3974/3</f>
        <v>1.8666666666666665</v>
      </c>
      <c r="G3974" s="4">
        <v>45048</v>
      </c>
      <c r="M3974" s="1"/>
      <c r="N3974" s="1"/>
      <c r="O3974" s="1"/>
      <c r="P3974" s="1"/>
      <c r="Q3974" s="1"/>
      <c r="R3974" s="1"/>
    </row>
    <row r="3975" spans="2:18" x14ac:dyDescent="0.2">
      <c r="B3975" s="92" t="s">
        <v>5450</v>
      </c>
      <c r="C3975" s="93" t="s">
        <v>5</v>
      </c>
      <c r="D3975" s="93" t="s">
        <v>3216</v>
      </c>
      <c r="E3975" s="3">
        <v>19</v>
      </c>
      <c r="F3975" s="3">
        <f t="shared" ref="F3975:F3980" si="10">11/6</f>
        <v>1.8333333333333333</v>
      </c>
      <c r="G3975" s="4">
        <v>45097</v>
      </c>
      <c r="I3975" s="1">
        <v>100</v>
      </c>
      <c r="J3975" s="1">
        <v>100</v>
      </c>
    </row>
    <row r="3976" spans="2:18" x14ac:dyDescent="0.2">
      <c r="B3976" s="92" t="s">
        <v>5451</v>
      </c>
      <c r="C3976" s="93" t="s">
        <v>5</v>
      </c>
      <c r="D3976" s="93" t="s">
        <v>3216</v>
      </c>
      <c r="E3976" s="3">
        <v>19</v>
      </c>
      <c r="F3976" s="3">
        <f t="shared" si="10"/>
        <v>1.8333333333333333</v>
      </c>
      <c r="G3976" s="4">
        <v>45097</v>
      </c>
      <c r="I3976" s="1">
        <v>100</v>
      </c>
      <c r="J3976" s="1">
        <v>100</v>
      </c>
    </row>
    <row r="3977" spans="2:18" x14ac:dyDescent="0.2">
      <c r="B3977" s="92" t="s">
        <v>5452</v>
      </c>
      <c r="C3977" s="93" t="s">
        <v>5</v>
      </c>
      <c r="D3977" s="93" t="s">
        <v>3216</v>
      </c>
      <c r="E3977" s="3">
        <v>19</v>
      </c>
      <c r="F3977" s="3">
        <f t="shared" si="10"/>
        <v>1.8333333333333333</v>
      </c>
      <c r="G3977" s="4">
        <v>45097</v>
      </c>
      <c r="I3977" s="1">
        <v>100</v>
      </c>
      <c r="J3977" s="1">
        <v>100</v>
      </c>
    </row>
    <row r="3978" spans="2:18" x14ac:dyDescent="0.2">
      <c r="B3978" s="92" t="s">
        <v>5453</v>
      </c>
      <c r="C3978" s="93" t="s">
        <v>5</v>
      </c>
      <c r="D3978" s="93" t="s">
        <v>3216</v>
      </c>
      <c r="E3978" s="3">
        <v>19</v>
      </c>
      <c r="F3978" s="3">
        <f t="shared" si="10"/>
        <v>1.8333333333333333</v>
      </c>
      <c r="G3978" s="4">
        <v>45097</v>
      </c>
      <c r="I3978" s="1">
        <v>100</v>
      </c>
      <c r="J3978" s="1">
        <v>100</v>
      </c>
    </row>
    <row r="3979" spans="2:18" x14ac:dyDescent="0.2">
      <c r="B3979" s="92" t="s">
        <v>5454</v>
      </c>
      <c r="C3979" s="93" t="s">
        <v>5</v>
      </c>
      <c r="D3979" s="93" t="s">
        <v>3216</v>
      </c>
      <c r="E3979" s="3">
        <v>19</v>
      </c>
      <c r="F3979" s="3">
        <f t="shared" si="10"/>
        <v>1.8333333333333333</v>
      </c>
      <c r="G3979" s="4">
        <v>45097</v>
      </c>
      <c r="I3979" s="1">
        <v>100</v>
      </c>
      <c r="J3979" s="1">
        <v>100</v>
      </c>
    </row>
    <row r="3980" spans="2:18" x14ac:dyDescent="0.2">
      <c r="B3980" s="92" t="s">
        <v>5455</v>
      </c>
      <c r="C3980" s="93" t="s">
        <v>5</v>
      </c>
      <c r="D3980" s="93" t="s">
        <v>3216</v>
      </c>
      <c r="E3980" s="3">
        <v>19</v>
      </c>
      <c r="F3980" s="3">
        <f t="shared" si="10"/>
        <v>1.8333333333333333</v>
      </c>
      <c r="G3980" s="4">
        <v>45097</v>
      </c>
      <c r="I3980" s="1">
        <v>100</v>
      </c>
      <c r="J3980" s="1">
        <v>100</v>
      </c>
    </row>
    <row r="3981" spans="2:18" x14ac:dyDescent="0.2">
      <c r="B3981" s="1" t="s">
        <v>412</v>
      </c>
      <c r="C3981" s="2" t="s">
        <v>5</v>
      </c>
      <c r="D3981" s="2" t="s">
        <v>408</v>
      </c>
      <c r="E3981" s="3">
        <v>10</v>
      </c>
      <c r="F3981" s="3">
        <f>7/4</f>
        <v>1.75</v>
      </c>
      <c r="G3981" s="4">
        <v>44740</v>
      </c>
      <c r="M3981" s="1"/>
      <c r="N3981" s="1"/>
      <c r="O3981" s="1"/>
      <c r="P3981" s="1"/>
      <c r="Q3981" s="1"/>
      <c r="R3981" s="1"/>
    </row>
    <row r="3982" spans="2:18" x14ac:dyDescent="0.2">
      <c r="B3982" s="1" t="s">
        <v>411</v>
      </c>
      <c r="C3982" s="2" t="s">
        <v>5</v>
      </c>
      <c r="D3982" s="2" t="s">
        <v>408</v>
      </c>
      <c r="E3982" s="3">
        <v>10</v>
      </c>
      <c r="F3982" s="3">
        <f>7/4</f>
        <v>1.75</v>
      </c>
      <c r="G3982" s="4">
        <v>44740</v>
      </c>
      <c r="M3982" s="1"/>
      <c r="N3982" s="1"/>
      <c r="O3982" s="1"/>
      <c r="P3982" s="1"/>
      <c r="Q3982" s="1"/>
      <c r="R3982" s="1"/>
    </row>
    <row r="3983" spans="2:18" x14ac:dyDescent="0.2">
      <c r="B3983" s="1" t="s">
        <v>808</v>
      </c>
      <c r="C3983" s="2" t="s">
        <v>4</v>
      </c>
      <c r="D3983" s="2" t="s">
        <v>807</v>
      </c>
      <c r="E3983" s="3">
        <v>5</v>
      </c>
      <c r="F3983" s="3">
        <f>5/3</f>
        <v>1.6666666666666667</v>
      </c>
      <c r="G3983" s="4">
        <v>45062</v>
      </c>
    </row>
    <row r="3984" spans="2:18" x14ac:dyDescent="0.2">
      <c r="B3984" s="1" t="s">
        <v>265</v>
      </c>
      <c r="C3984" s="2" t="s">
        <v>5</v>
      </c>
      <c r="D3984" s="2" t="s">
        <v>258</v>
      </c>
      <c r="E3984" s="3">
        <v>14</v>
      </c>
      <c r="F3984" s="3">
        <v>1.6666666666666667</v>
      </c>
      <c r="G3984" s="4">
        <v>43690</v>
      </c>
    </row>
    <row r="3985" spans="2:18" x14ac:dyDescent="0.2">
      <c r="B3985" s="1" t="s">
        <v>264</v>
      </c>
      <c r="C3985" s="2" t="s">
        <v>5</v>
      </c>
      <c r="D3985" s="2" t="s">
        <v>258</v>
      </c>
      <c r="E3985" s="3">
        <v>14</v>
      </c>
      <c r="F3985" s="3">
        <v>1.6666666666666667</v>
      </c>
      <c r="G3985" s="4">
        <v>43690</v>
      </c>
    </row>
    <row r="3986" spans="2:18" x14ac:dyDescent="0.2">
      <c r="B3986" s="1" t="s">
        <v>198</v>
      </c>
      <c r="C3986" s="2" t="s">
        <v>5</v>
      </c>
      <c r="D3986" s="2" t="s">
        <v>197</v>
      </c>
      <c r="E3986" s="3">
        <v>5</v>
      </c>
      <c r="F3986" s="3">
        <f>E3986/3</f>
        <v>1.6666666666666667</v>
      </c>
      <c r="G3986" s="4">
        <v>42688</v>
      </c>
    </row>
    <row r="3987" spans="2:18" x14ac:dyDescent="0.2">
      <c r="B3987" s="1" t="s">
        <v>89</v>
      </c>
      <c r="C3987" s="2" t="s">
        <v>5</v>
      </c>
      <c r="D3987" s="2" t="s">
        <v>87</v>
      </c>
      <c r="E3987" s="3">
        <v>13.5</v>
      </c>
      <c r="F3987" s="3">
        <f>10/6</f>
        <v>1.6666666666666667</v>
      </c>
      <c r="G3987" s="4">
        <v>43978</v>
      </c>
    </row>
    <row r="3988" spans="2:18" x14ac:dyDescent="0.2">
      <c r="B3988" s="1" t="s">
        <v>804</v>
      </c>
      <c r="C3988" s="2" t="s">
        <v>5</v>
      </c>
      <c r="D3988" s="2" t="s">
        <v>803</v>
      </c>
      <c r="E3988" s="3">
        <v>4.5</v>
      </c>
      <c r="F3988" s="3">
        <v>1.5</v>
      </c>
      <c r="G3988" s="4">
        <v>42858</v>
      </c>
      <c r="M3988" s="1"/>
      <c r="N3988" s="1"/>
      <c r="O3988" s="1"/>
      <c r="P3988" s="1"/>
      <c r="Q3988" s="1"/>
      <c r="R3988" s="1"/>
    </row>
    <row r="3989" spans="2:18" x14ac:dyDescent="0.2">
      <c r="B3989" s="1" t="s">
        <v>802</v>
      </c>
      <c r="C3989" s="2" t="s">
        <v>5</v>
      </c>
      <c r="D3989" s="2" t="s">
        <v>663</v>
      </c>
      <c r="E3989" s="3">
        <v>17</v>
      </c>
      <c r="F3989" s="3">
        <v>1.5</v>
      </c>
      <c r="G3989" s="4">
        <v>44679</v>
      </c>
      <c r="M3989" s="1"/>
      <c r="N3989" s="1"/>
      <c r="O3989" s="1"/>
      <c r="P3989" s="1"/>
      <c r="Q3989" s="1"/>
      <c r="R3989" s="1"/>
    </row>
    <row r="3990" spans="2:18" x14ac:dyDescent="0.2">
      <c r="B3990" s="1" t="s">
        <v>594</v>
      </c>
      <c r="C3990" s="2" t="s">
        <v>4</v>
      </c>
      <c r="D3990" s="2" t="s">
        <v>593</v>
      </c>
      <c r="E3990" s="3">
        <v>6.8</v>
      </c>
      <c r="F3990" s="3">
        <v>1.5</v>
      </c>
      <c r="G3990" s="4">
        <v>44964</v>
      </c>
      <c r="M3990" s="1"/>
      <c r="N3990" s="1"/>
      <c r="O3990" s="1"/>
      <c r="P3990" s="1"/>
      <c r="Q3990" s="1"/>
      <c r="R3990" s="1"/>
    </row>
    <row r="3991" spans="2:18" x14ac:dyDescent="0.2">
      <c r="B3991" s="1" t="s">
        <v>445</v>
      </c>
      <c r="C3991" s="2" t="s">
        <v>4</v>
      </c>
      <c r="D3991" s="2" t="s">
        <v>439</v>
      </c>
      <c r="E3991" s="3">
        <v>7</v>
      </c>
      <c r="F3991" s="3">
        <v>1.5</v>
      </c>
      <c r="G3991" s="4">
        <v>44602</v>
      </c>
      <c r="M3991" s="1"/>
      <c r="N3991" s="1"/>
      <c r="O3991" s="1"/>
      <c r="P3991" s="1"/>
      <c r="Q3991" s="1"/>
      <c r="R3991" s="1"/>
    </row>
    <row r="3992" spans="2:18" x14ac:dyDescent="0.2">
      <c r="B3992" s="1" t="s">
        <v>444</v>
      </c>
      <c r="C3992" s="2" t="s">
        <v>4</v>
      </c>
      <c r="D3992" s="2" t="s">
        <v>439</v>
      </c>
      <c r="E3992" s="3">
        <v>7</v>
      </c>
      <c r="F3992" s="3">
        <v>1.5</v>
      </c>
      <c r="G3992" s="4">
        <v>44602</v>
      </c>
      <c r="M3992" s="1"/>
      <c r="N3992" s="1"/>
      <c r="O3992" s="1"/>
      <c r="P3992" s="1"/>
      <c r="Q3992" s="1"/>
      <c r="R3992" s="1"/>
    </row>
    <row r="3993" spans="2:18" x14ac:dyDescent="0.2">
      <c r="B3993" s="54" t="s">
        <v>5006</v>
      </c>
      <c r="C3993" s="55" t="s">
        <v>5</v>
      </c>
      <c r="D3993" s="55" t="s">
        <v>2115</v>
      </c>
      <c r="E3993" s="3">
        <v>8.9</v>
      </c>
      <c r="F3993" s="3">
        <f>E3993/6</f>
        <v>1.4833333333333334</v>
      </c>
      <c r="G3993" s="4">
        <v>41839</v>
      </c>
      <c r="J3993" s="1">
        <v>1600</v>
      </c>
    </row>
    <row r="3994" spans="2:18" x14ac:dyDescent="0.2">
      <c r="B3994" s="1" t="s">
        <v>309</v>
      </c>
      <c r="C3994" s="2" t="s">
        <v>5</v>
      </c>
      <c r="D3994" s="2" t="s">
        <v>302</v>
      </c>
      <c r="E3994" s="3">
        <v>10</v>
      </c>
      <c r="F3994" s="3">
        <v>1.4</v>
      </c>
      <c r="G3994" s="4">
        <v>44637</v>
      </c>
    </row>
    <row r="3995" spans="2:18" x14ac:dyDescent="0.2">
      <c r="B3995" s="1" t="s">
        <v>308</v>
      </c>
      <c r="C3995" s="2" t="s">
        <v>5</v>
      </c>
      <c r="D3995" s="2" t="s">
        <v>302</v>
      </c>
      <c r="E3995" s="3">
        <v>10</v>
      </c>
      <c r="F3995" s="3">
        <v>1.4</v>
      </c>
      <c r="G3995" s="4">
        <v>44637</v>
      </c>
    </row>
    <row r="3996" spans="2:18" x14ac:dyDescent="0.2">
      <c r="B3996" s="51" t="s">
        <v>4891</v>
      </c>
      <c r="C3996" s="52" t="s">
        <v>5</v>
      </c>
      <c r="D3996" s="52" t="s">
        <v>2119</v>
      </c>
      <c r="E3996" s="3">
        <v>11.5</v>
      </c>
      <c r="F3996" s="3">
        <f>5.5/4</f>
        <v>1.375</v>
      </c>
      <c r="G3996" s="4">
        <v>43355</v>
      </c>
      <c r="J3996" s="1">
        <v>3400</v>
      </c>
    </row>
    <row r="3997" spans="2:18" x14ac:dyDescent="0.2">
      <c r="B3997" s="1" t="s">
        <v>517</v>
      </c>
      <c r="C3997" s="2" t="s">
        <v>4</v>
      </c>
      <c r="D3997" s="2" t="s">
        <v>516</v>
      </c>
      <c r="E3997" s="3">
        <v>4</v>
      </c>
      <c r="F3997" s="3">
        <f>4/3</f>
        <v>1.3333333333333333</v>
      </c>
      <c r="G3997" s="4">
        <v>42647</v>
      </c>
      <c r="M3997" s="1"/>
      <c r="N3997" s="1"/>
      <c r="O3997" s="1"/>
      <c r="P3997" s="1"/>
      <c r="Q3997" s="1"/>
      <c r="R3997" s="1"/>
    </row>
    <row r="3998" spans="2:18" x14ac:dyDescent="0.2">
      <c r="B3998" s="51" t="s">
        <v>4882</v>
      </c>
      <c r="C3998" s="52" t="s">
        <v>4</v>
      </c>
      <c r="D3998" s="52" t="s">
        <v>2121</v>
      </c>
      <c r="E3998" s="3">
        <v>10.3</v>
      </c>
      <c r="F3998" s="3">
        <v>1.3</v>
      </c>
      <c r="G3998" s="4">
        <v>42846</v>
      </c>
      <c r="J3998" s="1">
        <v>700</v>
      </c>
    </row>
    <row r="3999" spans="2:18" x14ac:dyDescent="0.2">
      <c r="B3999" s="1" t="s">
        <v>346</v>
      </c>
      <c r="C3999" s="2" t="s">
        <v>4</v>
      </c>
      <c r="D3999" s="2" t="s">
        <v>341</v>
      </c>
      <c r="E3999" s="3">
        <v>3.5</v>
      </c>
      <c r="F3999" s="3">
        <v>1.25</v>
      </c>
      <c r="G3999" s="4">
        <v>44636</v>
      </c>
      <c r="M3999" s="1"/>
      <c r="N3999" s="1"/>
      <c r="O3999" s="1"/>
      <c r="P3999" s="1"/>
      <c r="Q3999" s="1"/>
      <c r="R3999" s="1"/>
    </row>
    <row r="4000" spans="2:18" x14ac:dyDescent="0.2">
      <c r="B4000" s="160" t="s">
        <v>6428</v>
      </c>
      <c r="C4000" s="161" t="s">
        <v>5</v>
      </c>
      <c r="D4000" s="161" t="s">
        <v>6424</v>
      </c>
      <c r="E4000" s="3">
        <v>8</v>
      </c>
      <c r="F4000" s="3">
        <f>6/5</f>
        <v>1.2</v>
      </c>
      <c r="G4000" s="4">
        <v>44179</v>
      </c>
    </row>
    <row r="4001" spans="2:18" x14ac:dyDescent="0.2">
      <c r="B4001" s="160"/>
      <c r="C4001" s="161"/>
      <c r="D4001" s="161"/>
      <c r="G4001" s="4"/>
    </row>
    <row r="4002" spans="2:18" x14ac:dyDescent="0.2">
      <c r="B4002" s="1" t="s">
        <v>285</v>
      </c>
      <c r="C4002" s="2" t="s">
        <v>4</v>
      </c>
      <c r="D4002" s="2" t="s">
        <v>283</v>
      </c>
      <c r="E4002" s="3">
        <v>2.1</v>
      </c>
      <c r="F4002" s="3">
        <v>1.1000000000000001</v>
      </c>
      <c r="G4002" s="4">
        <v>44565</v>
      </c>
    </row>
    <row r="4003" spans="2:18" x14ac:dyDescent="0.2">
      <c r="C4003" s="253" t="s">
        <v>5</v>
      </c>
      <c r="D4003" s="253" t="s">
        <v>7462</v>
      </c>
      <c r="E4003" s="3">
        <v>10</v>
      </c>
      <c r="F4003" s="3">
        <v>4</v>
      </c>
      <c r="G4003" s="4">
        <v>44384</v>
      </c>
    </row>
    <row r="4004" spans="2:18" x14ac:dyDescent="0.2">
      <c r="G4004" s="4"/>
    </row>
    <row r="4005" spans="2:18" x14ac:dyDescent="0.2">
      <c r="G4005" s="4"/>
    </row>
    <row r="4006" spans="2:18" x14ac:dyDescent="0.2">
      <c r="B4006" s="1" t="s">
        <v>334</v>
      </c>
      <c r="C4006" s="2" t="s">
        <v>4</v>
      </c>
      <c r="D4006" s="2" t="s">
        <v>332</v>
      </c>
      <c r="E4006" s="3">
        <v>5.0999999999999996</v>
      </c>
      <c r="F4006" s="3">
        <f>E4006/5</f>
        <v>1.02</v>
      </c>
      <c r="G4006" s="4">
        <v>43990</v>
      </c>
      <c r="M4006" s="1"/>
      <c r="N4006" s="1"/>
      <c r="O4006" s="1"/>
      <c r="P4006" s="1"/>
      <c r="Q4006" s="1"/>
      <c r="R4006" s="1"/>
    </row>
    <row r="4007" spans="2:18" x14ac:dyDescent="0.2">
      <c r="B4007" s="1" t="s">
        <v>333</v>
      </c>
      <c r="C4007" s="2" t="s">
        <v>4</v>
      </c>
      <c r="D4007" s="2" t="s">
        <v>332</v>
      </c>
      <c r="E4007" s="3">
        <v>5.0999999999999996</v>
      </c>
      <c r="F4007" s="3">
        <f>E4007/5</f>
        <v>1.02</v>
      </c>
      <c r="G4007" s="4">
        <v>43990</v>
      </c>
      <c r="M4007" s="1"/>
      <c r="N4007" s="1"/>
      <c r="O4007" s="1"/>
      <c r="P4007" s="1"/>
      <c r="Q4007" s="1"/>
      <c r="R4007" s="1"/>
    </row>
    <row r="4008" spans="2:18" x14ac:dyDescent="0.2">
      <c r="B4008" s="1" t="s">
        <v>801</v>
      </c>
      <c r="C4008" s="2" t="s">
        <v>4</v>
      </c>
      <c r="D4008" s="2" t="s">
        <v>763</v>
      </c>
      <c r="E4008" s="3">
        <v>6</v>
      </c>
      <c r="F4008" s="3">
        <v>1</v>
      </c>
      <c r="G4008" s="4">
        <v>44352</v>
      </c>
      <c r="M4008" s="1"/>
      <c r="N4008" s="1"/>
      <c r="O4008" s="1"/>
      <c r="P4008" s="1"/>
      <c r="Q4008" s="1"/>
      <c r="R4008" s="1"/>
    </row>
    <row r="4009" spans="2:18" x14ac:dyDescent="0.2">
      <c r="B4009" s="1" t="s">
        <v>800</v>
      </c>
      <c r="C4009" s="2" t="s">
        <v>4</v>
      </c>
      <c r="D4009" s="2" t="s">
        <v>763</v>
      </c>
      <c r="E4009" s="3">
        <v>6</v>
      </c>
      <c r="F4009" s="3">
        <v>1</v>
      </c>
      <c r="G4009" s="4">
        <v>44352</v>
      </c>
      <c r="M4009" s="1"/>
      <c r="N4009" s="1"/>
      <c r="O4009" s="1"/>
      <c r="P4009" s="1"/>
      <c r="Q4009" s="1"/>
      <c r="R4009" s="1"/>
    </row>
    <row r="4010" spans="2:18" x14ac:dyDescent="0.2">
      <c r="B4010" s="1" t="s">
        <v>799</v>
      </c>
      <c r="C4010" s="2" t="s">
        <v>4</v>
      </c>
      <c r="D4010" s="2" t="s">
        <v>798</v>
      </c>
      <c r="E4010" s="3">
        <v>5.3</v>
      </c>
      <c r="F4010" s="3">
        <v>1</v>
      </c>
      <c r="G4010" s="4">
        <v>43628</v>
      </c>
      <c r="M4010" s="1"/>
      <c r="N4010" s="1"/>
      <c r="O4010" s="1"/>
      <c r="P4010" s="1"/>
      <c r="Q4010" s="1"/>
      <c r="R4010" s="1"/>
    </row>
    <row r="4011" spans="2:18" x14ac:dyDescent="0.2">
      <c r="B4011" s="1" t="s">
        <v>797</v>
      </c>
      <c r="C4011" s="2" t="s">
        <v>5</v>
      </c>
      <c r="D4011" s="2" t="s">
        <v>796</v>
      </c>
      <c r="E4011" s="3">
        <v>17.5</v>
      </c>
      <c r="F4011" s="3">
        <v>1</v>
      </c>
      <c r="G4011" s="4">
        <v>44614</v>
      </c>
      <c r="M4011" s="1"/>
      <c r="N4011" s="1"/>
      <c r="O4011" s="1"/>
      <c r="P4011" s="1"/>
      <c r="Q4011" s="1"/>
      <c r="R4011" s="1"/>
    </row>
    <row r="4012" spans="2:18" x14ac:dyDescent="0.2">
      <c r="B4012" s="1" t="s">
        <v>795</v>
      </c>
      <c r="C4012" s="2" t="s">
        <v>5</v>
      </c>
      <c r="D4012" s="2" t="s">
        <v>783</v>
      </c>
      <c r="E4012" s="3">
        <v>10.9</v>
      </c>
      <c r="F4012" s="3">
        <f>8/8</f>
        <v>1</v>
      </c>
      <c r="G4012" s="4">
        <v>45070</v>
      </c>
      <c r="M4012" s="1"/>
      <c r="N4012" s="1"/>
      <c r="O4012" s="1"/>
      <c r="P4012" s="1"/>
      <c r="Q4012" s="1"/>
      <c r="R4012" s="1"/>
    </row>
    <row r="4013" spans="2:18" x14ac:dyDescent="0.2">
      <c r="B4013" s="1" t="s">
        <v>794</v>
      </c>
      <c r="C4013" s="2" t="s">
        <v>4</v>
      </c>
      <c r="D4013" s="2" t="s">
        <v>709</v>
      </c>
      <c r="E4013" s="3">
        <v>5.5</v>
      </c>
      <c r="F4013" s="3">
        <v>1</v>
      </c>
      <c r="G4013" s="4">
        <v>45092</v>
      </c>
      <c r="M4013" s="1"/>
      <c r="N4013" s="1"/>
      <c r="O4013" s="1"/>
      <c r="P4013" s="1"/>
      <c r="Q4013" s="1"/>
      <c r="R4013" s="1"/>
    </row>
    <row r="4014" spans="2:18" x14ac:dyDescent="0.2">
      <c r="B4014" s="1" t="s">
        <v>793</v>
      </c>
      <c r="C4014" s="2" t="s">
        <v>4</v>
      </c>
      <c r="D4014" s="2" t="s">
        <v>699</v>
      </c>
      <c r="E4014" s="3">
        <v>2.5</v>
      </c>
      <c r="F4014" s="3">
        <v>1</v>
      </c>
      <c r="G4014" s="4">
        <v>44469</v>
      </c>
      <c r="M4014" s="1"/>
      <c r="N4014" s="1"/>
      <c r="O4014" s="1"/>
      <c r="P4014" s="1"/>
      <c r="Q4014" s="1"/>
      <c r="R4014" s="1"/>
    </row>
    <row r="4015" spans="2:18" x14ac:dyDescent="0.2">
      <c r="B4015" s="1" t="s">
        <v>792</v>
      </c>
      <c r="C4015" s="2" t="s">
        <v>4</v>
      </c>
      <c r="D4015" s="2" t="s">
        <v>697</v>
      </c>
      <c r="E4015" s="3">
        <v>5.6</v>
      </c>
      <c r="F4015" s="3">
        <v>1</v>
      </c>
      <c r="G4015" s="4">
        <v>44292</v>
      </c>
      <c r="M4015" s="1"/>
      <c r="N4015" s="1"/>
      <c r="O4015" s="1"/>
      <c r="P4015" s="1"/>
      <c r="Q4015" s="1"/>
      <c r="R4015" s="1"/>
    </row>
    <row r="4016" spans="2:18" x14ac:dyDescent="0.2">
      <c r="B4016" s="1" t="s">
        <v>789</v>
      </c>
      <c r="C4016" s="2" t="s">
        <v>4</v>
      </c>
      <c r="D4016" s="2" t="s">
        <v>697</v>
      </c>
      <c r="E4016" s="3">
        <v>5.6</v>
      </c>
      <c r="F4016" s="3">
        <v>1</v>
      </c>
      <c r="G4016" s="4">
        <v>44292</v>
      </c>
      <c r="M4016" s="1"/>
      <c r="N4016" s="1"/>
      <c r="O4016" s="1"/>
      <c r="P4016" s="1"/>
      <c r="Q4016" s="1"/>
      <c r="R4016" s="1"/>
    </row>
    <row r="4017" spans="2:18" x14ac:dyDescent="0.2">
      <c r="B4017" s="1" t="s">
        <v>788</v>
      </c>
      <c r="C4017" s="2" t="s">
        <v>5</v>
      </c>
      <c r="D4017" s="2" t="s">
        <v>783</v>
      </c>
      <c r="E4017" s="3">
        <v>10.9</v>
      </c>
      <c r="F4017" s="3">
        <f>8/8</f>
        <v>1</v>
      </c>
      <c r="G4017" s="4">
        <v>45070</v>
      </c>
      <c r="M4017" s="1"/>
      <c r="N4017" s="1"/>
      <c r="O4017" s="1"/>
      <c r="P4017" s="1"/>
      <c r="Q4017" s="1"/>
      <c r="R4017" s="1"/>
    </row>
    <row r="4018" spans="2:18" x14ac:dyDescent="0.2">
      <c r="B4018" s="1" t="s">
        <v>787</v>
      </c>
      <c r="C4018" s="2" t="s">
        <v>5</v>
      </c>
      <c r="D4018" s="2" t="s">
        <v>783</v>
      </c>
      <c r="E4018" s="3">
        <v>10.9</v>
      </c>
      <c r="F4018" s="3">
        <f>8/8</f>
        <v>1</v>
      </c>
      <c r="G4018" s="4">
        <v>45070</v>
      </c>
      <c r="M4018" s="1"/>
      <c r="N4018" s="1"/>
      <c r="O4018" s="1"/>
      <c r="P4018" s="1"/>
      <c r="Q4018" s="1"/>
      <c r="R4018" s="1"/>
    </row>
    <row r="4019" spans="2:18" x14ac:dyDescent="0.2">
      <c r="B4019" s="1" t="s">
        <v>786</v>
      </c>
      <c r="C4019" s="2" t="s">
        <v>5</v>
      </c>
      <c r="D4019" s="2" t="s">
        <v>783</v>
      </c>
      <c r="E4019" s="3">
        <v>10.9</v>
      </c>
      <c r="F4019" s="3">
        <f>8/8</f>
        <v>1</v>
      </c>
      <c r="G4019" s="4">
        <v>45070</v>
      </c>
      <c r="M4019" s="1"/>
      <c r="N4019" s="1"/>
      <c r="O4019" s="1"/>
      <c r="P4019" s="1"/>
      <c r="Q4019" s="1"/>
      <c r="R4019" s="1"/>
    </row>
    <row r="4020" spans="2:18" x14ac:dyDescent="0.2">
      <c r="B4020" s="1" t="s">
        <v>785</v>
      </c>
      <c r="C4020" s="2" t="s">
        <v>5</v>
      </c>
      <c r="D4020" s="2" t="s">
        <v>783</v>
      </c>
      <c r="E4020" s="3">
        <v>10.9</v>
      </c>
      <c r="F4020" s="3">
        <f>8/8</f>
        <v>1</v>
      </c>
      <c r="G4020" s="4">
        <v>45070</v>
      </c>
      <c r="M4020" s="1"/>
      <c r="N4020" s="1"/>
      <c r="O4020" s="1"/>
      <c r="P4020" s="1"/>
      <c r="Q4020" s="1"/>
      <c r="R4020" s="1"/>
    </row>
    <row r="4021" spans="2:18" x14ac:dyDescent="0.2">
      <c r="B4021" s="1" t="s">
        <v>784</v>
      </c>
      <c r="C4021" s="2" t="s">
        <v>5</v>
      </c>
      <c r="D4021" s="2" t="s">
        <v>783</v>
      </c>
      <c r="E4021" s="3">
        <v>10.9</v>
      </c>
      <c r="F4021" s="3">
        <f>8/8</f>
        <v>1</v>
      </c>
      <c r="G4021" s="4">
        <v>45070</v>
      </c>
      <c r="M4021" s="1"/>
      <c r="N4021" s="1"/>
      <c r="O4021" s="1"/>
      <c r="P4021" s="1"/>
      <c r="Q4021" s="1"/>
      <c r="R4021" s="1"/>
    </row>
    <row r="4022" spans="2:18" x14ac:dyDescent="0.2">
      <c r="B4022" s="1" t="s">
        <v>782</v>
      </c>
      <c r="C4022" s="2" t="s">
        <v>4</v>
      </c>
      <c r="D4022" s="2" t="s">
        <v>701</v>
      </c>
      <c r="E4022" s="3">
        <v>7.2</v>
      </c>
      <c r="F4022" s="3">
        <v>1</v>
      </c>
      <c r="G4022" s="4">
        <v>44508</v>
      </c>
      <c r="M4022" s="1"/>
      <c r="N4022" s="1"/>
      <c r="O4022" s="1"/>
      <c r="P4022" s="1"/>
      <c r="Q4022" s="1"/>
      <c r="R4022" s="1"/>
    </row>
    <row r="4023" spans="2:18" x14ac:dyDescent="0.2">
      <c r="B4023" s="1" t="s">
        <v>781</v>
      </c>
      <c r="C4023" s="2" t="s">
        <v>4</v>
      </c>
      <c r="D4023" s="2" t="s">
        <v>701</v>
      </c>
      <c r="E4023" s="3">
        <v>7.2</v>
      </c>
      <c r="F4023" s="3">
        <v>1</v>
      </c>
      <c r="G4023" s="4">
        <v>44508</v>
      </c>
      <c r="M4023" s="1"/>
      <c r="N4023" s="1"/>
      <c r="O4023" s="1"/>
      <c r="P4023" s="1"/>
      <c r="Q4023" s="1"/>
      <c r="R4023" s="1"/>
    </row>
    <row r="4024" spans="2:18" x14ac:dyDescent="0.2">
      <c r="B4024" s="1" t="s">
        <v>780</v>
      </c>
      <c r="C4024" s="11" t="s">
        <v>670</v>
      </c>
      <c r="D4024" s="11" t="s">
        <v>779</v>
      </c>
      <c r="E4024" s="10">
        <v>3</v>
      </c>
      <c r="F4024" s="10">
        <v>1</v>
      </c>
      <c r="G4024" s="9">
        <v>44183</v>
      </c>
      <c r="M4024" s="1"/>
      <c r="N4024" s="1"/>
      <c r="O4024" s="1"/>
      <c r="P4024" s="1"/>
      <c r="Q4024" s="1"/>
      <c r="R4024" s="1"/>
    </row>
    <row r="4025" spans="2:18" x14ac:dyDescent="0.2">
      <c r="B4025" s="1" t="s">
        <v>778</v>
      </c>
      <c r="C4025" s="2" t="s">
        <v>670</v>
      </c>
      <c r="D4025" s="2" t="s">
        <v>776</v>
      </c>
      <c r="E4025" s="3">
        <v>4.5</v>
      </c>
      <c r="F4025" s="3">
        <v>1</v>
      </c>
      <c r="G4025" s="4">
        <v>44691</v>
      </c>
      <c r="M4025" s="1"/>
      <c r="N4025" s="1"/>
      <c r="O4025" s="1"/>
      <c r="P4025" s="1"/>
      <c r="Q4025" s="1"/>
      <c r="R4025" s="1"/>
    </row>
    <row r="4026" spans="2:18" x14ac:dyDescent="0.2">
      <c r="B4026" s="1" t="s">
        <v>777</v>
      </c>
      <c r="C4026" s="2" t="s">
        <v>670</v>
      </c>
      <c r="D4026" s="2" t="s">
        <v>776</v>
      </c>
      <c r="E4026" s="3">
        <v>4.5</v>
      </c>
      <c r="F4026" s="3">
        <v>1</v>
      </c>
      <c r="G4026" s="4">
        <v>44691</v>
      </c>
      <c r="M4026" s="1"/>
      <c r="N4026" s="1"/>
      <c r="O4026" s="1"/>
      <c r="P4026" s="1"/>
      <c r="Q4026" s="1"/>
      <c r="R4026" s="1"/>
    </row>
    <row r="4027" spans="2:18" x14ac:dyDescent="0.2">
      <c r="B4027" s="1" t="s">
        <v>772</v>
      </c>
      <c r="C4027" s="2" t="s">
        <v>4</v>
      </c>
      <c r="D4027" s="2" t="s">
        <v>771</v>
      </c>
      <c r="E4027" s="3">
        <v>10</v>
      </c>
      <c r="F4027" s="3">
        <v>1</v>
      </c>
      <c r="G4027" s="4">
        <v>44858</v>
      </c>
      <c r="M4027" s="1"/>
      <c r="N4027" s="1"/>
      <c r="O4027" s="1"/>
      <c r="P4027" s="1"/>
      <c r="Q4027" s="1"/>
      <c r="R4027" s="1"/>
    </row>
    <row r="4028" spans="2:18" x14ac:dyDescent="0.2">
      <c r="B4028" s="1" t="s">
        <v>633</v>
      </c>
      <c r="C4028" s="2" t="s">
        <v>4</v>
      </c>
      <c r="D4028" s="2" t="s">
        <v>632</v>
      </c>
      <c r="E4028" s="3">
        <v>3</v>
      </c>
      <c r="F4028" s="3">
        <v>1</v>
      </c>
      <c r="G4028" s="4">
        <v>44539</v>
      </c>
      <c r="M4028" s="1"/>
      <c r="N4028" s="1"/>
      <c r="O4028" s="1"/>
      <c r="P4028" s="1"/>
      <c r="Q4028" s="1"/>
      <c r="R4028" s="1"/>
    </row>
    <row r="4029" spans="2:18" x14ac:dyDescent="0.2">
      <c r="B4029" s="1" t="s">
        <v>601</v>
      </c>
      <c r="C4029" s="2" t="s">
        <v>5</v>
      </c>
      <c r="D4029" s="2" t="s">
        <v>599</v>
      </c>
      <c r="E4029" s="3">
        <v>8</v>
      </c>
      <c r="F4029" s="3">
        <v>1</v>
      </c>
      <c r="G4029" s="4">
        <v>43249</v>
      </c>
      <c r="M4029" s="1"/>
      <c r="N4029" s="1"/>
      <c r="O4029" s="1"/>
      <c r="P4029" s="1"/>
      <c r="Q4029" s="1"/>
      <c r="R4029" s="1"/>
    </row>
    <row r="4030" spans="2:18" x14ac:dyDescent="0.2">
      <c r="B4030" s="1" t="s">
        <v>598</v>
      </c>
      <c r="C4030" s="2" t="s">
        <v>4</v>
      </c>
      <c r="D4030" s="2" t="s">
        <v>596</v>
      </c>
      <c r="E4030" s="3">
        <v>6</v>
      </c>
      <c r="F4030" s="3">
        <v>1</v>
      </c>
      <c r="G4030" s="4">
        <v>44781</v>
      </c>
      <c r="M4030" s="1"/>
      <c r="N4030" s="1"/>
      <c r="O4030" s="1"/>
      <c r="P4030" s="1"/>
      <c r="Q4030" s="1"/>
      <c r="R4030" s="1"/>
    </row>
    <row r="4031" spans="2:18" x14ac:dyDescent="0.2">
      <c r="B4031" s="1" t="s">
        <v>583</v>
      </c>
      <c r="C4031" s="2" t="s">
        <v>278</v>
      </c>
      <c r="D4031" s="2" t="s">
        <v>582</v>
      </c>
      <c r="E4031" s="3">
        <v>2</v>
      </c>
      <c r="F4031" s="3">
        <v>1</v>
      </c>
      <c r="G4031" s="4">
        <v>44223</v>
      </c>
      <c r="M4031" s="1"/>
      <c r="N4031" s="1"/>
      <c r="O4031" s="1"/>
      <c r="P4031" s="1"/>
      <c r="Q4031" s="1"/>
      <c r="R4031" s="1"/>
    </row>
    <row r="4032" spans="2:18" x14ac:dyDescent="0.2">
      <c r="B4032" s="1" t="s">
        <v>579</v>
      </c>
      <c r="C4032" s="2" t="s">
        <v>4</v>
      </c>
      <c r="D4032" s="2" t="s">
        <v>573</v>
      </c>
      <c r="E4032" s="3">
        <v>10</v>
      </c>
      <c r="F4032" s="3">
        <v>1</v>
      </c>
      <c r="G4032" s="4">
        <v>44887</v>
      </c>
      <c r="M4032" s="1"/>
      <c r="N4032" s="1"/>
      <c r="O4032" s="1"/>
      <c r="P4032" s="1"/>
      <c r="Q4032" s="1"/>
      <c r="R4032" s="1"/>
    </row>
    <row r="4033" spans="2:18" x14ac:dyDescent="0.2">
      <c r="B4033" s="1" t="s">
        <v>578</v>
      </c>
      <c r="C4033" s="2" t="s">
        <v>4</v>
      </c>
      <c r="D4033" s="2" t="s">
        <v>573</v>
      </c>
      <c r="E4033" s="3">
        <v>10</v>
      </c>
      <c r="F4033" s="3">
        <v>1</v>
      </c>
      <c r="G4033" s="4">
        <v>44887</v>
      </c>
      <c r="M4033" s="1"/>
      <c r="N4033" s="1"/>
      <c r="O4033" s="1"/>
      <c r="P4033" s="1"/>
      <c r="Q4033" s="1"/>
      <c r="R4033" s="1"/>
    </row>
    <row r="4034" spans="2:18" x14ac:dyDescent="0.2">
      <c r="B4034" s="1" t="s">
        <v>576</v>
      </c>
      <c r="C4034" s="2" t="s">
        <v>4</v>
      </c>
      <c r="D4034" s="2" t="s">
        <v>573</v>
      </c>
      <c r="E4034" s="3">
        <v>10</v>
      </c>
      <c r="F4034" s="3">
        <v>1</v>
      </c>
      <c r="G4034" s="4">
        <v>44887</v>
      </c>
      <c r="M4034" s="1"/>
      <c r="N4034" s="1"/>
      <c r="O4034" s="1"/>
      <c r="P4034" s="1"/>
      <c r="Q4034" s="1"/>
      <c r="R4034" s="1"/>
    </row>
    <row r="4035" spans="2:18" x14ac:dyDescent="0.2">
      <c r="B4035" s="1" t="s">
        <v>575</v>
      </c>
      <c r="C4035" s="2" t="s">
        <v>4</v>
      </c>
      <c r="D4035" s="2" t="s">
        <v>573</v>
      </c>
      <c r="E4035" s="3">
        <v>10</v>
      </c>
      <c r="F4035" s="3">
        <v>1</v>
      </c>
      <c r="G4035" s="4">
        <v>44887</v>
      </c>
      <c r="M4035" s="1"/>
      <c r="N4035" s="1"/>
      <c r="O4035" s="1"/>
      <c r="P4035" s="1"/>
      <c r="Q4035" s="1"/>
      <c r="R4035" s="1"/>
    </row>
    <row r="4036" spans="2:18" x14ac:dyDescent="0.2">
      <c r="B4036" s="1" t="s">
        <v>574</v>
      </c>
      <c r="C4036" s="2" t="s">
        <v>4</v>
      </c>
      <c r="D4036" s="2" t="s">
        <v>573</v>
      </c>
      <c r="E4036" s="3">
        <v>10</v>
      </c>
      <c r="F4036" s="3">
        <v>1</v>
      </c>
      <c r="G4036" s="4">
        <v>44887</v>
      </c>
      <c r="M4036" s="1"/>
      <c r="N4036" s="1"/>
      <c r="O4036" s="1"/>
      <c r="P4036" s="1"/>
      <c r="Q4036" s="1"/>
      <c r="R4036" s="1"/>
    </row>
    <row r="4037" spans="2:18" x14ac:dyDescent="0.2">
      <c r="B4037" s="1" t="s">
        <v>484</v>
      </c>
      <c r="C4037" s="2" t="s">
        <v>4</v>
      </c>
      <c r="D4037" s="2" t="s">
        <v>483</v>
      </c>
      <c r="E4037" s="3">
        <v>2.5</v>
      </c>
      <c r="F4037" s="3">
        <v>1</v>
      </c>
      <c r="G4037" s="4">
        <v>44305</v>
      </c>
      <c r="M4037" s="1"/>
      <c r="N4037" s="1"/>
      <c r="O4037" s="1"/>
      <c r="P4037" s="1"/>
      <c r="Q4037" s="1"/>
      <c r="R4037" s="1"/>
    </row>
    <row r="4038" spans="2:18" x14ac:dyDescent="0.2">
      <c r="B4038" s="1" t="s">
        <v>474</v>
      </c>
      <c r="C4038" s="2" t="s">
        <v>4</v>
      </c>
      <c r="D4038" s="2" t="s">
        <v>469</v>
      </c>
      <c r="E4038" s="3">
        <v>6</v>
      </c>
      <c r="F4038" s="3">
        <v>1</v>
      </c>
      <c r="G4038" s="4">
        <v>45104</v>
      </c>
      <c r="M4038" s="1"/>
      <c r="N4038" s="1"/>
      <c r="O4038" s="1"/>
      <c r="P4038" s="1"/>
      <c r="Q4038" s="1"/>
      <c r="R4038" s="1"/>
    </row>
    <row r="4039" spans="2:18" x14ac:dyDescent="0.2">
      <c r="B4039" s="1" t="s">
        <v>473</v>
      </c>
      <c r="C4039" s="2" t="s">
        <v>4</v>
      </c>
      <c r="D4039" s="2" t="s">
        <v>469</v>
      </c>
      <c r="E4039" s="3">
        <v>6</v>
      </c>
      <c r="F4039" s="3">
        <v>1</v>
      </c>
      <c r="G4039" s="4">
        <v>45104</v>
      </c>
      <c r="M4039" s="1"/>
      <c r="N4039" s="1"/>
      <c r="O4039" s="1"/>
      <c r="P4039" s="1"/>
      <c r="Q4039" s="1"/>
      <c r="R4039" s="1"/>
    </row>
    <row r="4040" spans="2:18" x14ac:dyDescent="0.2">
      <c r="B4040" s="1" t="s">
        <v>471</v>
      </c>
      <c r="C4040" s="2" t="s">
        <v>4</v>
      </c>
      <c r="D4040" s="2" t="s">
        <v>469</v>
      </c>
      <c r="E4040" s="3">
        <v>6</v>
      </c>
      <c r="F4040" s="3">
        <v>1</v>
      </c>
      <c r="G4040" s="4">
        <v>45104</v>
      </c>
      <c r="M4040" s="1"/>
      <c r="N4040" s="1"/>
      <c r="O4040" s="1"/>
      <c r="P4040" s="1"/>
      <c r="Q4040" s="1"/>
      <c r="R4040" s="1"/>
    </row>
    <row r="4041" spans="2:18" x14ac:dyDescent="0.2">
      <c r="B4041" s="1" t="s">
        <v>470</v>
      </c>
      <c r="C4041" s="2" t="s">
        <v>4</v>
      </c>
      <c r="D4041" s="2" t="s">
        <v>469</v>
      </c>
      <c r="E4041" s="3">
        <v>6</v>
      </c>
      <c r="F4041" s="3">
        <v>1</v>
      </c>
      <c r="G4041" s="4">
        <v>45104</v>
      </c>
      <c r="M4041" s="1"/>
      <c r="N4041" s="1"/>
      <c r="O4041" s="1"/>
      <c r="P4041" s="1"/>
      <c r="Q4041" s="1"/>
      <c r="R4041" s="1"/>
    </row>
    <row r="4042" spans="2:18" x14ac:dyDescent="0.2">
      <c r="B4042" s="1" t="s">
        <v>330</v>
      </c>
      <c r="C4042" s="2" t="s">
        <v>4</v>
      </c>
      <c r="D4042" s="2" t="s">
        <v>329</v>
      </c>
      <c r="E4042" s="3">
        <v>5</v>
      </c>
      <c r="F4042" s="3">
        <v>1</v>
      </c>
      <c r="G4042" s="4">
        <v>43224</v>
      </c>
      <c r="L4042" s="1">
        <v>0</v>
      </c>
      <c r="M4042" s="1"/>
      <c r="N4042" s="1"/>
      <c r="O4042" s="1"/>
      <c r="P4042" s="1"/>
      <c r="Q4042" s="1"/>
      <c r="R4042" s="1"/>
    </row>
    <row r="4043" spans="2:18" x14ac:dyDescent="0.2">
      <c r="G4043" s="4"/>
      <c r="M4043" s="1"/>
      <c r="N4043" s="1"/>
      <c r="O4043" s="1"/>
      <c r="P4043" s="1"/>
      <c r="Q4043" s="1"/>
      <c r="R4043" s="1"/>
    </row>
    <row r="4044" spans="2:18" x14ac:dyDescent="0.2">
      <c r="B4044" s="1" t="s">
        <v>284</v>
      </c>
      <c r="C4044" s="2" t="s">
        <v>4</v>
      </c>
      <c r="D4044" s="2" t="s">
        <v>283</v>
      </c>
      <c r="E4044" s="3">
        <v>2.1</v>
      </c>
      <c r="F4044" s="3">
        <v>1</v>
      </c>
      <c r="G4044" s="4">
        <v>44565</v>
      </c>
    </row>
    <row r="4045" spans="2:18" x14ac:dyDescent="0.2">
      <c r="C4045" s="253" t="s">
        <v>5</v>
      </c>
      <c r="D4045" s="253" t="s">
        <v>7462</v>
      </c>
      <c r="E4045" s="3">
        <v>10</v>
      </c>
      <c r="F4045" s="3">
        <v>2</v>
      </c>
      <c r="G4045" s="4">
        <v>44384</v>
      </c>
    </row>
    <row r="4046" spans="2:18" x14ac:dyDescent="0.2">
      <c r="G4046" s="4"/>
    </row>
    <row r="4047" spans="2:18" x14ac:dyDescent="0.2">
      <c r="B4047" s="1" t="s">
        <v>127</v>
      </c>
      <c r="C4047" s="2" t="s">
        <v>4</v>
      </c>
      <c r="D4047" s="2" t="s">
        <v>122</v>
      </c>
      <c r="E4047" s="3">
        <v>2</v>
      </c>
      <c r="F4047" s="3">
        <v>1</v>
      </c>
      <c r="G4047" s="4">
        <v>44658</v>
      </c>
    </row>
    <row r="4048" spans="2:18" x14ac:dyDescent="0.2">
      <c r="B4048" s="92" t="s">
        <v>5930</v>
      </c>
      <c r="C4048" s="93" t="s">
        <v>4</v>
      </c>
      <c r="D4048" s="93" t="s">
        <v>2072</v>
      </c>
      <c r="E4048" s="3">
        <v>5</v>
      </c>
      <c r="F4048" s="3">
        <v>1</v>
      </c>
      <c r="G4048" s="4">
        <v>43466</v>
      </c>
    </row>
    <row r="4049" spans="2:18" x14ac:dyDescent="0.2">
      <c r="B4049" s="92" t="s">
        <v>6013</v>
      </c>
      <c r="C4049" s="93" t="s">
        <v>5</v>
      </c>
      <c r="D4049" s="93" t="s">
        <v>6010</v>
      </c>
      <c r="E4049" s="3">
        <v>3</v>
      </c>
      <c r="F4049" s="3">
        <v>1</v>
      </c>
      <c r="G4049" s="4">
        <v>44140</v>
      </c>
    </row>
    <row r="4050" spans="2:18" x14ac:dyDescent="0.2">
      <c r="B4050" s="250" t="s">
        <v>7458</v>
      </c>
      <c r="C4050" s="253" t="s">
        <v>5</v>
      </c>
      <c r="D4050" s="253" t="s">
        <v>2013</v>
      </c>
      <c r="E4050" s="3">
        <v>9</v>
      </c>
      <c r="F4050" s="3">
        <f>6/4</f>
        <v>1.5</v>
      </c>
      <c r="G4050" s="4">
        <v>44540</v>
      </c>
    </row>
    <row r="4051" spans="2:18" x14ac:dyDescent="0.2">
      <c r="B4051" s="92" t="s">
        <v>6014</v>
      </c>
      <c r="C4051" s="93" t="s">
        <v>5</v>
      </c>
      <c r="D4051" s="93" t="s">
        <v>6010</v>
      </c>
      <c r="E4051" s="3">
        <v>3</v>
      </c>
      <c r="F4051" s="3">
        <v>1</v>
      </c>
      <c r="G4051" s="4">
        <v>44140</v>
      </c>
    </row>
    <row r="4052" spans="2:18" x14ac:dyDescent="0.2">
      <c r="B4052" s="160" t="s">
        <v>6417</v>
      </c>
      <c r="C4052" s="2" t="s">
        <v>5</v>
      </c>
      <c r="D4052" s="2" t="s">
        <v>2042</v>
      </c>
      <c r="E4052" s="3">
        <v>18</v>
      </c>
      <c r="F4052" s="3">
        <v>1</v>
      </c>
      <c r="G4052" s="4">
        <v>43445</v>
      </c>
    </row>
    <row r="4053" spans="2:18" x14ac:dyDescent="0.2">
      <c r="B4053" s="160" t="s">
        <v>6418</v>
      </c>
      <c r="C4053" s="2" t="s">
        <v>5</v>
      </c>
      <c r="D4053" s="2" t="s">
        <v>2042</v>
      </c>
      <c r="E4053" s="3">
        <v>18</v>
      </c>
      <c r="F4053" s="3">
        <v>1</v>
      </c>
      <c r="G4053" s="4">
        <v>43445</v>
      </c>
    </row>
    <row r="4054" spans="2:18" x14ac:dyDescent="0.2">
      <c r="B4054" s="160" t="s">
        <v>6575</v>
      </c>
      <c r="C4054" s="161" t="s">
        <v>5</v>
      </c>
      <c r="D4054" s="161" t="s">
        <v>2038</v>
      </c>
      <c r="E4054" s="3">
        <v>9.1</v>
      </c>
      <c r="F4054" s="3">
        <v>1</v>
      </c>
      <c r="G4054" s="4">
        <v>42087</v>
      </c>
    </row>
    <row r="4055" spans="2:18" x14ac:dyDescent="0.2">
      <c r="B4055" s="160" t="s">
        <v>6576</v>
      </c>
      <c r="C4055" s="161" t="s">
        <v>5</v>
      </c>
      <c r="D4055" s="161" t="s">
        <v>2038</v>
      </c>
      <c r="E4055" s="3">
        <v>9.1</v>
      </c>
      <c r="F4055" s="3">
        <v>1</v>
      </c>
      <c r="G4055" s="4">
        <v>42087</v>
      </c>
    </row>
    <row r="4056" spans="2:18" x14ac:dyDescent="0.2">
      <c r="B4056" s="160" t="s">
        <v>6585</v>
      </c>
      <c r="C4056" s="161" t="s">
        <v>5</v>
      </c>
      <c r="D4056" s="161" t="s">
        <v>2037</v>
      </c>
      <c r="E4056" s="3">
        <v>5</v>
      </c>
      <c r="F4056" s="3">
        <v>1</v>
      </c>
      <c r="G4056" s="4">
        <v>43888</v>
      </c>
    </row>
    <row r="4057" spans="2:18" x14ac:dyDescent="0.2">
      <c r="B4057" s="184" t="s">
        <v>6714</v>
      </c>
      <c r="C4057" s="185" t="s">
        <v>4</v>
      </c>
      <c r="D4057" s="185" t="s">
        <v>6708</v>
      </c>
      <c r="E4057" s="3">
        <v>5</v>
      </c>
      <c r="F4057" s="3">
        <v>1</v>
      </c>
      <c r="G4057" s="4">
        <v>44073</v>
      </c>
    </row>
    <row r="4058" spans="2:18" x14ac:dyDescent="0.2">
      <c r="B4058" s="184" t="s">
        <v>6715</v>
      </c>
      <c r="C4058" s="185" t="s">
        <v>4</v>
      </c>
      <c r="D4058" s="185" t="s">
        <v>6708</v>
      </c>
      <c r="E4058" s="3">
        <v>5</v>
      </c>
      <c r="F4058" s="3">
        <v>1</v>
      </c>
      <c r="G4058" s="4">
        <v>44073</v>
      </c>
    </row>
    <row r="4059" spans="2:18" x14ac:dyDescent="0.2">
      <c r="B4059" s="184" t="s">
        <v>6716</v>
      </c>
      <c r="C4059" s="185" t="s">
        <v>4</v>
      </c>
      <c r="D4059" s="185" t="s">
        <v>6708</v>
      </c>
      <c r="E4059" s="3">
        <v>5</v>
      </c>
      <c r="F4059" s="3">
        <v>1</v>
      </c>
      <c r="G4059" s="4">
        <v>44073</v>
      </c>
    </row>
    <row r="4060" spans="2:18" x14ac:dyDescent="0.2">
      <c r="B4060" s="184" t="s">
        <v>6739</v>
      </c>
      <c r="C4060" s="185" t="s">
        <v>4</v>
      </c>
      <c r="D4060" s="185" t="s">
        <v>2030</v>
      </c>
      <c r="E4060" s="3">
        <v>5</v>
      </c>
      <c r="F4060" s="3">
        <v>1</v>
      </c>
      <c r="G4060" s="4">
        <v>44105</v>
      </c>
    </row>
    <row r="4061" spans="2:18" x14ac:dyDescent="0.2">
      <c r="B4061" s="1" t="s">
        <v>571</v>
      </c>
      <c r="C4061" s="2" t="s">
        <v>4</v>
      </c>
      <c r="D4061" s="2" t="s">
        <v>565</v>
      </c>
      <c r="E4061" s="3">
        <v>9</v>
      </c>
      <c r="F4061" s="3">
        <f t="shared" ref="F4061:F4066" si="11">5/6</f>
        <v>0.83333333333333337</v>
      </c>
      <c r="G4061" s="4">
        <v>44859</v>
      </c>
      <c r="M4061" s="1"/>
      <c r="N4061" s="1"/>
      <c r="O4061" s="1"/>
      <c r="P4061" s="1"/>
      <c r="Q4061" s="1"/>
      <c r="R4061" s="1"/>
    </row>
    <row r="4062" spans="2:18" x14ac:dyDescent="0.2">
      <c r="B4062" s="1" t="s">
        <v>570</v>
      </c>
      <c r="C4062" s="2" t="s">
        <v>4</v>
      </c>
      <c r="D4062" s="2" t="s">
        <v>565</v>
      </c>
      <c r="E4062" s="3">
        <v>9</v>
      </c>
      <c r="F4062" s="3">
        <f t="shared" si="11"/>
        <v>0.83333333333333337</v>
      </c>
      <c r="G4062" s="4">
        <v>44859</v>
      </c>
      <c r="M4062" s="1"/>
      <c r="N4062" s="1"/>
      <c r="O4062" s="1"/>
      <c r="P4062" s="1"/>
      <c r="Q4062" s="1"/>
      <c r="R4062" s="1"/>
    </row>
    <row r="4063" spans="2:18" x14ac:dyDescent="0.2">
      <c r="B4063" s="1" t="s">
        <v>569</v>
      </c>
      <c r="C4063" s="2" t="s">
        <v>4</v>
      </c>
      <c r="D4063" s="2" t="s">
        <v>565</v>
      </c>
      <c r="E4063" s="3">
        <v>9</v>
      </c>
      <c r="F4063" s="3">
        <f t="shared" si="11"/>
        <v>0.83333333333333337</v>
      </c>
      <c r="G4063" s="4">
        <v>44859</v>
      </c>
      <c r="M4063" s="1"/>
      <c r="N4063" s="1"/>
      <c r="O4063" s="1"/>
      <c r="P4063" s="1"/>
      <c r="Q4063" s="1"/>
      <c r="R4063" s="1"/>
    </row>
    <row r="4064" spans="2:18" x14ac:dyDescent="0.2">
      <c r="B4064" s="1" t="s">
        <v>568</v>
      </c>
      <c r="C4064" s="2" t="s">
        <v>4</v>
      </c>
      <c r="D4064" s="2" t="s">
        <v>565</v>
      </c>
      <c r="E4064" s="3">
        <v>9</v>
      </c>
      <c r="F4064" s="3">
        <f t="shared" si="11"/>
        <v>0.83333333333333337</v>
      </c>
      <c r="G4064" s="4">
        <v>44859</v>
      </c>
      <c r="M4064" s="1"/>
      <c r="N4064" s="1"/>
      <c r="O4064" s="1"/>
      <c r="P4064" s="1"/>
      <c r="Q4064" s="1"/>
      <c r="R4064" s="1"/>
    </row>
    <row r="4065" spans="2:18" x14ac:dyDescent="0.2">
      <c r="B4065" s="1" t="s">
        <v>567</v>
      </c>
      <c r="C4065" s="2" t="s">
        <v>4</v>
      </c>
      <c r="D4065" s="2" t="s">
        <v>565</v>
      </c>
      <c r="E4065" s="3">
        <v>9</v>
      </c>
      <c r="F4065" s="3">
        <f t="shared" si="11"/>
        <v>0.83333333333333337</v>
      </c>
      <c r="G4065" s="4">
        <v>44859</v>
      </c>
      <c r="M4065" s="1"/>
      <c r="N4065" s="1"/>
      <c r="O4065" s="1"/>
      <c r="P4065" s="1"/>
      <c r="Q4065" s="1"/>
      <c r="R4065" s="1"/>
    </row>
    <row r="4066" spans="2:18" x14ac:dyDescent="0.2">
      <c r="B4066" s="1" t="s">
        <v>566</v>
      </c>
      <c r="C4066" s="2" t="s">
        <v>4</v>
      </c>
      <c r="D4066" s="2" t="s">
        <v>565</v>
      </c>
      <c r="E4066" s="3">
        <v>9</v>
      </c>
      <c r="F4066" s="3">
        <f t="shared" si="11"/>
        <v>0.83333333333333337</v>
      </c>
      <c r="G4066" s="4">
        <v>44859</v>
      </c>
      <c r="M4066" s="1"/>
      <c r="N4066" s="1"/>
      <c r="O4066" s="1"/>
      <c r="P4066" s="1"/>
      <c r="Q4066" s="1"/>
      <c r="R4066" s="1"/>
    </row>
    <row r="4067" spans="2:18" x14ac:dyDescent="0.2">
      <c r="B4067" s="1" t="s">
        <v>770</v>
      </c>
      <c r="C4067" s="2" t="s">
        <v>4</v>
      </c>
      <c r="D4067" s="2" t="s">
        <v>722</v>
      </c>
      <c r="E4067" s="3">
        <v>3</v>
      </c>
      <c r="F4067" s="3">
        <v>0.75</v>
      </c>
      <c r="G4067" s="4">
        <v>44011</v>
      </c>
      <c r="M4067" s="1"/>
      <c r="N4067" s="1"/>
      <c r="O4067" s="1"/>
      <c r="P4067" s="1"/>
      <c r="Q4067" s="1"/>
      <c r="R4067" s="1"/>
    </row>
    <row r="4068" spans="2:18" x14ac:dyDescent="0.2">
      <c r="B4068" s="1" t="s">
        <v>769</v>
      </c>
      <c r="C4068" s="2" t="s">
        <v>4</v>
      </c>
      <c r="D4068" s="2" t="s">
        <v>722</v>
      </c>
      <c r="E4068" s="3">
        <v>3</v>
      </c>
      <c r="F4068" s="3">
        <v>0.75</v>
      </c>
      <c r="G4068" s="4">
        <v>44011</v>
      </c>
      <c r="M4068" s="1"/>
      <c r="N4068" s="1"/>
      <c r="O4068" s="1"/>
      <c r="P4068" s="1"/>
      <c r="Q4068" s="1"/>
      <c r="R4068" s="1"/>
    </row>
    <row r="4069" spans="2:18" x14ac:dyDescent="0.2">
      <c r="B4069" s="1" t="s">
        <v>340</v>
      </c>
      <c r="C4069" s="2" t="s">
        <v>4</v>
      </c>
      <c r="D4069" s="2" t="s">
        <v>336</v>
      </c>
      <c r="E4069" s="3">
        <v>3</v>
      </c>
      <c r="F4069" s="3">
        <v>0.75</v>
      </c>
      <c r="G4069" s="4">
        <v>44327</v>
      </c>
      <c r="M4069" s="1"/>
      <c r="N4069" s="1"/>
      <c r="O4069" s="1"/>
      <c r="P4069" s="1"/>
      <c r="Q4069" s="1"/>
      <c r="R4069" s="1"/>
    </row>
    <row r="4070" spans="2:18" x14ac:dyDescent="0.2">
      <c r="B4070" s="1" t="s">
        <v>339</v>
      </c>
      <c r="C4070" s="2" t="s">
        <v>4</v>
      </c>
      <c r="D4070" s="2" t="s">
        <v>336</v>
      </c>
      <c r="E4070" s="3">
        <v>3</v>
      </c>
      <c r="F4070" s="3">
        <v>0.75</v>
      </c>
      <c r="G4070" s="4">
        <v>44327</v>
      </c>
      <c r="M4070" s="1"/>
      <c r="N4070" s="1"/>
      <c r="O4070" s="1"/>
      <c r="P4070" s="1"/>
      <c r="Q4070" s="1"/>
      <c r="R4070" s="1"/>
    </row>
    <row r="4071" spans="2:18" x14ac:dyDescent="0.2">
      <c r="B4071" s="1" t="s">
        <v>425</v>
      </c>
      <c r="C4071" s="2" t="s">
        <v>4</v>
      </c>
      <c r="D4071" s="2" t="s">
        <v>424</v>
      </c>
      <c r="E4071" s="3">
        <v>7</v>
      </c>
      <c r="F4071" s="3">
        <v>0.7142857142857143</v>
      </c>
      <c r="G4071" s="4">
        <v>43046</v>
      </c>
      <c r="M4071" s="1"/>
      <c r="N4071" s="1"/>
      <c r="O4071" s="1"/>
      <c r="P4071" s="1"/>
      <c r="Q4071" s="1"/>
      <c r="R4071" s="1"/>
    </row>
    <row r="4072" spans="2:18" x14ac:dyDescent="0.2">
      <c r="B4072" s="1" t="s">
        <v>768</v>
      </c>
      <c r="C4072" s="2" t="s">
        <v>4</v>
      </c>
      <c r="D4072" s="2" t="s">
        <v>765</v>
      </c>
      <c r="E4072" s="3">
        <v>4</v>
      </c>
      <c r="F4072" s="3">
        <f>2/3</f>
        <v>0.66666666666666663</v>
      </c>
      <c r="G4072" s="4">
        <v>45026</v>
      </c>
      <c r="M4072" s="1"/>
      <c r="N4072" s="1"/>
      <c r="O4072" s="1"/>
      <c r="P4072" s="1"/>
      <c r="Q4072" s="1"/>
      <c r="R4072" s="1"/>
    </row>
    <row r="4073" spans="2:18" x14ac:dyDescent="0.2">
      <c r="B4073" s="1" t="s">
        <v>767</v>
      </c>
      <c r="C4073" s="2" t="s">
        <v>4</v>
      </c>
      <c r="D4073" s="2" t="s">
        <v>765</v>
      </c>
      <c r="E4073" s="3">
        <v>4</v>
      </c>
      <c r="F4073" s="3">
        <f>2/3</f>
        <v>0.66666666666666663</v>
      </c>
      <c r="G4073" s="4">
        <v>45026</v>
      </c>
      <c r="M4073" s="1"/>
      <c r="N4073" s="1"/>
      <c r="O4073" s="1"/>
      <c r="P4073" s="1"/>
      <c r="Q4073" s="1"/>
      <c r="R4073" s="1"/>
    </row>
    <row r="4074" spans="2:18" x14ac:dyDescent="0.2">
      <c r="B4074" s="1" t="s">
        <v>766</v>
      </c>
      <c r="C4074" s="2" t="s">
        <v>4</v>
      </c>
      <c r="D4074" s="2" t="s">
        <v>765</v>
      </c>
      <c r="E4074" s="3">
        <v>4</v>
      </c>
      <c r="F4074" s="3">
        <f>2/3</f>
        <v>0.66666666666666663</v>
      </c>
      <c r="G4074" s="4">
        <v>45026</v>
      </c>
      <c r="M4074" s="1"/>
      <c r="N4074" s="1"/>
      <c r="O4074" s="1"/>
      <c r="P4074" s="1"/>
      <c r="Q4074" s="1"/>
      <c r="R4074" s="1"/>
    </row>
    <row r="4075" spans="2:18" x14ac:dyDescent="0.2">
      <c r="B4075" s="1" t="s">
        <v>116</v>
      </c>
      <c r="C4075" s="2" t="s">
        <v>4</v>
      </c>
      <c r="D4075" s="2" t="s">
        <v>110</v>
      </c>
      <c r="E4075" s="3">
        <v>8</v>
      </c>
      <c r="F4075" s="3">
        <f t="shared" ref="F4075:F4080" si="12">5/8</f>
        <v>0.625</v>
      </c>
      <c r="G4075" s="4">
        <v>44063</v>
      </c>
    </row>
    <row r="4076" spans="2:18" x14ac:dyDescent="0.2">
      <c r="B4076" s="1" t="s">
        <v>115</v>
      </c>
      <c r="C4076" s="2" t="s">
        <v>4</v>
      </c>
      <c r="D4076" s="2" t="s">
        <v>110</v>
      </c>
      <c r="E4076" s="3">
        <v>8</v>
      </c>
      <c r="F4076" s="3">
        <f t="shared" si="12"/>
        <v>0.625</v>
      </c>
      <c r="G4076" s="4">
        <v>44063</v>
      </c>
    </row>
    <row r="4077" spans="2:18" x14ac:dyDescent="0.2">
      <c r="B4077" s="1" t="s">
        <v>114</v>
      </c>
      <c r="C4077" s="2" t="s">
        <v>4</v>
      </c>
      <c r="D4077" s="2" t="s">
        <v>110</v>
      </c>
      <c r="E4077" s="3">
        <v>8</v>
      </c>
      <c r="F4077" s="3">
        <f t="shared" si="12"/>
        <v>0.625</v>
      </c>
      <c r="G4077" s="4">
        <v>44063</v>
      </c>
    </row>
    <row r="4078" spans="2:18" x14ac:dyDescent="0.2">
      <c r="B4078" s="1" t="s">
        <v>113</v>
      </c>
      <c r="C4078" s="2" t="s">
        <v>4</v>
      </c>
      <c r="D4078" s="2" t="s">
        <v>110</v>
      </c>
      <c r="E4078" s="3">
        <v>8</v>
      </c>
      <c r="F4078" s="3">
        <f t="shared" si="12"/>
        <v>0.625</v>
      </c>
      <c r="G4078" s="4">
        <v>44063</v>
      </c>
    </row>
    <row r="4079" spans="2:18" x14ac:dyDescent="0.2">
      <c r="B4079" s="1" t="s">
        <v>112</v>
      </c>
      <c r="C4079" s="2" t="s">
        <v>4</v>
      </c>
      <c r="D4079" s="2" t="s">
        <v>110</v>
      </c>
      <c r="E4079" s="3">
        <v>8</v>
      </c>
      <c r="F4079" s="3">
        <f t="shared" si="12"/>
        <v>0.625</v>
      </c>
      <c r="G4079" s="4">
        <v>44063</v>
      </c>
    </row>
    <row r="4080" spans="2:18" x14ac:dyDescent="0.2">
      <c r="B4080" s="1" t="s">
        <v>111</v>
      </c>
      <c r="C4080" s="2" t="s">
        <v>4</v>
      </c>
      <c r="D4080" s="2" t="s">
        <v>110</v>
      </c>
      <c r="E4080" s="3">
        <v>8</v>
      </c>
      <c r="F4080" s="3">
        <f t="shared" si="12"/>
        <v>0.625</v>
      </c>
      <c r="G4080" s="4">
        <v>44063</v>
      </c>
    </row>
    <row r="4081" spans="2:18" x14ac:dyDescent="0.2">
      <c r="B4081" s="1" t="s">
        <v>438</v>
      </c>
      <c r="C4081" s="2" t="s">
        <v>7</v>
      </c>
      <c r="D4081" s="2" t="s">
        <v>435</v>
      </c>
      <c r="E4081" s="3">
        <v>1.8</v>
      </c>
      <c r="F4081" s="3">
        <v>0.6</v>
      </c>
      <c r="G4081" s="4">
        <v>43661</v>
      </c>
      <c r="M4081" s="1"/>
      <c r="N4081" s="1"/>
      <c r="O4081" s="1"/>
      <c r="P4081" s="1"/>
      <c r="Q4081" s="1"/>
      <c r="R4081" s="1"/>
    </row>
    <row r="4082" spans="2:18" x14ac:dyDescent="0.2">
      <c r="B4082" s="1" t="s">
        <v>437</v>
      </c>
      <c r="C4082" s="2" t="s">
        <v>7</v>
      </c>
      <c r="D4082" s="2" t="s">
        <v>435</v>
      </c>
      <c r="E4082" s="3">
        <v>1.8</v>
      </c>
      <c r="F4082" s="3">
        <v>0.6</v>
      </c>
      <c r="G4082" s="4">
        <v>43661</v>
      </c>
      <c r="M4082" s="1"/>
      <c r="N4082" s="1"/>
      <c r="O4082" s="1"/>
      <c r="P4082" s="1"/>
      <c r="Q4082" s="1"/>
      <c r="R4082" s="1"/>
    </row>
    <row r="4083" spans="2:18" x14ac:dyDescent="0.2">
      <c r="B4083" s="1" t="s">
        <v>762</v>
      </c>
      <c r="C4083" s="2" t="s">
        <v>4</v>
      </c>
      <c r="D4083" s="2" t="s">
        <v>663</v>
      </c>
      <c r="E4083" s="3">
        <v>4.5</v>
      </c>
      <c r="F4083" s="3">
        <v>0.5</v>
      </c>
      <c r="G4083" s="4">
        <v>44415</v>
      </c>
      <c r="M4083" s="1"/>
      <c r="N4083" s="1"/>
      <c r="O4083" s="1"/>
      <c r="P4083" s="1"/>
      <c r="Q4083" s="1"/>
      <c r="R4083" s="1"/>
    </row>
    <row r="4084" spans="2:18" x14ac:dyDescent="0.2">
      <c r="B4084" s="1" t="s">
        <v>761</v>
      </c>
      <c r="C4084" s="2" t="s">
        <v>4</v>
      </c>
      <c r="D4084" s="2" t="s">
        <v>720</v>
      </c>
      <c r="E4084" s="3">
        <v>2.1</v>
      </c>
      <c r="F4084" s="3">
        <v>0.5</v>
      </c>
      <c r="G4084" s="4">
        <v>44455</v>
      </c>
      <c r="M4084" s="1"/>
      <c r="N4084" s="1"/>
      <c r="O4084" s="1"/>
      <c r="P4084" s="1"/>
      <c r="Q4084" s="1"/>
      <c r="R4084" s="1"/>
    </row>
    <row r="4085" spans="2:18" x14ac:dyDescent="0.2">
      <c r="B4085" s="1" t="s">
        <v>760</v>
      </c>
      <c r="C4085" s="2" t="s">
        <v>4</v>
      </c>
      <c r="D4085" s="2" t="s">
        <v>730</v>
      </c>
      <c r="E4085" s="3">
        <v>4</v>
      </c>
      <c r="F4085" s="3">
        <v>0.5</v>
      </c>
      <c r="G4085" s="4">
        <v>44340</v>
      </c>
      <c r="M4085" s="1"/>
      <c r="N4085" s="1"/>
      <c r="O4085" s="1"/>
      <c r="P4085" s="1"/>
      <c r="Q4085" s="1"/>
      <c r="R4085" s="1"/>
    </row>
    <row r="4086" spans="2:18" x14ac:dyDescent="0.2">
      <c r="B4086" s="1" t="s">
        <v>758</v>
      </c>
      <c r="C4086" s="2" t="s">
        <v>4</v>
      </c>
      <c r="D4086" s="2" t="s">
        <v>676</v>
      </c>
      <c r="E4086" s="3">
        <v>4.5</v>
      </c>
      <c r="F4086" s="3">
        <v>0.5</v>
      </c>
      <c r="G4086" s="4">
        <v>44362</v>
      </c>
      <c r="M4086" s="1"/>
      <c r="N4086" s="1"/>
      <c r="O4086" s="1"/>
      <c r="P4086" s="1"/>
      <c r="Q4086" s="1"/>
      <c r="R4086" s="1"/>
    </row>
    <row r="4087" spans="2:18" x14ac:dyDescent="0.2">
      <c r="B4087" s="1" t="s">
        <v>757</v>
      </c>
      <c r="C4087" s="2" t="s">
        <v>4</v>
      </c>
      <c r="D4087" s="2" t="s">
        <v>672</v>
      </c>
      <c r="E4087" s="3">
        <v>3</v>
      </c>
      <c r="F4087" s="3">
        <v>0.5</v>
      </c>
      <c r="G4087" s="4">
        <v>43993</v>
      </c>
      <c r="M4087" s="1"/>
      <c r="N4087" s="1"/>
      <c r="O4087" s="1"/>
      <c r="P4087" s="1"/>
      <c r="Q4087" s="1"/>
      <c r="R4087" s="1"/>
    </row>
    <row r="4088" spans="2:18" x14ac:dyDescent="0.2">
      <c r="B4088" s="1" t="s">
        <v>756</v>
      </c>
      <c r="C4088" s="2" t="s">
        <v>4</v>
      </c>
      <c r="D4088" s="2" t="s">
        <v>672</v>
      </c>
      <c r="E4088" s="3">
        <v>3</v>
      </c>
      <c r="F4088" s="3">
        <v>0.5</v>
      </c>
      <c r="G4088" s="4">
        <v>43993</v>
      </c>
      <c r="M4088" s="1"/>
      <c r="N4088" s="1"/>
      <c r="O4088" s="1"/>
      <c r="P4088" s="1"/>
      <c r="Q4088" s="1"/>
      <c r="R4088" s="1"/>
    </row>
    <row r="4089" spans="2:18" x14ac:dyDescent="0.2">
      <c r="B4089" s="1" t="s">
        <v>754</v>
      </c>
      <c r="C4089" s="2" t="s">
        <v>4</v>
      </c>
      <c r="D4089" s="2" t="s">
        <v>640</v>
      </c>
      <c r="E4089" s="3">
        <v>2.2000000000000002</v>
      </c>
      <c r="F4089" s="3">
        <v>0.5</v>
      </c>
      <c r="G4089" s="4">
        <v>44959</v>
      </c>
      <c r="M4089" s="1"/>
      <c r="N4089" s="1"/>
      <c r="O4089" s="1"/>
      <c r="P4089" s="1"/>
      <c r="Q4089" s="1"/>
      <c r="R4089" s="1"/>
    </row>
    <row r="4090" spans="2:18" x14ac:dyDescent="0.2">
      <c r="B4090" s="1" t="s">
        <v>753</v>
      </c>
      <c r="C4090" s="2" t="s">
        <v>4</v>
      </c>
      <c r="D4090" s="2" t="s">
        <v>640</v>
      </c>
      <c r="E4090" s="3">
        <v>2.2000000000000002</v>
      </c>
      <c r="F4090" s="3">
        <v>0.5</v>
      </c>
      <c r="G4090" s="4">
        <v>44959</v>
      </c>
      <c r="M4090" s="1"/>
      <c r="N4090" s="1"/>
      <c r="O4090" s="1"/>
      <c r="P4090" s="1"/>
      <c r="Q4090" s="1"/>
      <c r="R4090" s="1"/>
    </row>
    <row r="4091" spans="2:18" x14ac:dyDescent="0.2">
      <c r="B4091" s="1" t="s">
        <v>752</v>
      </c>
      <c r="C4091" s="2" t="s">
        <v>4</v>
      </c>
      <c r="D4091" s="2" t="s">
        <v>719</v>
      </c>
      <c r="E4091" s="3">
        <v>2.9</v>
      </c>
      <c r="F4091" s="3">
        <v>0.5</v>
      </c>
      <c r="G4091" s="4">
        <v>44272</v>
      </c>
      <c r="M4091" s="1"/>
      <c r="N4091" s="1"/>
      <c r="O4091" s="1"/>
      <c r="P4091" s="1"/>
      <c r="Q4091" s="1"/>
      <c r="R4091" s="1"/>
    </row>
    <row r="4092" spans="2:18" x14ac:dyDescent="0.2">
      <c r="B4092" s="1" t="s">
        <v>751</v>
      </c>
      <c r="C4092" s="2" t="s">
        <v>4</v>
      </c>
      <c r="D4092" s="2" t="s">
        <v>638</v>
      </c>
      <c r="E4092" s="3">
        <v>1.5</v>
      </c>
      <c r="F4092" s="3">
        <v>0.5</v>
      </c>
      <c r="G4092" s="4">
        <v>44098</v>
      </c>
      <c r="M4092" s="1"/>
      <c r="N4092" s="1"/>
      <c r="O4092" s="1"/>
      <c r="P4092" s="1"/>
      <c r="Q4092" s="1"/>
      <c r="R4092" s="1"/>
    </row>
    <row r="4093" spans="2:18" x14ac:dyDescent="0.2">
      <c r="B4093" s="1" t="s">
        <v>750</v>
      </c>
      <c r="C4093" s="2" t="s">
        <v>4</v>
      </c>
      <c r="D4093" s="2" t="s">
        <v>403</v>
      </c>
      <c r="E4093" s="3">
        <v>3.1</v>
      </c>
      <c r="F4093" s="3">
        <v>0.5</v>
      </c>
      <c r="G4093" s="4">
        <v>43580</v>
      </c>
      <c r="M4093" s="1"/>
      <c r="N4093" s="1"/>
      <c r="O4093" s="1"/>
      <c r="P4093" s="1"/>
      <c r="Q4093" s="1"/>
      <c r="R4093" s="1"/>
    </row>
    <row r="4094" spans="2:18" x14ac:dyDescent="0.2">
      <c r="G4094" s="4"/>
      <c r="M4094" s="1"/>
      <c r="N4094" s="1"/>
      <c r="O4094" s="1"/>
      <c r="P4094" s="1"/>
      <c r="Q4094" s="1"/>
      <c r="R4094" s="1"/>
    </row>
    <row r="4095" spans="2:18" x14ac:dyDescent="0.2">
      <c r="B4095" s="1" t="s">
        <v>597</v>
      </c>
      <c r="C4095" s="2" t="s">
        <v>278</v>
      </c>
      <c r="D4095" s="2" t="s">
        <v>596</v>
      </c>
      <c r="E4095" s="3">
        <v>1</v>
      </c>
      <c r="F4095" s="3">
        <v>0.5</v>
      </c>
      <c r="G4095" s="4">
        <v>44415</v>
      </c>
      <c r="M4095" s="1"/>
      <c r="N4095" s="1"/>
      <c r="O4095" s="1"/>
      <c r="P4095" s="1"/>
      <c r="Q4095" s="1"/>
      <c r="R4095" s="1"/>
    </row>
    <row r="4096" spans="2:18" x14ac:dyDescent="0.2">
      <c r="C4096" s="239" t="s">
        <v>4</v>
      </c>
      <c r="D4096" s="2" t="s">
        <v>2020</v>
      </c>
      <c r="E4096" s="3">
        <v>4</v>
      </c>
      <c r="F4096" s="3">
        <v>1</v>
      </c>
      <c r="G4096" s="4">
        <v>44097</v>
      </c>
      <c r="M4096" s="1"/>
      <c r="N4096" s="1"/>
      <c r="O4096" s="1"/>
      <c r="P4096" s="1"/>
      <c r="Q4096" s="1"/>
      <c r="R4096" s="1"/>
    </row>
    <row r="4097" spans="2:18" x14ac:dyDescent="0.2">
      <c r="C4097" s="239"/>
      <c r="G4097" s="4"/>
      <c r="M4097" s="1"/>
      <c r="N4097" s="1"/>
      <c r="O4097" s="1"/>
      <c r="P4097" s="1"/>
      <c r="Q4097" s="1"/>
      <c r="R4097" s="1"/>
    </row>
    <row r="4098" spans="2:18" x14ac:dyDescent="0.2">
      <c r="B4098" s="1" t="s">
        <v>528</v>
      </c>
      <c r="C4098" s="2" t="s">
        <v>5</v>
      </c>
      <c r="D4098" s="2" t="s">
        <v>520</v>
      </c>
      <c r="E4098" s="3">
        <v>7</v>
      </c>
      <c r="F4098" s="3">
        <v>0.5</v>
      </c>
      <c r="G4098" s="4">
        <v>42885</v>
      </c>
      <c r="M4098" s="1"/>
      <c r="N4098" s="1"/>
      <c r="O4098" s="1"/>
      <c r="P4098" s="1"/>
      <c r="Q4098" s="1"/>
      <c r="R4098" s="1"/>
    </row>
    <row r="4099" spans="2:18" x14ac:dyDescent="0.2">
      <c r="B4099" s="1" t="s">
        <v>527</v>
      </c>
      <c r="C4099" s="2" t="s">
        <v>4</v>
      </c>
      <c r="D4099" s="2" t="s">
        <v>520</v>
      </c>
      <c r="E4099" s="3">
        <v>3</v>
      </c>
      <c r="F4099" s="3">
        <v>0.5</v>
      </c>
      <c r="G4099" s="4">
        <v>42606</v>
      </c>
      <c r="M4099" s="1"/>
      <c r="N4099" s="1"/>
      <c r="O4099" s="1"/>
      <c r="P4099" s="1"/>
      <c r="Q4099" s="1"/>
      <c r="R4099" s="1"/>
    </row>
    <row r="4100" spans="2:18" x14ac:dyDescent="0.2">
      <c r="B4100" s="1" t="s">
        <v>524</v>
      </c>
      <c r="C4100" s="2" t="s">
        <v>4</v>
      </c>
      <c r="D4100" s="2" t="s">
        <v>520</v>
      </c>
      <c r="E4100" s="3">
        <v>3</v>
      </c>
      <c r="F4100" s="3">
        <v>0.5</v>
      </c>
      <c r="G4100" s="4">
        <v>42606</v>
      </c>
      <c r="M4100" s="1"/>
      <c r="N4100" s="1"/>
      <c r="O4100" s="1"/>
      <c r="P4100" s="1"/>
      <c r="Q4100" s="1"/>
      <c r="R4100" s="1"/>
    </row>
    <row r="4101" spans="2:18" x14ac:dyDescent="0.2">
      <c r="B4101" s="1" t="s">
        <v>523</v>
      </c>
      <c r="C4101" s="2" t="s">
        <v>4</v>
      </c>
      <c r="D4101" s="2" t="s">
        <v>520</v>
      </c>
      <c r="E4101" s="3">
        <v>3</v>
      </c>
      <c r="F4101" s="3">
        <v>0.5</v>
      </c>
      <c r="G4101" s="4">
        <v>42606</v>
      </c>
      <c r="M4101" s="1"/>
      <c r="N4101" s="1"/>
      <c r="O4101" s="1"/>
      <c r="P4101" s="1"/>
      <c r="Q4101" s="1"/>
      <c r="R4101" s="1"/>
    </row>
    <row r="4102" spans="2:18" x14ac:dyDescent="0.2">
      <c r="B4102" s="1" t="s">
        <v>522</v>
      </c>
      <c r="C4102" s="2" t="s">
        <v>4</v>
      </c>
      <c r="D4102" s="2" t="s">
        <v>520</v>
      </c>
      <c r="E4102" s="3">
        <v>3</v>
      </c>
      <c r="F4102" s="3">
        <v>0.5</v>
      </c>
      <c r="G4102" s="4">
        <v>42606</v>
      </c>
      <c r="M4102" s="1"/>
      <c r="N4102" s="1"/>
      <c r="O4102" s="1"/>
      <c r="P4102" s="1"/>
      <c r="Q4102" s="1"/>
      <c r="R4102" s="1"/>
    </row>
    <row r="4103" spans="2:18" x14ac:dyDescent="0.2">
      <c r="B4103" s="1" t="s">
        <v>521</v>
      </c>
      <c r="C4103" s="2" t="s">
        <v>4</v>
      </c>
      <c r="D4103" s="2" t="s">
        <v>520</v>
      </c>
      <c r="E4103" s="3">
        <v>3</v>
      </c>
      <c r="F4103" s="3">
        <v>0.5</v>
      </c>
      <c r="G4103" s="4">
        <v>42606</v>
      </c>
      <c r="M4103" s="1"/>
      <c r="N4103" s="1"/>
      <c r="O4103" s="1"/>
      <c r="P4103" s="1"/>
      <c r="Q4103" s="1"/>
      <c r="R4103" s="1"/>
    </row>
    <row r="4104" spans="2:18" x14ac:dyDescent="0.2">
      <c r="B4104" s="1" t="s">
        <v>482</v>
      </c>
      <c r="C4104" s="2" t="s">
        <v>4</v>
      </c>
      <c r="D4104" s="2" t="s">
        <v>481</v>
      </c>
      <c r="E4104" s="3">
        <v>2</v>
      </c>
      <c r="F4104" s="3">
        <v>0.5</v>
      </c>
      <c r="G4104" s="4">
        <v>43876</v>
      </c>
      <c r="M4104" s="1"/>
      <c r="N4104" s="1"/>
      <c r="O4104" s="1"/>
      <c r="P4104" s="1"/>
      <c r="Q4104" s="1"/>
      <c r="R4104" s="1"/>
    </row>
    <row r="4105" spans="2:18" x14ac:dyDescent="0.2">
      <c r="B4105" s="1" t="s">
        <v>443</v>
      </c>
      <c r="C4105" s="2" t="s">
        <v>4</v>
      </c>
      <c r="D4105" s="2" t="s">
        <v>439</v>
      </c>
      <c r="E4105" s="3">
        <v>7</v>
      </c>
      <c r="F4105" s="3">
        <v>0.5</v>
      </c>
      <c r="G4105" s="4">
        <v>44602</v>
      </c>
      <c r="M4105" s="1"/>
      <c r="N4105" s="1"/>
      <c r="O4105" s="1"/>
      <c r="P4105" s="1"/>
      <c r="Q4105" s="1"/>
      <c r="R4105" s="1"/>
    </row>
    <row r="4106" spans="2:18" x14ac:dyDescent="0.2">
      <c r="B4106" s="1" t="s">
        <v>441</v>
      </c>
      <c r="C4106" s="2" t="s">
        <v>4</v>
      </c>
      <c r="D4106" s="2" t="s">
        <v>439</v>
      </c>
      <c r="E4106" s="3">
        <v>7</v>
      </c>
      <c r="F4106" s="3">
        <v>0.5</v>
      </c>
      <c r="G4106" s="4">
        <v>44602</v>
      </c>
      <c r="M4106" s="1"/>
      <c r="N4106" s="1"/>
      <c r="O4106" s="1"/>
      <c r="P4106" s="1"/>
      <c r="Q4106" s="1"/>
      <c r="R4106" s="1"/>
    </row>
    <row r="4107" spans="2:18" x14ac:dyDescent="0.2">
      <c r="B4107" s="1" t="s">
        <v>375</v>
      </c>
      <c r="C4107" s="2" t="s">
        <v>4</v>
      </c>
      <c r="D4107" s="2" t="s">
        <v>374</v>
      </c>
      <c r="E4107" s="3">
        <v>2.5</v>
      </c>
      <c r="F4107" s="3">
        <v>0.5</v>
      </c>
      <c r="G4107" s="4">
        <v>42936</v>
      </c>
      <c r="M4107" s="1"/>
      <c r="N4107" s="1"/>
      <c r="O4107" s="1"/>
      <c r="P4107" s="1"/>
      <c r="Q4107" s="1"/>
      <c r="R4107" s="1"/>
    </row>
    <row r="4108" spans="2:18" x14ac:dyDescent="0.2">
      <c r="B4108" s="1" t="s">
        <v>345</v>
      </c>
      <c r="C4108" s="2" t="s">
        <v>4</v>
      </c>
      <c r="D4108" s="2" t="s">
        <v>341</v>
      </c>
      <c r="E4108" s="3">
        <v>3.5</v>
      </c>
      <c r="F4108" s="3">
        <v>0.5</v>
      </c>
      <c r="G4108" s="4">
        <v>44636</v>
      </c>
      <c r="M4108" s="1"/>
      <c r="N4108" s="1"/>
      <c r="O4108" s="1"/>
      <c r="P4108" s="1"/>
      <c r="Q4108" s="1"/>
      <c r="R4108" s="1"/>
    </row>
    <row r="4109" spans="2:18" x14ac:dyDescent="0.2">
      <c r="B4109" s="1" t="s">
        <v>344</v>
      </c>
      <c r="C4109" s="2" t="s">
        <v>4</v>
      </c>
      <c r="D4109" s="2" t="s">
        <v>341</v>
      </c>
      <c r="E4109" s="3">
        <v>3.5</v>
      </c>
      <c r="F4109" s="3">
        <v>0.5</v>
      </c>
      <c r="G4109" s="4">
        <v>44636</v>
      </c>
      <c r="M4109" s="1"/>
      <c r="N4109" s="1"/>
      <c r="O4109" s="1"/>
      <c r="P4109" s="1"/>
      <c r="Q4109" s="1"/>
      <c r="R4109" s="1"/>
    </row>
    <row r="4110" spans="2:18" x14ac:dyDescent="0.2">
      <c r="B4110" s="1" t="s">
        <v>126</v>
      </c>
      <c r="C4110" s="2" t="s">
        <v>4</v>
      </c>
      <c r="D4110" s="2" t="s">
        <v>122</v>
      </c>
      <c r="E4110" s="3">
        <v>2</v>
      </c>
      <c r="F4110" s="3">
        <v>0.5</v>
      </c>
      <c r="G4110" s="4">
        <v>44658</v>
      </c>
    </row>
    <row r="4111" spans="2:18" x14ac:dyDescent="0.2">
      <c r="B4111" s="1" t="s">
        <v>125</v>
      </c>
      <c r="C4111" s="2" t="s">
        <v>4</v>
      </c>
      <c r="D4111" s="2" t="s">
        <v>122</v>
      </c>
      <c r="E4111" s="3">
        <v>2</v>
      </c>
      <c r="F4111" s="3">
        <v>0.5</v>
      </c>
      <c r="G4111" s="4">
        <v>44658</v>
      </c>
    </row>
    <row r="4112" spans="2:18" x14ac:dyDescent="0.2">
      <c r="B4112" s="184" t="s">
        <v>6718</v>
      </c>
      <c r="C4112" s="93" t="s">
        <v>4</v>
      </c>
      <c r="D4112" s="93" t="s">
        <v>2104</v>
      </c>
      <c r="E4112" s="3">
        <v>2.5</v>
      </c>
      <c r="F4112" s="3">
        <v>0.5</v>
      </c>
      <c r="G4112" s="4">
        <v>43401</v>
      </c>
    </row>
    <row r="4113" spans="2:18" x14ac:dyDescent="0.2">
      <c r="B4113" s="92" t="s">
        <v>5243</v>
      </c>
      <c r="C4113" s="93" t="s">
        <v>4</v>
      </c>
      <c r="D4113" s="93" t="s">
        <v>2104</v>
      </c>
      <c r="E4113" s="3">
        <v>2.5</v>
      </c>
      <c r="F4113" s="3">
        <v>0.5</v>
      </c>
      <c r="G4113" s="4">
        <v>43401</v>
      </c>
    </row>
    <row r="4114" spans="2:18" x14ac:dyDescent="0.2">
      <c r="B4114" s="135" t="s">
        <v>6329</v>
      </c>
      <c r="C4114" s="141" t="s">
        <v>4</v>
      </c>
      <c r="D4114" s="141" t="s">
        <v>6320</v>
      </c>
      <c r="E4114" s="3">
        <v>5</v>
      </c>
      <c r="F4114" s="3">
        <v>0.5</v>
      </c>
      <c r="G4114" s="4">
        <v>43335</v>
      </c>
    </row>
    <row r="4115" spans="2:18" x14ac:dyDescent="0.2">
      <c r="B4115" s="135" t="s">
        <v>6330</v>
      </c>
      <c r="C4115" s="141" t="s">
        <v>4</v>
      </c>
      <c r="D4115" s="141" t="s">
        <v>6320</v>
      </c>
      <c r="E4115" s="3">
        <v>5</v>
      </c>
      <c r="F4115" s="3">
        <v>0.5</v>
      </c>
      <c r="G4115" s="4">
        <v>43335</v>
      </c>
    </row>
    <row r="4116" spans="2:18" x14ac:dyDescent="0.2">
      <c r="B4116" s="135" t="s">
        <v>6331</v>
      </c>
      <c r="C4116" s="141" t="s">
        <v>4</v>
      </c>
      <c r="D4116" s="141" t="s">
        <v>6320</v>
      </c>
      <c r="E4116" s="3">
        <v>5</v>
      </c>
      <c r="F4116" s="3">
        <v>0.5</v>
      </c>
      <c r="G4116" s="4">
        <v>43335</v>
      </c>
    </row>
    <row r="4117" spans="2:18" x14ac:dyDescent="0.2">
      <c r="B4117" s="160" t="s">
        <v>6394</v>
      </c>
      <c r="C4117" s="161" t="s">
        <v>4</v>
      </c>
      <c r="D4117" s="161" t="s">
        <v>2049</v>
      </c>
      <c r="E4117" s="3">
        <v>3</v>
      </c>
      <c r="F4117" s="3">
        <f>2/4</f>
        <v>0.5</v>
      </c>
      <c r="G4117" s="4">
        <v>42628</v>
      </c>
    </row>
    <row r="4118" spans="2:18" x14ac:dyDescent="0.2">
      <c r="B4118" s="160" t="s">
        <v>6395</v>
      </c>
      <c r="C4118" s="161" t="s">
        <v>4</v>
      </c>
      <c r="D4118" s="161" t="s">
        <v>2049</v>
      </c>
      <c r="E4118" s="3">
        <v>3</v>
      </c>
      <c r="F4118" s="3">
        <f>2/4</f>
        <v>0.5</v>
      </c>
      <c r="G4118" s="4">
        <v>42628</v>
      </c>
    </row>
    <row r="4119" spans="2:18" x14ac:dyDescent="0.2">
      <c r="B4119" s="184" t="s">
        <v>6756</v>
      </c>
      <c r="C4119" s="185" t="s">
        <v>4</v>
      </c>
      <c r="D4119" s="185" t="s">
        <v>2026</v>
      </c>
      <c r="E4119" s="3">
        <v>3.5</v>
      </c>
      <c r="F4119" s="3">
        <v>0.5</v>
      </c>
      <c r="G4119" s="4">
        <v>44609</v>
      </c>
    </row>
    <row r="4120" spans="2:18" x14ac:dyDescent="0.2">
      <c r="B4120" s="160" t="s">
        <v>6439</v>
      </c>
      <c r="C4120" s="161" t="s">
        <v>4</v>
      </c>
      <c r="D4120" s="2" t="s">
        <v>2040</v>
      </c>
      <c r="E4120" s="3">
        <v>2.9</v>
      </c>
      <c r="F4120" s="3">
        <f>0.9/2</f>
        <v>0.45</v>
      </c>
      <c r="G4120" s="4">
        <v>43221</v>
      </c>
    </row>
    <row r="4121" spans="2:18" x14ac:dyDescent="0.2">
      <c r="B4121" s="1" t="s">
        <v>748</v>
      </c>
      <c r="C4121" s="2" t="s">
        <v>4</v>
      </c>
      <c r="D4121" s="2" t="s">
        <v>745</v>
      </c>
      <c r="E4121" s="3">
        <v>2.6</v>
      </c>
      <c r="F4121" s="3">
        <f>1.6/4</f>
        <v>0.4</v>
      </c>
      <c r="G4121" s="4">
        <v>44147</v>
      </c>
      <c r="M4121" s="1"/>
      <c r="N4121" s="1"/>
      <c r="O4121" s="1"/>
      <c r="P4121" s="1"/>
      <c r="Q4121" s="1"/>
      <c r="R4121" s="1"/>
    </row>
    <row r="4122" spans="2:18" x14ac:dyDescent="0.2">
      <c r="B4122" s="1" t="s">
        <v>747</v>
      </c>
      <c r="C4122" s="2" t="s">
        <v>4</v>
      </c>
      <c r="D4122" s="2" t="s">
        <v>745</v>
      </c>
      <c r="E4122" s="3">
        <v>2.6</v>
      </c>
      <c r="F4122" s="3">
        <f>1.6/4</f>
        <v>0.4</v>
      </c>
      <c r="G4122" s="4">
        <v>44147</v>
      </c>
      <c r="M4122" s="1"/>
      <c r="N4122" s="1"/>
      <c r="O4122" s="1"/>
      <c r="P4122" s="1"/>
      <c r="Q4122" s="1"/>
      <c r="R4122" s="1"/>
    </row>
    <row r="4123" spans="2:18" x14ac:dyDescent="0.2">
      <c r="B4123" s="1" t="s">
        <v>746</v>
      </c>
      <c r="C4123" s="2" t="s">
        <v>4</v>
      </c>
      <c r="D4123" s="2" t="s">
        <v>745</v>
      </c>
      <c r="E4123" s="3">
        <v>2.6</v>
      </c>
      <c r="F4123" s="3">
        <f>1.6/4</f>
        <v>0.4</v>
      </c>
      <c r="G4123" s="4">
        <v>44147</v>
      </c>
      <c r="M4123" s="1"/>
      <c r="N4123" s="1"/>
      <c r="O4123" s="1"/>
      <c r="P4123" s="1"/>
      <c r="Q4123" s="1"/>
      <c r="R4123" s="1"/>
    </row>
    <row r="4124" spans="2:18" x14ac:dyDescent="0.2">
      <c r="B4124" s="1" t="s">
        <v>436</v>
      </c>
      <c r="C4124" s="2" t="s">
        <v>7</v>
      </c>
      <c r="D4124" s="2" t="s">
        <v>435</v>
      </c>
      <c r="E4124" s="3">
        <v>1.8</v>
      </c>
      <c r="F4124" s="3">
        <v>0.4</v>
      </c>
      <c r="G4124" s="4">
        <v>43661</v>
      </c>
      <c r="M4124" s="1"/>
      <c r="N4124" s="1"/>
      <c r="O4124" s="1"/>
      <c r="P4124" s="1"/>
      <c r="Q4124" s="1"/>
      <c r="R4124" s="1"/>
    </row>
    <row r="4125" spans="2:18" x14ac:dyDescent="0.2">
      <c r="B4125" s="1" t="s">
        <v>146</v>
      </c>
      <c r="C4125" s="2" t="s">
        <v>4</v>
      </c>
      <c r="D4125" s="2" t="s">
        <v>144</v>
      </c>
      <c r="E4125" s="3">
        <v>1.6</v>
      </c>
      <c r="F4125" s="3">
        <f>E4125/4</f>
        <v>0.4</v>
      </c>
      <c r="G4125" s="4">
        <v>43060</v>
      </c>
    </row>
    <row r="4126" spans="2:18" x14ac:dyDescent="0.2">
      <c r="B4126" s="1" t="s">
        <v>262</v>
      </c>
      <c r="C4126" s="2" t="s">
        <v>4</v>
      </c>
      <c r="D4126" s="2" t="s">
        <v>258</v>
      </c>
      <c r="E4126" s="3">
        <v>3.5</v>
      </c>
      <c r="F4126" s="3">
        <f>+E4126/9</f>
        <v>0.3888888888888889</v>
      </c>
      <c r="G4126" s="4">
        <v>42979</v>
      </c>
    </row>
    <row r="4127" spans="2:18" x14ac:dyDescent="0.2">
      <c r="B4127" s="1" t="s">
        <v>261</v>
      </c>
      <c r="C4127" s="2" t="s">
        <v>4</v>
      </c>
      <c r="D4127" s="2" t="s">
        <v>258</v>
      </c>
      <c r="E4127" s="3">
        <v>3.5</v>
      </c>
      <c r="F4127" s="3">
        <f>+E4127/9</f>
        <v>0.3888888888888889</v>
      </c>
      <c r="G4127" s="4">
        <v>42979</v>
      </c>
    </row>
    <row r="4128" spans="2:18" x14ac:dyDescent="0.2">
      <c r="B4128" s="1" t="s">
        <v>260</v>
      </c>
      <c r="C4128" s="2" t="s">
        <v>4</v>
      </c>
      <c r="D4128" s="2" t="s">
        <v>258</v>
      </c>
      <c r="E4128" s="3">
        <v>3.5</v>
      </c>
      <c r="F4128" s="3">
        <f>+E4128/9</f>
        <v>0.3888888888888889</v>
      </c>
      <c r="G4128" s="4">
        <v>42979</v>
      </c>
    </row>
    <row r="4129" spans="2:18" x14ac:dyDescent="0.2">
      <c r="B4129" s="1" t="s">
        <v>259</v>
      </c>
      <c r="C4129" s="2" t="s">
        <v>4</v>
      </c>
      <c r="D4129" s="2" t="s">
        <v>258</v>
      </c>
      <c r="E4129" s="3">
        <v>3.5</v>
      </c>
      <c r="F4129" s="3">
        <f>+E4129/9</f>
        <v>0.3888888888888889</v>
      </c>
      <c r="G4129" s="4">
        <v>42979</v>
      </c>
    </row>
    <row r="4130" spans="2:18" x14ac:dyDescent="0.2">
      <c r="B4130" s="1" t="s">
        <v>338</v>
      </c>
      <c r="C4130" s="2" t="s">
        <v>4</v>
      </c>
      <c r="D4130" s="2" t="s">
        <v>336</v>
      </c>
      <c r="E4130" s="3">
        <v>3</v>
      </c>
      <c r="F4130" s="3">
        <f>1.5/4</f>
        <v>0.375</v>
      </c>
      <c r="G4130" s="4">
        <v>44327</v>
      </c>
      <c r="M4130" s="1"/>
      <c r="N4130" s="1"/>
      <c r="O4130" s="1"/>
      <c r="P4130" s="1"/>
      <c r="Q4130" s="1"/>
      <c r="R4130" s="1"/>
    </row>
    <row r="4131" spans="2:18" x14ac:dyDescent="0.2">
      <c r="B4131" s="1" t="s">
        <v>337</v>
      </c>
      <c r="C4131" s="2" t="s">
        <v>4</v>
      </c>
      <c r="D4131" s="2" t="s">
        <v>336</v>
      </c>
      <c r="E4131" s="3">
        <v>3</v>
      </c>
      <c r="F4131" s="3">
        <f>1.5/4</f>
        <v>0.375</v>
      </c>
      <c r="G4131" s="4">
        <v>44327</v>
      </c>
      <c r="M4131" s="1"/>
      <c r="N4131" s="1"/>
      <c r="O4131" s="1"/>
      <c r="P4131" s="1"/>
      <c r="Q4131" s="1"/>
      <c r="R4131" s="1"/>
    </row>
    <row r="4132" spans="2:18" x14ac:dyDescent="0.2">
      <c r="B4132" s="1" t="s">
        <v>387</v>
      </c>
      <c r="C4132" s="2" t="s">
        <v>4</v>
      </c>
      <c r="D4132" s="2" t="s">
        <v>386</v>
      </c>
      <c r="E4132" s="3">
        <v>0.71</v>
      </c>
      <c r="F4132" s="3">
        <f>+E4132/2</f>
        <v>0.35499999999999998</v>
      </c>
      <c r="G4132" s="4">
        <v>41730</v>
      </c>
      <c r="M4132" s="1"/>
      <c r="N4132" s="1"/>
      <c r="O4132" s="1"/>
      <c r="P4132" s="1"/>
      <c r="Q4132" s="1"/>
      <c r="R4132" s="1"/>
    </row>
    <row r="4133" spans="2:18" x14ac:dyDescent="0.2">
      <c r="B4133" s="1" t="s">
        <v>350</v>
      </c>
      <c r="C4133" s="2" t="s">
        <v>4</v>
      </c>
      <c r="D4133" s="2" t="s">
        <v>347</v>
      </c>
      <c r="E4133" s="3">
        <v>3.5</v>
      </c>
      <c r="F4133" s="3">
        <f>E4133/10</f>
        <v>0.35</v>
      </c>
      <c r="G4133" s="4">
        <v>43046</v>
      </c>
      <c r="L4133" s="1">
        <v>0</v>
      </c>
      <c r="M4133" s="1"/>
      <c r="N4133" s="1"/>
      <c r="O4133" s="1"/>
      <c r="P4133" s="1"/>
      <c r="Q4133" s="1"/>
      <c r="R4133" s="1"/>
    </row>
    <row r="4134" spans="2:18" x14ac:dyDescent="0.2">
      <c r="B4134" s="1" t="s">
        <v>349</v>
      </c>
      <c r="C4134" s="2" t="s">
        <v>4</v>
      </c>
      <c r="D4134" s="2" t="s">
        <v>347</v>
      </c>
      <c r="E4134" s="3">
        <v>3.5</v>
      </c>
      <c r="F4134" s="3">
        <f>E4134/10</f>
        <v>0.35</v>
      </c>
      <c r="G4134" s="4">
        <v>43046</v>
      </c>
      <c r="L4134" s="1">
        <v>0</v>
      </c>
      <c r="M4134" s="1"/>
      <c r="N4134" s="1"/>
      <c r="O4134" s="1"/>
      <c r="P4134" s="1"/>
      <c r="Q4134" s="1"/>
      <c r="R4134" s="1"/>
    </row>
    <row r="4135" spans="2:18" x14ac:dyDescent="0.2">
      <c r="B4135" s="1" t="s">
        <v>348</v>
      </c>
      <c r="C4135" s="2" t="s">
        <v>4</v>
      </c>
      <c r="D4135" s="2" t="s">
        <v>347</v>
      </c>
      <c r="E4135" s="3">
        <v>3.5</v>
      </c>
      <c r="F4135" s="3">
        <f>E4135/10</f>
        <v>0.35</v>
      </c>
      <c r="G4135" s="4">
        <v>43046</v>
      </c>
      <c r="L4135" s="1">
        <v>0</v>
      </c>
      <c r="M4135" s="1"/>
      <c r="N4135" s="1"/>
      <c r="O4135" s="1"/>
      <c r="P4135" s="1"/>
      <c r="Q4135" s="1"/>
      <c r="R4135" s="1"/>
    </row>
    <row r="4136" spans="2:18" x14ac:dyDescent="0.2">
      <c r="B4136" s="1" t="s">
        <v>123</v>
      </c>
      <c r="C4136" s="2" t="s">
        <v>4</v>
      </c>
      <c r="D4136" s="2" t="s">
        <v>122</v>
      </c>
      <c r="E4136" s="3">
        <v>0.35</v>
      </c>
      <c r="F4136" s="3">
        <v>0.35</v>
      </c>
      <c r="G4136" s="4">
        <v>43864</v>
      </c>
    </row>
    <row r="4137" spans="2:18" x14ac:dyDescent="0.2">
      <c r="B4137" s="1" t="s">
        <v>744</v>
      </c>
      <c r="C4137" s="2" t="s">
        <v>4</v>
      </c>
      <c r="D4137" s="2" t="s">
        <v>699</v>
      </c>
      <c r="E4137" s="3">
        <v>2.5</v>
      </c>
      <c r="F4137" s="3">
        <f>2/6</f>
        <v>0.33333333333333331</v>
      </c>
      <c r="G4137" s="4">
        <v>44469</v>
      </c>
      <c r="M4137" s="1"/>
      <c r="N4137" s="1"/>
      <c r="O4137" s="1"/>
      <c r="P4137" s="1"/>
      <c r="Q4137" s="1"/>
      <c r="R4137" s="1"/>
    </row>
    <row r="4138" spans="2:18" x14ac:dyDescent="0.2">
      <c r="B4138" s="1" t="s">
        <v>743</v>
      </c>
      <c r="C4138" s="2" t="s">
        <v>4</v>
      </c>
      <c r="D4138" s="2" t="s">
        <v>699</v>
      </c>
      <c r="E4138" s="3">
        <v>2.5</v>
      </c>
      <c r="F4138" s="3">
        <f>2/6</f>
        <v>0.33333333333333331</v>
      </c>
      <c r="G4138" s="4">
        <v>44469</v>
      </c>
      <c r="M4138" s="1"/>
      <c r="N4138" s="1"/>
      <c r="O4138" s="1"/>
      <c r="P4138" s="1"/>
      <c r="Q4138" s="1"/>
      <c r="R4138" s="1"/>
    </row>
    <row r="4139" spans="2:18" x14ac:dyDescent="0.2">
      <c r="B4139" s="1" t="s">
        <v>742</v>
      </c>
      <c r="C4139" s="2" t="s">
        <v>4</v>
      </c>
      <c r="D4139" s="2" t="s">
        <v>699</v>
      </c>
      <c r="E4139" s="3">
        <v>2.5</v>
      </c>
      <c r="F4139" s="3">
        <f>2/6</f>
        <v>0.33333333333333331</v>
      </c>
      <c r="G4139" s="4">
        <v>44469</v>
      </c>
      <c r="M4139" s="1"/>
      <c r="N4139" s="1"/>
      <c r="O4139" s="1"/>
      <c r="P4139" s="1"/>
      <c r="Q4139" s="1"/>
      <c r="R4139" s="1"/>
    </row>
    <row r="4140" spans="2:18" x14ac:dyDescent="0.2">
      <c r="B4140" s="1" t="s">
        <v>741</v>
      </c>
      <c r="C4140" s="2" t="s">
        <v>4</v>
      </c>
      <c r="D4140" s="2" t="s">
        <v>699</v>
      </c>
      <c r="E4140" s="3">
        <v>2.5</v>
      </c>
      <c r="F4140" s="3">
        <f>2/6</f>
        <v>0.33333333333333331</v>
      </c>
      <c r="G4140" s="4">
        <v>44469</v>
      </c>
      <c r="I4140" s="5"/>
      <c r="M4140" s="1"/>
      <c r="N4140" s="1"/>
      <c r="O4140" s="1"/>
      <c r="P4140" s="1"/>
      <c r="Q4140" s="1"/>
      <c r="R4140" s="1"/>
    </row>
    <row r="4141" spans="2:18" x14ac:dyDescent="0.2">
      <c r="B4141" s="1" t="s">
        <v>549</v>
      </c>
      <c r="C4141" s="2" t="s">
        <v>278</v>
      </c>
      <c r="D4141" s="2" t="s">
        <v>548</v>
      </c>
      <c r="E4141" s="3">
        <v>0.5</v>
      </c>
      <c r="F4141" s="3">
        <v>0.3</v>
      </c>
      <c r="G4141" s="4">
        <v>43262</v>
      </c>
      <c r="M4141" s="1"/>
      <c r="N4141" s="1"/>
      <c r="O4141" s="1"/>
      <c r="P4141" s="1"/>
      <c r="Q4141" s="1"/>
      <c r="R4141" s="1"/>
    </row>
    <row r="4142" spans="2:18" x14ac:dyDescent="0.2">
      <c r="B4142" s="1" t="s">
        <v>513</v>
      </c>
      <c r="C4142" s="2" t="s">
        <v>278</v>
      </c>
      <c r="D4142" s="2" t="s">
        <v>509</v>
      </c>
      <c r="E4142" s="3">
        <v>1.2</v>
      </c>
      <c r="F4142" s="3">
        <v>0.3</v>
      </c>
      <c r="G4142" s="4">
        <v>44545</v>
      </c>
      <c r="M4142" s="1"/>
      <c r="N4142" s="1"/>
      <c r="O4142" s="1"/>
      <c r="P4142" s="1"/>
      <c r="Q4142" s="1"/>
      <c r="R4142" s="1"/>
    </row>
    <row r="4143" spans="2:18" x14ac:dyDescent="0.2">
      <c r="B4143" s="1" t="s">
        <v>512</v>
      </c>
      <c r="C4143" s="2" t="s">
        <v>278</v>
      </c>
      <c r="D4143" s="2" t="s">
        <v>509</v>
      </c>
      <c r="E4143" s="3">
        <v>1.2</v>
      </c>
      <c r="F4143" s="3">
        <v>0.3</v>
      </c>
      <c r="G4143" s="4">
        <v>44545</v>
      </c>
      <c r="M4143" s="1"/>
      <c r="N4143" s="1"/>
      <c r="O4143" s="1"/>
      <c r="P4143" s="1"/>
      <c r="Q4143" s="1"/>
      <c r="R4143" s="1"/>
    </row>
    <row r="4144" spans="2:18" x14ac:dyDescent="0.2">
      <c r="B4144" s="1" t="s">
        <v>511</v>
      </c>
      <c r="C4144" s="2" t="s">
        <v>278</v>
      </c>
      <c r="D4144" s="2" t="s">
        <v>509</v>
      </c>
      <c r="E4144" s="3">
        <v>1.2</v>
      </c>
      <c r="F4144" s="3">
        <v>0.3</v>
      </c>
      <c r="G4144" s="4">
        <v>44545</v>
      </c>
      <c r="M4144" s="1"/>
      <c r="N4144" s="1"/>
      <c r="O4144" s="1"/>
      <c r="P4144" s="1"/>
      <c r="Q4144" s="1"/>
      <c r="R4144" s="1"/>
    </row>
    <row r="4145" spans="2:18" x14ac:dyDescent="0.2">
      <c r="B4145" s="1" t="s">
        <v>510</v>
      </c>
      <c r="C4145" s="2" t="s">
        <v>278</v>
      </c>
      <c r="D4145" s="2" t="s">
        <v>509</v>
      </c>
      <c r="E4145" s="3">
        <v>1.2</v>
      </c>
      <c r="F4145" s="3">
        <v>0.3</v>
      </c>
      <c r="G4145" s="4">
        <v>44545</v>
      </c>
      <c r="M4145" s="1"/>
      <c r="N4145" s="1"/>
      <c r="O4145" s="1"/>
      <c r="P4145" s="1"/>
      <c r="Q4145" s="1"/>
      <c r="R4145" s="1"/>
    </row>
    <row r="4146" spans="2:18" x14ac:dyDescent="0.2">
      <c r="B4146" s="135" t="s">
        <v>6235</v>
      </c>
      <c r="C4146" s="141" t="s">
        <v>4</v>
      </c>
      <c r="D4146" s="141" t="s">
        <v>2060</v>
      </c>
      <c r="E4146" s="3">
        <v>2.2999999999999998</v>
      </c>
      <c r="F4146" s="3">
        <v>0.3</v>
      </c>
      <c r="G4146" s="4">
        <v>43195</v>
      </c>
    </row>
    <row r="4147" spans="2:18" x14ac:dyDescent="0.2">
      <c r="B4147" s="1" t="s">
        <v>343</v>
      </c>
      <c r="C4147" s="2" t="s">
        <v>278</v>
      </c>
      <c r="D4147" s="2" t="s">
        <v>341</v>
      </c>
      <c r="E4147" s="3">
        <v>0.75</v>
      </c>
      <c r="F4147" s="3">
        <f>+E4147/3</f>
        <v>0.25</v>
      </c>
      <c r="G4147" s="4">
        <v>44043</v>
      </c>
      <c r="M4147" s="1"/>
      <c r="N4147" s="1"/>
      <c r="O4147" s="1"/>
      <c r="P4147" s="1"/>
      <c r="Q4147" s="1"/>
      <c r="R4147" s="1"/>
    </row>
    <row r="4148" spans="2:18" x14ac:dyDescent="0.2">
      <c r="B4148" s="1" t="s">
        <v>342</v>
      </c>
      <c r="C4148" s="2" t="s">
        <v>278</v>
      </c>
      <c r="D4148" s="2" t="s">
        <v>341</v>
      </c>
      <c r="E4148" s="3">
        <v>0.75</v>
      </c>
      <c r="F4148" s="3">
        <f>+E4148/3</f>
        <v>0.25</v>
      </c>
      <c r="G4148" s="4">
        <v>44043</v>
      </c>
      <c r="M4148" s="1"/>
      <c r="N4148" s="1"/>
      <c r="O4148" s="1"/>
      <c r="P4148" s="1"/>
      <c r="Q4148" s="1"/>
      <c r="R4148" s="1"/>
    </row>
    <row r="4149" spans="2:18" x14ac:dyDescent="0.2">
      <c r="B4149" s="184" t="s">
        <v>6699</v>
      </c>
      <c r="C4149" s="185" t="s">
        <v>4</v>
      </c>
      <c r="D4149" s="182" t="s">
        <v>2033</v>
      </c>
      <c r="E4149" s="3">
        <v>2</v>
      </c>
      <c r="F4149" s="3">
        <f>1.5/6</f>
        <v>0.25</v>
      </c>
      <c r="G4149" s="4">
        <v>43522</v>
      </c>
    </row>
    <row r="4150" spans="2:18" x14ac:dyDescent="0.2">
      <c r="B4150" s="1" t="s">
        <v>306</v>
      </c>
      <c r="C4150" s="2" t="s">
        <v>4</v>
      </c>
      <c r="D4150" s="2" t="s">
        <v>302</v>
      </c>
      <c r="E4150" s="3">
        <v>1.8</v>
      </c>
      <c r="F4150" s="3">
        <f>+E4150/9</f>
        <v>0.2</v>
      </c>
      <c r="G4150" s="4">
        <v>42690</v>
      </c>
    </row>
    <row r="4151" spans="2:18" x14ac:dyDescent="0.2">
      <c r="B4151" s="1" t="s">
        <v>305</v>
      </c>
      <c r="C4151" s="2" t="s">
        <v>4</v>
      </c>
      <c r="D4151" s="2" t="s">
        <v>302</v>
      </c>
      <c r="E4151" s="3">
        <v>1.8</v>
      </c>
      <c r="F4151" s="3">
        <f>+E4151/9</f>
        <v>0.2</v>
      </c>
      <c r="G4151" s="4">
        <v>42690</v>
      </c>
    </row>
    <row r="4152" spans="2:18" x14ac:dyDescent="0.2">
      <c r="B4152" s="1" t="s">
        <v>304</v>
      </c>
      <c r="C4152" s="2" t="s">
        <v>4</v>
      </c>
      <c r="D4152" s="2" t="s">
        <v>302</v>
      </c>
      <c r="E4152" s="3">
        <v>1.8</v>
      </c>
      <c r="F4152" s="3">
        <f>+E4152/9</f>
        <v>0.2</v>
      </c>
      <c r="G4152" s="4">
        <v>42690</v>
      </c>
    </row>
    <row r="4153" spans="2:18" x14ac:dyDescent="0.2">
      <c r="B4153" s="1" t="s">
        <v>303</v>
      </c>
      <c r="C4153" s="2" t="s">
        <v>4</v>
      </c>
      <c r="D4153" s="2" t="s">
        <v>302</v>
      </c>
      <c r="E4153" s="3">
        <v>1.8</v>
      </c>
      <c r="F4153" s="3">
        <f>+E4153/9</f>
        <v>0.2</v>
      </c>
      <c r="G4153" s="4">
        <v>42690</v>
      </c>
    </row>
    <row r="4154" spans="2:18" x14ac:dyDescent="0.2">
      <c r="B4154" s="1" t="s">
        <v>279</v>
      </c>
      <c r="C4154" s="2" t="s">
        <v>278</v>
      </c>
      <c r="D4154" s="2" t="s">
        <v>277</v>
      </c>
      <c r="E4154" s="3">
        <v>0.2</v>
      </c>
      <c r="F4154" s="3">
        <v>0.1</v>
      </c>
      <c r="G4154" s="4">
        <v>44054</v>
      </c>
    </row>
    <row r="4155" spans="2:18" x14ac:dyDescent="0.2">
      <c r="B4155" s="1" t="s">
        <v>280</v>
      </c>
      <c r="C4155" s="2" t="s">
        <v>4</v>
      </c>
      <c r="D4155" s="2" t="s">
        <v>277</v>
      </c>
      <c r="E4155" s="3">
        <v>0.125</v>
      </c>
      <c r="F4155" s="3">
        <v>5.0000000000000001E-3</v>
      </c>
      <c r="G4155" s="4">
        <v>44265</v>
      </c>
    </row>
    <row r="4156" spans="2:18" x14ac:dyDescent="0.2">
      <c r="B4156" s="187" t="s">
        <v>7062</v>
      </c>
      <c r="C4156" s="2" t="s">
        <v>4</v>
      </c>
      <c r="D4156" s="185" t="s">
        <v>7061</v>
      </c>
      <c r="E4156" s="3">
        <v>5</v>
      </c>
      <c r="F4156" s="3">
        <v>2.5</v>
      </c>
      <c r="G4156" s="4">
        <v>44266</v>
      </c>
    </row>
    <row r="4157" spans="2:18" x14ac:dyDescent="0.2">
      <c r="B4157" s="187"/>
      <c r="C4157" s="2" t="s">
        <v>4</v>
      </c>
      <c r="D4157" s="185" t="s">
        <v>7061</v>
      </c>
      <c r="E4157" s="3">
        <v>1.5</v>
      </c>
      <c r="F4157" s="3">
        <v>0.75</v>
      </c>
      <c r="G4157" s="4">
        <v>43580</v>
      </c>
    </row>
    <row r="4158" spans="2:18" x14ac:dyDescent="0.2">
      <c r="B4158" s="187" t="s">
        <v>7063</v>
      </c>
      <c r="C4158" s="2" t="s">
        <v>4</v>
      </c>
      <c r="D4158" s="185" t="s">
        <v>7061</v>
      </c>
      <c r="E4158" s="3">
        <v>5</v>
      </c>
      <c r="F4158" s="3">
        <v>2.5</v>
      </c>
      <c r="G4158" s="4">
        <v>44266</v>
      </c>
    </row>
    <row r="4159" spans="2:18" x14ac:dyDescent="0.2">
      <c r="B4159" s="187"/>
      <c r="C4159" s="2" t="s">
        <v>4</v>
      </c>
      <c r="D4159" s="185" t="s">
        <v>7061</v>
      </c>
      <c r="E4159" s="3">
        <v>1.5</v>
      </c>
      <c r="F4159" s="3">
        <v>0.75</v>
      </c>
      <c r="G4159" s="4">
        <v>43580</v>
      </c>
    </row>
    <row r="4160" spans="2:18" x14ac:dyDescent="0.2">
      <c r="B4160" s="1" t="s">
        <v>7329</v>
      </c>
      <c r="C4160" s="2" t="s">
        <v>5</v>
      </c>
      <c r="D4160" s="2" t="s">
        <v>2020</v>
      </c>
      <c r="E4160" s="3">
        <v>10</v>
      </c>
      <c r="F4160" s="3">
        <v>3</v>
      </c>
      <c r="G4160" s="4">
        <v>44504</v>
      </c>
    </row>
    <row r="4161" spans="2:7" x14ac:dyDescent="0.2">
      <c r="C4161" s="2" t="s">
        <v>4</v>
      </c>
      <c r="D4161" s="2" t="s">
        <v>2020</v>
      </c>
      <c r="E4161" s="3">
        <v>4</v>
      </c>
      <c r="F4161" s="3">
        <v>1</v>
      </c>
      <c r="G4161" s="4">
        <v>44097</v>
      </c>
    </row>
    <row r="4162" spans="2:7" x14ac:dyDescent="0.2">
      <c r="B4162" s="1" t="s">
        <v>7330</v>
      </c>
      <c r="C4162" s="2" t="s">
        <v>5</v>
      </c>
      <c r="D4162" s="2" t="s">
        <v>2020</v>
      </c>
      <c r="E4162" s="3">
        <v>10</v>
      </c>
      <c r="F4162" s="3">
        <v>2</v>
      </c>
      <c r="G4162" s="4">
        <v>44504</v>
      </c>
    </row>
    <row r="4163" spans="2:7" x14ac:dyDescent="0.2">
      <c r="C4163" s="2" t="s">
        <v>4</v>
      </c>
      <c r="D4163" s="2" t="s">
        <v>2020</v>
      </c>
      <c r="E4163" s="3">
        <v>4</v>
      </c>
      <c r="F4163" s="3">
        <v>1</v>
      </c>
      <c r="G4163" s="4">
        <v>44097</v>
      </c>
    </row>
    <row r="4164" spans="2:7" x14ac:dyDescent="0.2">
      <c r="B4164" s="1" t="s">
        <v>7331</v>
      </c>
      <c r="C4164" s="2" t="s">
        <v>5</v>
      </c>
      <c r="D4164" s="2" t="s">
        <v>7326</v>
      </c>
      <c r="E4164" s="3">
        <v>8</v>
      </c>
      <c r="F4164" s="3">
        <v>6</v>
      </c>
      <c r="G4164" s="4">
        <v>44663</v>
      </c>
    </row>
    <row r="4165" spans="2:7" x14ac:dyDescent="0.2">
      <c r="B4165" s="1" t="s">
        <v>7332</v>
      </c>
      <c r="C4165" s="2" t="s">
        <v>5</v>
      </c>
      <c r="D4165" s="2" t="s">
        <v>7326</v>
      </c>
      <c r="E4165" s="3">
        <v>8</v>
      </c>
      <c r="F4165" s="3">
        <v>2</v>
      </c>
      <c r="G4165" s="4">
        <v>44663</v>
      </c>
    </row>
    <row r="4166" spans="2:7" x14ac:dyDescent="0.2">
      <c r="C4166" s="2" t="s">
        <v>5</v>
      </c>
      <c r="D4166" s="2" t="s">
        <v>7326</v>
      </c>
      <c r="E4166" s="3">
        <v>3</v>
      </c>
      <c r="F4166" s="3">
        <v>2</v>
      </c>
      <c r="G4166" s="4">
        <v>43858</v>
      </c>
    </row>
    <row r="4167" spans="2:7" x14ac:dyDescent="0.2">
      <c r="B4167" s="1" t="s">
        <v>7333</v>
      </c>
      <c r="C4167" s="2" t="s">
        <v>4</v>
      </c>
      <c r="D4167" s="2" t="s">
        <v>7328</v>
      </c>
      <c r="E4167" s="3">
        <v>3</v>
      </c>
      <c r="F4167" s="3">
        <v>0</v>
      </c>
      <c r="G4167" s="4">
        <v>44452</v>
      </c>
    </row>
    <row r="4168" spans="2:7" x14ac:dyDescent="0.2">
      <c r="B4168" s="1" t="s">
        <v>7334</v>
      </c>
      <c r="C4168" s="2" t="s">
        <v>4</v>
      </c>
      <c r="D4168" s="2" t="s">
        <v>7328</v>
      </c>
      <c r="E4168" s="3">
        <v>3</v>
      </c>
      <c r="F4168" s="3">
        <v>0</v>
      </c>
      <c r="G4168" s="4">
        <v>44452</v>
      </c>
    </row>
    <row r="4169" spans="2:7" x14ac:dyDescent="0.2">
      <c r="B4169" s="1" t="s">
        <v>7335</v>
      </c>
      <c r="C4169" s="2" t="s">
        <v>4</v>
      </c>
      <c r="D4169" s="2" t="s">
        <v>7328</v>
      </c>
      <c r="E4169" s="3">
        <v>3</v>
      </c>
      <c r="F4169" s="3">
        <v>0</v>
      </c>
      <c r="G4169" s="4">
        <v>44452</v>
      </c>
    </row>
    <row r="4170" spans="2:7" x14ac:dyDescent="0.2">
      <c r="B4170" s="1" t="s">
        <v>7336</v>
      </c>
      <c r="C4170" s="2" t="s">
        <v>4</v>
      </c>
      <c r="D4170" s="2" t="s">
        <v>7328</v>
      </c>
      <c r="E4170" s="3">
        <v>8</v>
      </c>
      <c r="F4170" s="3">
        <v>2</v>
      </c>
      <c r="G4170" s="4">
        <v>44880</v>
      </c>
    </row>
    <row r="4171" spans="2:7" x14ac:dyDescent="0.2">
      <c r="B4171" s="1" t="s">
        <v>7337</v>
      </c>
      <c r="C4171" s="2" t="s">
        <v>4</v>
      </c>
      <c r="D4171" s="2" t="s">
        <v>7328</v>
      </c>
      <c r="E4171" s="3">
        <v>8</v>
      </c>
      <c r="F4171" s="3">
        <v>2</v>
      </c>
      <c r="G4171" s="4">
        <v>44880</v>
      </c>
    </row>
    <row r="4172" spans="2:7" x14ac:dyDescent="0.2">
      <c r="B4172" s="1" t="s">
        <v>7338</v>
      </c>
      <c r="C4172" s="2" t="s">
        <v>4</v>
      </c>
      <c r="D4172" s="2" t="s">
        <v>7328</v>
      </c>
      <c r="E4172" s="3">
        <v>8</v>
      </c>
      <c r="F4172" s="3">
        <v>2</v>
      </c>
      <c r="G4172" s="4">
        <v>44880</v>
      </c>
    </row>
    <row r="4173" spans="2:7" x14ac:dyDescent="0.2">
      <c r="B4173" s="1" t="s">
        <v>7339</v>
      </c>
      <c r="C4173" s="2" t="s">
        <v>4</v>
      </c>
      <c r="D4173" s="2" t="s">
        <v>7328</v>
      </c>
      <c r="E4173" s="3">
        <v>8</v>
      </c>
      <c r="F4173" s="3">
        <v>2</v>
      </c>
      <c r="G4173" s="4">
        <v>44880</v>
      </c>
    </row>
    <row r="4174" spans="2:7" x14ac:dyDescent="0.2">
      <c r="B4174" s="250" t="s">
        <v>1676</v>
      </c>
      <c r="C4174" s="253" t="s">
        <v>4</v>
      </c>
      <c r="D4174" s="253" t="s">
        <v>2017</v>
      </c>
      <c r="E4174" s="3">
        <v>12</v>
      </c>
      <c r="F4174" s="3">
        <v>2</v>
      </c>
      <c r="G4174" s="4">
        <v>43872</v>
      </c>
    </row>
    <row r="4175" spans="2:7" x14ac:dyDescent="0.2">
      <c r="B4175" s="250" t="s">
        <v>7398</v>
      </c>
      <c r="C4175" s="253" t="s">
        <v>4</v>
      </c>
      <c r="D4175" s="253" t="s">
        <v>2017</v>
      </c>
      <c r="E4175" s="3">
        <v>12</v>
      </c>
      <c r="F4175" s="3">
        <v>2</v>
      </c>
      <c r="G4175" s="4">
        <v>43872</v>
      </c>
    </row>
    <row r="4176" spans="2:7" x14ac:dyDescent="0.2">
      <c r="B4176" s="250" t="s">
        <v>7428</v>
      </c>
      <c r="C4176" s="253" t="s">
        <v>4</v>
      </c>
      <c r="D4176" s="253" t="s">
        <v>2016</v>
      </c>
      <c r="E4176" s="3">
        <v>11</v>
      </c>
      <c r="F4176" s="3">
        <f>8/6</f>
        <v>1.3333333333333333</v>
      </c>
      <c r="G4176" s="4">
        <v>44686</v>
      </c>
    </row>
    <row r="4177" spans="2:7" x14ac:dyDescent="0.2">
      <c r="B4177" s="250" t="s">
        <v>7429</v>
      </c>
      <c r="C4177" s="253" t="s">
        <v>4</v>
      </c>
      <c r="D4177" s="253" t="s">
        <v>2016</v>
      </c>
      <c r="E4177" s="3">
        <v>11</v>
      </c>
      <c r="F4177" s="3">
        <f>8/6</f>
        <v>1.3333333333333333</v>
      </c>
      <c r="G4177" s="4">
        <v>44686</v>
      </c>
    </row>
    <row r="4178" spans="2:7" x14ac:dyDescent="0.2">
      <c r="B4178" s="250" t="s">
        <v>7430</v>
      </c>
      <c r="C4178" s="253" t="s">
        <v>4</v>
      </c>
      <c r="D4178" s="253" t="s">
        <v>2016</v>
      </c>
      <c r="E4178" s="3">
        <v>11</v>
      </c>
      <c r="F4178" s="3">
        <f>8/6</f>
        <v>1.3333333333333333</v>
      </c>
      <c r="G4178" s="4">
        <v>44686</v>
      </c>
    </row>
    <row r="4179" spans="2:7" x14ac:dyDescent="0.2">
      <c r="B4179" s="250" t="s">
        <v>7431</v>
      </c>
      <c r="C4179" s="253" t="s">
        <v>4</v>
      </c>
      <c r="D4179" s="253" t="s">
        <v>2016</v>
      </c>
      <c r="E4179" s="3">
        <v>11</v>
      </c>
      <c r="F4179" s="3">
        <f>8/6</f>
        <v>1.3333333333333333</v>
      </c>
      <c r="G4179" s="4">
        <v>44686</v>
      </c>
    </row>
    <row r="4180" spans="2:7" x14ac:dyDescent="0.2">
      <c r="B4180" s="250" t="s">
        <v>7439</v>
      </c>
      <c r="C4180" s="253" t="s">
        <v>7</v>
      </c>
      <c r="D4180" s="253" t="s">
        <v>2015</v>
      </c>
      <c r="E4180" s="3">
        <v>20</v>
      </c>
      <c r="F4180" s="3">
        <v>8</v>
      </c>
      <c r="G4180" s="4">
        <v>45001</v>
      </c>
    </row>
    <row r="4181" spans="2:7" x14ac:dyDescent="0.2">
      <c r="B4181" s="250" t="s">
        <v>7440</v>
      </c>
      <c r="C4181" s="253" t="s">
        <v>7</v>
      </c>
      <c r="D4181" s="253" t="s">
        <v>2015</v>
      </c>
      <c r="E4181" s="3">
        <v>20</v>
      </c>
      <c r="F4181" s="3">
        <f>12/3</f>
        <v>4</v>
      </c>
      <c r="G4181" s="4">
        <v>45001</v>
      </c>
    </row>
    <row r="4182" spans="2:7" x14ac:dyDescent="0.2">
      <c r="B4182" s="250"/>
      <c r="C4182" s="253"/>
      <c r="D4182" s="253"/>
      <c r="E4182" s="3">
        <v>9</v>
      </c>
      <c r="F4182" s="3">
        <v>3</v>
      </c>
      <c r="G4182" s="4">
        <v>44152</v>
      </c>
    </row>
    <row r="4183" spans="2:7" x14ac:dyDescent="0.2">
      <c r="B4183" s="250" t="s">
        <v>7441</v>
      </c>
      <c r="C4183" s="253" t="s">
        <v>7</v>
      </c>
      <c r="D4183" s="253" t="s">
        <v>2015</v>
      </c>
      <c r="E4183" s="3">
        <v>20</v>
      </c>
      <c r="F4183" s="3">
        <f>12/3</f>
        <v>4</v>
      </c>
      <c r="G4183" s="4">
        <v>45001</v>
      </c>
    </row>
    <row r="4184" spans="2:7" x14ac:dyDescent="0.2">
      <c r="C4184" s="253" t="s">
        <v>5</v>
      </c>
      <c r="D4184" s="253" t="s">
        <v>2015</v>
      </c>
      <c r="E4184" s="3">
        <v>9</v>
      </c>
      <c r="F4184" s="3">
        <v>3</v>
      </c>
      <c r="G4184" s="4">
        <v>44152</v>
      </c>
    </row>
    <row r="4185" spans="2:7" x14ac:dyDescent="0.2">
      <c r="B4185" s="250" t="s">
        <v>7447</v>
      </c>
      <c r="C4185" s="253" t="s">
        <v>7446</v>
      </c>
      <c r="D4185" s="253" t="s">
        <v>2015</v>
      </c>
      <c r="E4185" s="3">
        <v>0.8</v>
      </c>
      <c r="F4185" s="3">
        <v>0.8</v>
      </c>
      <c r="G4185" s="4">
        <v>40332</v>
      </c>
    </row>
    <row r="4186" spans="2:7" x14ac:dyDescent="0.2">
      <c r="B4186" s="250" t="s">
        <v>7457</v>
      </c>
      <c r="C4186" s="253" t="s">
        <v>5</v>
      </c>
      <c r="D4186" s="253" t="s">
        <v>2013</v>
      </c>
      <c r="E4186" s="3">
        <v>9</v>
      </c>
      <c r="F4186" s="3">
        <f>6/4</f>
        <v>1.5</v>
      </c>
      <c r="G4186" s="4">
        <v>44540</v>
      </c>
    </row>
    <row r="4187" spans="2:7" x14ac:dyDescent="0.2">
      <c r="B4187" s="250"/>
      <c r="C4187" s="253" t="s">
        <v>4</v>
      </c>
      <c r="D4187" s="253" t="s">
        <v>2013</v>
      </c>
      <c r="E4187" s="3">
        <v>2.5</v>
      </c>
      <c r="F4187" s="3">
        <f>1.5/3</f>
        <v>0.5</v>
      </c>
      <c r="G4187" s="4">
        <v>44296</v>
      </c>
    </row>
    <row r="4188" spans="2:7" x14ac:dyDescent="0.2">
      <c r="B4188" s="250" t="s">
        <v>7459</v>
      </c>
      <c r="C4188" s="253" t="s">
        <v>4</v>
      </c>
      <c r="D4188" s="253" t="s">
        <v>2013</v>
      </c>
      <c r="E4188" s="3">
        <v>2.5</v>
      </c>
      <c r="F4188" s="3">
        <f>1.5/3</f>
        <v>0.5</v>
      </c>
      <c r="G4188" s="4">
        <v>44296</v>
      </c>
    </row>
    <row r="4189" spans="2:7" x14ac:dyDescent="0.2">
      <c r="B4189" s="250" t="s">
        <v>7460</v>
      </c>
      <c r="C4189" s="253" t="s">
        <v>4</v>
      </c>
      <c r="D4189" s="253" t="s">
        <v>2013</v>
      </c>
      <c r="E4189" s="3">
        <v>2.5</v>
      </c>
      <c r="F4189" s="3">
        <f>1.5/3</f>
        <v>0.5</v>
      </c>
      <c r="G4189" s="4">
        <v>44296</v>
      </c>
    </row>
    <row r="4190" spans="2:7" x14ac:dyDescent="0.2">
      <c r="B4190" s="250" t="s">
        <v>7468</v>
      </c>
      <c r="C4190" s="253" t="s">
        <v>5</v>
      </c>
      <c r="D4190" s="253" t="s">
        <v>7462</v>
      </c>
      <c r="E4190" s="3">
        <v>10</v>
      </c>
      <c r="F4190" s="3">
        <v>2</v>
      </c>
      <c r="G4190" s="4">
        <v>44384</v>
      </c>
    </row>
    <row r="4191" spans="2:7" x14ac:dyDescent="0.2">
      <c r="B4191" s="250" t="s">
        <v>7477</v>
      </c>
      <c r="C4191" s="253" t="s">
        <v>5</v>
      </c>
      <c r="D4191" s="253" t="s">
        <v>2011</v>
      </c>
      <c r="E4191" s="3">
        <v>11.5</v>
      </c>
      <c r="F4191" s="3">
        <f>6/3</f>
        <v>2</v>
      </c>
      <c r="G4191" s="4">
        <v>45063</v>
      </c>
    </row>
    <row r="4192" spans="2:7" x14ac:dyDescent="0.2">
      <c r="B4192" s="250"/>
      <c r="C4192" s="253" t="s">
        <v>4</v>
      </c>
      <c r="D4192" s="253" t="s">
        <v>2011</v>
      </c>
      <c r="E4192" s="3">
        <v>7</v>
      </c>
      <c r="F4192" s="3">
        <v>3.5</v>
      </c>
      <c r="G4192" s="4">
        <v>44216</v>
      </c>
    </row>
    <row r="4193" spans="2:10" x14ac:dyDescent="0.2">
      <c r="B4193" s="250" t="s">
        <v>7478</v>
      </c>
      <c r="C4193" s="253" t="s">
        <v>5</v>
      </c>
      <c r="D4193" s="253" t="s">
        <v>2011</v>
      </c>
      <c r="E4193" s="3">
        <v>11.5</v>
      </c>
      <c r="F4193" s="3">
        <f>6/3</f>
        <v>2</v>
      </c>
      <c r="G4193" s="4">
        <v>45063</v>
      </c>
    </row>
    <row r="4194" spans="2:10" x14ac:dyDescent="0.2">
      <c r="B4194" s="250" t="s">
        <v>7606</v>
      </c>
      <c r="C4194" s="253" t="s">
        <v>5</v>
      </c>
      <c r="D4194" s="253" t="s">
        <v>2010</v>
      </c>
      <c r="E4194" s="3">
        <v>10</v>
      </c>
      <c r="F4194" s="3">
        <v>5</v>
      </c>
      <c r="G4194" s="4">
        <v>44307</v>
      </c>
    </row>
    <row r="4195" spans="2:10" x14ac:dyDescent="0.2">
      <c r="B4195" s="250" t="s">
        <v>7607</v>
      </c>
      <c r="C4195" s="253" t="s">
        <v>5</v>
      </c>
      <c r="D4195" s="253" t="s">
        <v>2010</v>
      </c>
      <c r="E4195" s="3">
        <v>10</v>
      </c>
      <c r="F4195" s="3">
        <v>5</v>
      </c>
      <c r="G4195" s="4">
        <v>44307</v>
      </c>
    </row>
    <row r="4196" spans="2:10" x14ac:dyDescent="0.2">
      <c r="B4196" s="250" t="s">
        <v>3305</v>
      </c>
      <c r="C4196" s="253" t="s">
        <v>4</v>
      </c>
      <c r="D4196" s="253" t="s">
        <v>7617</v>
      </c>
      <c r="E4196" s="3">
        <v>2.2000000000000002</v>
      </c>
      <c r="F4196" s="3">
        <v>0.6</v>
      </c>
      <c r="G4196" s="4">
        <v>43544</v>
      </c>
    </row>
    <row r="4197" spans="2:10" x14ac:dyDescent="0.2">
      <c r="B4197" s="250" t="s">
        <v>7623</v>
      </c>
      <c r="C4197" s="253" t="s">
        <v>4</v>
      </c>
      <c r="D4197" s="253" t="s">
        <v>7617</v>
      </c>
      <c r="E4197" s="3">
        <v>2.2000000000000002</v>
      </c>
      <c r="F4197" s="3">
        <v>1</v>
      </c>
      <c r="G4197" s="4">
        <v>43544</v>
      </c>
    </row>
    <row r="4198" spans="2:10" x14ac:dyDescent="0.2">
      <c r="B4198" s="250" t="s">
        <v>7653</v>
      </c>
      <c r="C4198" s="253" t="s">
        <v>4</v>
      </c>
      <c r="D4198" s="253" t="s">
        <v>2007</v>
      </c>
      <c r="E4198" s="3">
        <v>7</v>
      </c>
      <c r="F4198" s="3">
        <v>5</v>
      </c>
      <c r="G4198" s="4">
        <v>44763</v>
      </c>
    </row>
    <row r="4199" spans="2:10" x14ac:dyDescent="0.2">
      <c r="B4199" s="250"/>
      <c r="C4199" s="253" t="s">
        <v>278</v>
      </c>
      <c r="D4199" s="253" t="s">
        <v>2007</v>
      </c>
      <c r="E4199" s="3">
        <v>2</v>
      </c>
      <c r="F4199" s="3">
        <f>1/4</f>
        <v>0.25</v>
      </c>
      <c r="G4199" s="4">
        <v>44181</v>
      </c>
    </row>
    <row r="4200" spans="2:10" x14ac:dyDescent="0.2">
      <c r="B4200" s="250" t="s">
        <v>7654</v>
      </c>
      <c r="C4200" s="253" t="s">
        <v>4</v>
      </c>
      <c r="D4200" s="253" t="s">
        <v>2007</v>
      </c>
      <c r="E4200" s="3">
        <v>7</v>
      </c>
      <c r="F4200" s="3">
        <v>1</v>
      </c>
      <c r="G4200" s="4">
        <v>44763</v>
      </c>
    </row>
    <row r="4201" spans="2:10" x14ac:dyDescent="0.2">
      <c r="C4201" s="253" t="s">
        <v>278</v>
      </c>
      <c r="D4201" s="253" t="s">
        <v>2007</v>
      </c>
      <c r="E4201" s="3">
        <v>2</v>
      </c>
      <c r="F4201" s="3">
        <v>0.5</v>
      </c>
      <c r="G4201" s="4">
        <v>44181</v>
      </c>
    </row>
    <row r="4202" spans="2:10" x14ac:dyDescent="0.2">
      <c r="B4202" s="250" t="s">
        <v>7659</v>
      </c>
      <c r="C4202" s="253" t="s">
        <v>278</v>
      </c>
      <c r="D4202" s="253" t="s">
        <v>2007</v>
      </c>
      <c r="E4202" s="3">
        <v>2</v>
      </c>
      <c r="F4202" s="3">
        <v>0.5</v>
      </c>
      <c r="G4202" s="4">
        <v>44181</v>
      </c>
    </row>
    <row r="4203" spans="2:10" x14ac:dyDescent="0.2">
      <c r="B4203" s="250"/>
      <c r="C4203" s="253"/>
      <c r="D4203" s="253"/>
      <c r="G4203" s="4"/>
    </row>
    <row r="4204" spans="2:10" x14ac:dyDescent="0.2">
      <c r="B4204" s="281" t="s">
        <v>7936</v>
      </c>
      <c r="C4204" s="282" t="s">
        <v>7933</v>
      </c>
      <c r="D4204" s="282" t="s">
        <v>1006</v>
      </c>
      <c r="E4204" s="3">
        <v>684.6</v>
      </c>
      <c r="F4204" s="3">
        <f>584.6/21</f>
        <v>27.838095238095239</v>
      </c>
      <c r="G4204" s="4">
        <v>45183</v>
      </c>
      <c r="I4204" s="1">
        <v>42500</v>
      </c>
      <c r="J4204" s="1">
        <v>42500</v>
      </c>
    </row>
    <row r="4205" spans="2:10" x14ac:dyDescent="0.2">
      <c r="B4205" s="281"/>
      <c r="C4205" s="282" t="s">
        <v>2489</v>
      </c>
      <c r="D4205" s="282" t="s">
        <v>1006</v>
      </c>
      <c r="E4205" s="3">
        <v>1600</v>
      </c>
      <c r="F4205" s="3">
        <v>51.851851851851855</v>
      </c>
      <c r="G4205" s="4">
        <v>44439</v>
      </c>
      <c r="I4205" s="1">
        <v>36400</v>
      </c>
      <c r="J4205" s="1">
        <v>42500</v>
      </c>
    </row>
    <row r="4206" spans="2:10" x14ac:dyDescent="0.2">
      <c r="B4206" s="281"/>
      <c r="C4206" s="282" t="s">
        <v>504</v>
      </c>
      <c r="D4206" s="282" t="s">
        <v>1006</v>
      </c>
      <c r="E4206" s="3">
        <v>1000</v>
      </c>
      <c r="F4206" s="3">
        <f>900/23</f>
        <v>39.130434782608695</v>
      </c>
      <c r="G4206" s="4">
        <v>44228</v>
      </c>
      <c r="I4206" s="1">
        <v>27000</v>
      </c>
      <c r="J4206" s="1">
        <v>42500</v>
      </c>
    </row>
    <row r="4207" spans="2:10" x14ac:dyDescent="0.2">
      <c r="B4207" s="281"/>
      <c r="C4207" s="282"/>
      <c r="D4207" s="282"/>
      <c r="G4207" s="4"/>
    </row>
    <row r="4208" spans="2:10" x14ac:dyDescent="0.2">
      <c r="B4208" s="281" t="s">
        <v>7937</v>
      </c>
      <c r="C4208" s="282" t="s">
        <v>7933</v>
      </c>
      <c r="D4208" s="282" t="s">
        <v>1006</v>
      </c>
      <c r="E4208" s="3">
        <v>684.6</v>
      </c>
      <c r="F4208" s="3">
        <f t="shared" ref="F4208:F4213" si="13">584.6/21</f>
        <v>27.838095238095239</v>
      </c>
      <c r="G4208" s="4">
        <v>45183</v>
      </c>
      <c r="I4208" s="1">
        <v>42500</v>
      </c>
      <c r="J4208" s="1">
        <v>42500</v>
      </c>
    </row>
    <row r="4209" spans="2:10" x14ac:dyDescent="0.2">
      <c r="B4209" s="281"/>
      <c r="C4209" s="282"/>
      <c r="D4209" s="282"/>
      <c r="G4209" s="4"/>
    </row>
    <row r="4210" spans="2:10" x14ac:dyDescent="0.2">
      <c r="B4210" s="281" t="s">
        <v>7938</v>
      </c>
      <c r="C4210" s="282" t="s">
        <v>7933</v>
      </c>
      <c r="D4210" s="282" t="s">
        <v>1006</v>
      </c>
      <c r="E4210" s="3">
        <v>684.6</v>
      </c>
      <c r="F4210" s="3">
        <f t="shared" si="13"/>
        <v>27.838095238095239</v>
      </c>
      <c r="G4210" s="4">
        <v>45183</v>
      </c>
      <c r="I4210" s="1">
        <v>42500</v>
      </c>
      <c r="J4210" s="1">
        <v>42500</v>
      </c>
    </row>
    <row r="4211" spans="2:10" x14ac:dyDescent="0.2">
      <c r="B4211" s="281"/>
      <c r="C4211" s="282" t="s">
        <v>2489</v>
      </c>
      <c r="D4211" s="282" t="s">
        <v>1006</v>
      </c>
      <c r="E4211" s="3">
        <v>1600</v>
      </c>
      <c r="F4211" s="3">
        <v>51.851851851851855</v>
      </c>
      <c r="G4211" s="4">
        <v>44439</v>
      </c>
      <c r="I4211" s="1">
        <v>36400</v>
      </c>
      <c r="J4211" s="1">
        <v>42500</v>
      </c>
    </row>
    <row r="4212" spans="2:10" x14ac:dyDescent="0.2">
      <c r="B4212" s="281"/>
      <c r="C4212" s="282"/>
      <c r="D4212" s="282"/>
      <c r="G4212" s="4"/>
    </row>
    <row r="4213" spans="2:10" x14ac:dyDescent="0.2">
      <c r="B4213" s="281" t="s">
        <v>7939</v>
      </c>
      <c r="C4213" s="282" t="s">
        <v>7933</v>
      </c>
      <c r="D4213" s="282" t="s">
        <v>1006</v>
      </c>
      <c r="E4213" s="3">
        <v>684.6</v>
      </c>
      <c r="F4213" s="3">
        <f t="shared" si="13"/>
        <v>27.838095238095239</v>
      </c>
      <c r="G4213" s="4">
        <v>45183</v>
      </c>
      <c r="I4213" s="1">
        <v>42500</v>
      </c>
      <c r="J4213" s="1">
        <v>42500</v>
      </c>
    </row>
    <row r="4214" spans="2:10" x14ac:dyDescent="0.2">
      <c r="B4214" s="281"/>
      <c r="C4214" s="282"/>
      <c r="D4214" s="282"/>
      <c r="G4214" s="4"/>
    </row>
    <row r="4215" spans="2:10" x14ac:dyDescent="0.2">
      <c r="B4215" s="281" t="s">
        <v>7941</v>
      </c>
      <c r="C4215" s="282" t="s">
        <v>2489</v>
      </c>
      <c r="D4215" s="282" t="s">
        <v>1006</v>
      </c>
      <c r="E4215" s="3">
        <v>1600</v>
      </c>
      <c r="F4215" s="3">
        <v>51.851851851851855</v>
      </c>
      <c r="G4215" s="4">
        <v>44439</v>
      </c>
      <c r="I4215" s="1">
        <v>36400</v>
      </c>
      <c r="J4215" s="1">
        <v>42500</v>
      </c>
    </row>
    <row r="4216" spans="2:10" x14ac:dyDescent="0.2">
      <c r="B4216" s="281"/>
      <c r="C4216" s="282" t="s">
        <v>504</v>
      </c>
      <c r="D4216" s="282" t="s">
        <v>1006</v>
      </c>
      <c r="E4216" s="3">
        <v>1000</v>
      </c>
      <c r="F4216" s="3">
        <f>900/23</f>
        <v>39.130434782608695</v>
      </c>
      <c r="G4216" s="4">
        <v>44228</v>
      </c>
      <c r="I4216" s="1">
        <v>27000</v>
      </c>
      <c r="J4216" s="1">
        <v>42500</v>
      </c>
    </row>
    <row r="4217" spans="2:10" x14ac:dyDescent="0.2">
      <c r="B4217" s="281"/>
      <c r="C4217" s="282"/>
      <c r="D4217" s="282"/>
      <c r="G4217" s="4"/>
    </row>
    <row r="4218" spans="2:10" x14ac:dyDescent="0.2">
      <c r="B4218" s="281" t="s">
        <v>7942</v>
      </c>
      <c r="C4218" s="282" t="s">
        <v>2489</v>
      </c>
      <c r="D4218" s="282" t="s">
        <v>1006</v>
      </c>
      <c r="E4218" s="3">
        <v>1600</v>
      </c>
      <c r="F4218" s="3">
        <v>51.851851851851855</v>
      </c>
      <c r="G4218" s="4">
        <v>44439</v>
      </c>
      <c r="I4218" s="1">
        <v>36400</v>
      </c>
      <c r="J4218" s="1">
        <v>42500</v>
      </c>
    </row>
    <row r="4219" spans="2:10" x14ac:dyDescent="0.2">
      <c r="B4219" s="281" t="s">
        <v>7943</v>
      </c>
      <c r="C4219" s="282" t="s">
        <v>2489</v>
      </c>
      <c r="D4219" s="282" t="s">
        <v>1006</v>
      </c>
      <c r="E4219" s="3">
        <v>1600</v>
      </c>
      <c r="F4219" s="3">
        <v>51.851851851851855</v>
      </c>
      <c r="G4219" s="4">
        <v>44439</v>
      </c>
      <c r="I4219" s="1">
        <v>36400</v>
      </c>
      <c r="J4219" s="1">
        <v>42500</v>
      </c>
    </row>
    <row r="4220" spans="2:10" x14ac:dyDescent="0.2">
      <c r="B4220" s="281" t="s">
        <v>7944</v>
      </c>
      <c r="C4220" s="282" t="s">
        <v>2489</v>
      </c>
      <c r="D4220" s="282" t="s">
        <v>1006</v>
      </c>
      <c r="E4220" s="3">
        <v>1600</v>
      </c>
      <c r="F4220" s="3">
        <v>51.851851851851855</v>
      </c>
      <c r="G4220" s="4">
        <v>44439</v>
      </c>
      <c r="I4220" s="1">
        <v>36400</v>
      </c>
      <c r="J4220" s="1">
        <v>42500</v>
      </c>
    </row>
    <row r="4221" spans="2:10" x14ac:dyDescent="0.2">
      <c r="B4221" s="281"/>
      <c r="C4221" s="282" t="s">
        <v>504</v>
      </c>
      <c r="D4221" s="282" t="s">
        <v>1006</v>
      </c>
      <c r="E4221" s="3">
        <v>1000</v>
      </c>
      <c r="F4221" s="3">
        <f>900/23</f>
        <v>39.130434782608695</v>
      </c>
      <c r="G4221" s="4">
        <v>44228</v>
      </c>
      <c r="I4221" s="1">
        <v>27000</v>
      </c>
      <c r="J4221" s="1">
        <v>42500</v>
      </c>
    </row>
    <row r="4222" spans="2:10" x14ac:dyDescent="0.2">
      <c r="B4222" s="281" t="s">
        <v>7945</v>
      </c>
      <c r="C4222" s="282" t="s">
        <v>2489</v>
      </c>
      <c r="D4222" s="282" t="s">
        <v>1006</v>
      </c>
      <c r="E4222" s="3">
        <v>1600</v>
      </c>
      <c r="F4222" s="3">
        <v>51.851851851851855</v>
      </c>
      <c r="G4222" s="4">
        <v>44439</v>
      </c>
      <c r="I4222" s="1">
        <v>36400</v>
      </c>
      <c r="J4222" s="1">
        <v>42500</v>
      </c>
    </row>
    <row r="4223" spans="2:10" x14ac:dyDescent="0.2">
      <c r="B4223" s="281"/>
      <c r="C4223" s="282"/>
      <c r="D4223" s="282"/>
      <c r="G4223" s="4"/>
    </row>
    <row r="4224" spans="2:10" x14ac:dyDescent="0.2">
      <c r="B4224" s="281" t="s">
        <v>7946</v>
      </c>
      <c r="C4224" s="282" t="s">
        <v>2489</v>
      </c>
      <c r="D4224" s="282" t="s">
        <v>1006</v>
      </c>
      <c r="E4224" s="3">
        <v>1600</v>
      </c>
      <c r="F4224" s="3">
        <v>51.851851851851855</v>
      </c>
      <c r="G4224" s="4">
        <v>44439</v>
      </c>
      <c r="I4224" s="1">
        <v>36400</v>
      </c>
      <c r="J4224" s="1">
        <v>42500</v>
      </c>
    </row>
    <row r="4225" spans="2:10" x14ac:dyDescent="0.2">
      <c r="B4225" s="281"/>
      <c r="C4225" s="282" t="s">
        <v>504</v>
      </c>
      <c r="D4225" s="282" t="s">
        <v>1006</v>
      </c>
      <c r="E4225" s="3">
        <v>1000</v>
      </c>
      <c r="F4225" s="3">
        <f>900/23</f>
        <v>39.130434782608695</v>
      </c>
      <c r="G4225" s="4">
        <v>44228</v>
      </c>
      <c r="I4225" s="1">
        <v>27000</v>
      </c>
      <c r="J4225" s="1">
        <v>42500</v>
      </c>
    </row>
    <row r="4226" spans="2:10" x14ac:dyDescent="0.2">
      <c r="B4226" s="281"/>
      <c r="C4226" s="282"/>
      <c r="D4226" s="282"/>
      <c r="G4226" s="4"/>
    </row>
    <row r="4227" spans="2:10" x14ac:dyDescent="0.2">
      <c r="B4227" s="281" t="s">
        <v>7947</v>
      </c>
      <c r="C4227" s="282" t="s">
        <v>2489</v>
      </c>
      <c r="D4227" s="282" t="s">
        <v>1006</v>
      </c>
      <c r="E4227" s="3">
        <v>1600</v>
      </c>
      <c r="F4227" s="3">
        <v>51.851851851851855</v>
      </c>
      <c r="G4227" s="4">
        <v>44439</v>
      </c>
      <c r="I4227" s="1">
        <v>36400</v>
      </c>
      <c r="J4227" s="1">
        <v>42500</v>
      </c>
    </row>
    <row r="4228" spans="2:10" x14ac:dyDescent="0.2">
      <c r="B4228" s="281" t="s">
        <v>7952</v>
      </c>
      <c r="C4228" s="282" t="s">
        <v>1</v>
      </c>
      <c r="D4228" s="282" t="s">
        <v>3934</v>
      </c>
      <c r="E4228" s="3">
        <v>1200</v>
      </c>
      <c r="F4228" s="3">
        <v>300</v>
      </c>
      <c r="G4228" s="4">
        <v>43592</v>
      </c>
      <c r="I4228" s="1">
        <v>17900</v>
      </c>
    </row>
    <row r="4229" spans="2:10" x14ac:dyDescent="0.2">
      <c r="B4229" s="281" t="s">
        <v>7953</v>
      </c>
      <c r="C4229" s="282" t="s">
        <v>8</v>
      </c>
      <c r="D4229" s="282" t="s">
        <v>161</v>
      </c>
      <c r="E4229" s="3">
        <v>100</v>
      </c>
      <c r="F4229" s="3">
        <v>100</v>
      </c>
      <c r="G4229" s="4">
        <v>45223</v>
      </c>
      <c r="I4229" s="1">
        <v>8400</v>
      </c>
      <c r="J4229" s="1">
        <v>8400</v>
      </c>
    </row>
    <row r="4230" spans="2:10" x14ac:dyDescent="0.2">
      <c r="B4230" s="281" t="s">
        <v>7736</v>
      </c>
      <c r="C4230" s="282" t="s">
        <v>8</v>
      </c>
      <c r="D4230" s="282" t="s">
        <v>3736</v>
      </c>
      <c r="E4230" s="3">
        <v>235</v>
      </c>
      <c r="F4230" s="3">
        <f>185/8</f>
        <v>23.125</v>
      </c>
      <c r="G4230" s="4">
        <v>45161</v>
      </c>
      <c r="I4230" s="1">
        <v>4300</v>
      </c>
      <c r="J4230" s="1">
        <v>4300</v>
      </c>
    </row>
    <row r="4231" spans="2:10" x14ac:dyDescent="0.2">
      <c r="B4231" s="281" t="s">
        <v>7957</v>
      </c>
      <c r="C4231" s="282" t="s">
        <v>8</v>
      </c>
      <c r="D4231" s="282" t="s">
        <v>3736</v>
      </c>
      <c r="E4231" s="3">
        <v>235</v>
      </c>
      <c r="F4231" s="3">
        <f t="shared" ref="F4231" si="14">185/8</f>
        <v>23.125</v>
      </c>
      <c r="G4231" s="4">
        <v>45161</v>
      </c>
      <c r="I4231" s="1">
        <v>4300</v>
      </c>
      <c r="J4231" s="1">
        <v>4300</v>
      </c>
    </row>
    <row r="4232" spans="2:10" x14ac:dyDescent="0.2">
      <c r="B4232" s="281" t="s">
        <v>7960</v>
      </c>
      <c r="C4232" s="282" t="s">
        <v>7</v>
      </c>
      <c r="D4232" s="282" t="s">
        <v>1133</v>
      </c>
      <c r="E4232" s="3">
        <v>1300</v>
      </c>
      <c r="F4232" s="3">
        <v>200</v>
      </c>
      <c r="G4232" s="4">
        <v>45106</v>
      </c>
      <c r="I4232" s="1">
        <v>4000</v>
      </c>
      <c r="J4232" s="1">
        <v>4000</v>
      </c>
    </row>
    <row r="4233" spans="2:10" x14ac:dyDescent="0.2">
      <c r="B4233" s="281" t="s">
        <v>7980</v>
      </c>
      <c r="C4233" s="282" t="s">
        <v>7978</v>
      </c>
      <c r="D4233" s="282" t="s">
        <v>606</v>
      </c>
      <c r="E4233" s="3">
        <v>59</v>
      </c>
      <c r="F4233" s="3">
        <f>59/9</f>
        <v>6.5555555555555554</v>
      </c>
      <c r="G4233" s="4">
        <v>45124</v>
      </c>
      <c r="I4233" s="1">
        <v>1200</v>
      </c>
      <c r="J4233" s="1">
        <v>1200</v>
      </c>
    </row>
  </sheetData>
  <sortState xmlns:xlrd2="http://schemas.microsoft.com/office/spreadsheetml/2017/richdata2" ref="A3511:S4155">
    <sortCondition descending="1" ref="F3511:F4155"/>
  </sortState>
  <hyperlinks>
    <hyperlink ref="J361" r:id="rId1" xr:uid="{A05CDC27-286A-B746-9B5F-5B1E1B4E390C}"/>
    <hyperlink ref="J362" r:id="rId2" xr:uid="{38B35697-7F24-EC4B-A57C-DE1DBE79B23B}"/>
    <hyperlink ref="A1" location="Main!A1" display="Main" xr:uid="{F31EBBCB-3380-9C42-888A-851D8D1133D4}"/>
    <hyperlink ref="J403" r:id="rId3" xr:uid="{20A0E90C-AB43-B241-92A1-573A60CE2643}"/>
    <hyperlink ref="J404" r:id="rId4" xr:uid="{26AFB997-BCB0-BB40-9711-DDC7E3D45A27}"/>
    <hyperlink ref="J405" r:id="rId5" xr:uid="{4AF1ABAC-9AA9-4348-AAD5-005639523D12}"/>
    <hyperlink ref="J406" r:id="rId6" xr:uid="{53E22B75-910D-FA42-B4F9-5BBFBBACD597}"/>
    <hyperlink ref="J407" r:id="rId7" xr:uid="{ECD11D25-991A-1547-9A89-905FC9B1101F}"/>
    <hyperlink ref="J408" r:id="rId8" xr:uid="{5B43E000-5FB6-054A-9C7A-188CFB49418C}"/>
    <hyperlink ref="J409" r:id="rId9" xr:uid="{B3933FA6-C805-CD4C-B140-692B5686FBB8}"/>
    <hyperlink ref="J410" r:id="rId10" xr:uid="{68FC11E9-3503-C64A-9749-7F0682609AF6}"/>
    <hyperlink ref="J411" r:id="rId11" xr:uid="{48B62319-5A1C-7E43-AFC3-3AE2EC2E6125}"/>
  </hyperlinks>
  <pageMargins left="0.7" right="0.7" top="0.75" bottom="0.75" header="0.3" footer="0.3"/>
  <pageSetup orientation="portrait" r:id="rId12"/>
  <legacyDrawing r:id="rId1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3A37A-A5C4-1D4C-A1C7-BF7E3A991444}">
  <dimension ref="B2:K56"/>
  <sheetViews>
    <sheetView zoomScale="150" zoomScaleNormal="150" workbookViewId="0">
      <pane xSplit="2" ySplit="5" topLeftCell="F6" activePane="bottomRight" state="frozen"/>
      <selection pane="topRight" activeCell="C1" sqref="C1"/>
      <selection pane="bottomLeft" activeCell="A6" sqref="A6"/>
      <selection pane="bottomRight" activeCell="H13" sqref="H13"/>
    </sheetView>
  </sheetViews>
  <sheetFormatPr defaultColWidth="10.875" defaultRowHeight="12.75" x14ac:dyDescent="0.2"/>
  <cols>
    <col min="1" max="1" width="4" style="248" customWidth="1"/>
    <col min="2" max="2" width="22.5" style="248" customWidth="1"/>
    <col min="3" max="4" width="10.875" style="262"/>
    <col min="5" max="5" width="14.875" style="248" bestFit="1" customWidth="1"/>
    <col min="6" max="6" width="22.125" style="248" customWidth="1"/>
    <col min="7" max="16384" width="10.875" style="248"/>
  </cols>
  <sheetData>
    <row r="2" spans="2:11" x14ac:dyDescent="0.2">
      <c r="B2" s="49" t="s">
        <v>7870</v>
      </c>
    </row>
    <row r="3" spans="2:11" x14ac:dyDescent="0.2">
      <c r="B3" s="49"/>
    </row>
    <row r="5" spans="2:11" x14ac:dyDescent="0.2">
      <c r="B5" s="248" t="s">
        <v>3981</v>
      </c>
      <c r="C5" s="262" t="s">
        <v>1155</v>
      </c>
      <c r="D5" s="262" t="s">
        <v>7844</v>
      </c>
      <c r="E5" s="248" t="s">
        <v>7845</v>
      </c>
      <c r="F5" s="248" t="s">
        <v>7846</v>
      </c>
      <c r="G5" s="248" t="s">
        <v>7887</v>
      </c>
    </row>
    <row r="6" spans="2:11" ht="15" x14ac:dyDescent="0.25">
      <c r="B6" s="248" t="s">
        <v>7843</v>
      </c>
      <c r="C6" s="262">
        <v>500</v>
      </c>
      <c r="D6" s="262">
        <v>217</v>
      </c>
      <c r="E6" s="248" t="s">
        <v>2065</v>
      </c>
      <c r="F6" s="278" t="s">
        <v>7847</v>
      </c>
      <c r="G6" s="44" t="s">
        <v>7888</v>
      </c>
      <c r="H6" s="248" t="s">
        <v>7889</v>
      </c>
    </row>
    <row r="7" spans="2:11" x14ac:dyDescent="0.2">
      <c r="B7" s="248" t="s">
        <v>7877</v>
      </c>
      <c r="C7" s="262">
        <v>500</v>
      </c>
      <c r="D7" s="262">
        <v>500</v>
      </c>
      <c r="E7" s="248" t="s">
        <v>7878</v>
      </c>
      <c r="F7" s="248" t="s">
        <v>7874</v>
      </c>
      <c r="G7" s="248" t="s">
        <v>7890</v>
      </c>
    </row>
    <row r="8" spans="2:11" ht="15" x14ac:dyDescent="0.25">
      <c r="B8" s="248" t="s">
        <v>7441</v>
      </c>
      <c r="C8" s="262">
        <v>1000</v>
      </c>
      <c r="D8" s="262" t="s">
        <v>1</v>
      </c>
      <c r="E8" s="248" t="s">
        <v>7876</v>
      </c>
      <c r="F8" s="248" t="s">
        <v>7875</v>
      </c>
      <c r="G8" s="44" t="s">
        <v>7892</v>
      </c>
      <c r="H8" s="44" t="s">
        <v>7891</v>
      </c>
      <c r="I8" s="44" t="s">
        <v>7893</v>
      </c>
      <c r="J8" s="44" t="s">
        <v>7894</v>
      </c>
      <c r="K8" s="44" t="s">
        <v>7895</v>
      </c>
    </row>
    <row r="9" spans="2:11" x14ac:dyDescent="0.2">
      <c r="B9" s="248" t="s">
        <v>7848</v>
      </c>
      <c r="C9" s="262">
        <v>500</v>
      </c>
      <c r="D9" s="262" t="s">
        <v>1</v>
      </c>
      <c r="E9" s="248" t="s">
        <v>4</v>
      </c>
      <c r="F9" s="248" t="s">
        <v>7879</v>
      </c>
    </row>
    <row r="10" spans="2:11" x14ac:dyDescent="0.2">
      <c r="B10" s="248" t="s">
        <v>7849</v>
      </c>
      <c r="C10" s="262">
        <v>62</v>
      </c>
      <c r="D10" s="262">
        <v>62</v>
      </c>
      <c r="E10" s="248" t="s">
        <v>7880</v>
      </c>
      <c r="F10" s="278" t="s">
        <v>7847</v>
      </c>
    </row>
    <row r="11" spans="2:11" x14ac:dyDescent="0.2">
      <c r="B11" s="248" t="s">
        <v>339</v>
      </c>
      <c r="F11" s="248" t="s">
        <v>7881</v>
      </c>
    </row>
    <row r="12" spans="2:11" x14ac:dyDescent="0.2">
      <c r="B12" s="248" t="s">
        <v>7872</v>
      </c>
      <c r="E12" s="248" t="s">
        <v>7883</v>
      </c>
      <c r="F12" s="248" t="s">
        <v>7882</v>
      </c>
    </row>
    <row r="13" spans="2:11" ht="15" x14ac:dyDescent="0.25">
      <c r="B13" s="248" t="s">
        <v>7851</v>
      </c>
      <c r="F13" s="248" t="s">
        <v>7884</v>
      </c>
      <c r="G13" s="44" t="s">
        <v>7896</v>
      </c>
      <c r="H13" s="248" t="s">
        <v>7897</v>
      </c>
    </row>
    <row r="14" spans="2:11" x14ac:dyDescent="0.2">
      <c r="B14" s="248" t="s">
        <v>7850</v>
      </c>
      <c r="F14" s="248" t="s">
        <v>7885</v>
      </c>
    </row>
    <row r="15" spans="2:11" x14ac:dyDescent="0.2">
      <c r="B15" s="248" t="s">
        <v>1103</v>
      </c>
      <c r="F15" s="248" t="s">
        <v>7886</v>
      </c>
    </row>
    <row r="16" spans="2:11" x14ac:dyDescent="0.2">
      <c r="B16" s="248" t="s">
        <v>7852</v>
      </c>
    </row>
    <row r="17" spans="2:2" x14ac:dyDescent="0.2">
      <c r="B17" s="248" t="s">
        <v>10</v>
      </c>
    </row>
    <row r="18" spans="2:2" x14ac:dyDescent="0.2">
      <c r="B18" s="248" t="s">
        <v>7853</v>
      </c>
    </row>
    <row r="19" spans="2:2" x14ac:dyDescent="0.2">
      <c r="B19" s="248" t="s">
        <v>7871</v>
      </c>
    </row>
    <row r="20" spans="2:2" x14ac:dyDescent="0.2">
      <c r="B20" s="248" t="s">
        <v>1001</v>
      </c>
    </row>
    <row r="21" spans="2:2" x14ac:dyDescent="0.2">
      <c r="B21" s="248" t="s">
        <v>7854</v>
      </c>
    </row>
    <row r="22" spans="2:2" x14ac:dyDescent="0.2">
      <c r="B22" s="248" t="s">
        <v>7855</v>
      </c>
    </row>
    <row r="23" spans="2:2" x14ac:dyDescent="0.2">
      <c r="B23" s="248" t="s">
        <v>1053</v>
      </c>
    </row>
    <row r="24" spans="2:2" x14ac:dyDescent="0.2">
      <c r="B24" s="248" t="s">
        <v>7856</v>
      </c>
    </row>
    <row r="25" spans="2:2" x14ac:dyDescent="0.2">
      <c r="B25" s="248" t="s">
        <v>7857</v>
      </c>
    </row>
    <row r="26" spans="2:2" x14ac:dyDescent="0.2">
      <c r="B26" s="248" t="s">
        <v>4404</v>
      </c>
    </row>
    <row r="27" spans="2:2" x14ac:dyDescent="0.2">
      <c r="B27" s="248" t="s">
        <v>7858</v>
      </c>
    </row>
    <row r="28" spans="2:2" x14ac:dyDescent="0.2">
      <c r="B28" s="248" t="s">
        <v>1130</v>
      </c>
    </row>
    <row r="29" spans="2:2" x14ac:dyDescent="0.2">
      <c r="B29" s="248" t="s">
        <v>7859</v>
      </c>
    </row>
    <row r="30" spans="2:2" x14ac:dyDescent="0.2">
      <c r="B30" s="248" t="s">
        <v>471</v>
      </c>
    </row>
    <row r="31" spans="2:2" x14ac:dyDescent="0.2">
      <c r="B31" s="248" t="s">
        <v>2176</v>
      </c>
    </row>
    <row r="32" spans="2:2" x14ac:dyDescent="0.2">
      <c r="B32" s="248" t="s">
        <v>1124</v>
      </c>
    </row>
    <row r="33" spans="2:2" x14ac:dyDescent="0.2">
      <c r="B33" s="248" t="s">
        <v>7860</v>
      </c>
    </row>
    <row r="34" spans="2:2" x14ac:dyDescent="0.2">
      <c r="B34" s="248" t="s">
        <v>1121</v>
      </c>
    </row>
    <row r="35" spans="2:2" x14ac:dyDescent="0.2">
      <c r="B35" s="248" t="s">
        <v>1097</v>
      </c>
    </row>
    <row r="36" spans="2:2" x14ac:dyDescent="0.2">
      <c r="B36" s="248" t="s">
        <v>7861</v>
      </c>
    </row>
    <row r="37" spans="2:2" x14ac:dyDescent="0.2">
      <c r="B37" s="248" t="s">
        <v>1096</v>
      </c>
    </row>
    <row r="38" spans="2:2" x14ac:dyDescent="0.2">
      <c r="B38" s="248" t="s">
        <v>7862</v>
      </c>
    </row>
    <row r="39" spans="2:2" x14ac:dyDescent="0.2">
      <c r="B39" s="248" t="s">
        <v>4338</v>
      </c>
    </row>
    <row r="40" spans="2:2" x14ac:dyDescent="0.2">
      <c r="B40" s="248" t="s">
        <v>704</v>
      </c>
    </row>
    <row r="41" spans="2:2" x14ac:dyDescent="0.2">
      <c r="B41" s="248" t="s">
        <v>7863</v>
      </c>
    </row>
    <row r="42" spans="2:2" x14ac:dyDescent="0.2">
      <c r="B42" s="248" t="s">
        <v>7864</v>
      </c>
    </row>
    <row r="43" spans="2:2" x14ac:dyDescent="0.2">
      <c r="B43" s="248" t="s">
        <v>1092</v>
      </c>
    </row>
    <row r="44" spans="2:2" x14ac:dyDescent="0.2">
      <c r="B44" s="248" t="s">
        <v>7865</v>
      </c>
    </row>
    <row r="45" spans="2:2" x14ac:dyDescent="0.2">
      <c r="B45" s="248" t="s">
        <v>7866</v>
      </c>
    </row>
    <row r="46" spans="2:2" x14ac:dyDescent="0.2">
      <c r="B46" s="248" t="s">
        <v>7867</v>
      </c>
    </row>
    <row r="47" spans="2:2" x14ac:dyDescent="0.2">
      <c r="B47" s="248" t="s">
        <v>7873</v>
      </c>
    </row>
    <row r="48" spans="2:2" x14ac:dyDescent="0.2">
      <c r="B48" s="248" t="s">
        <v>1058</v>
      </c>
    </row>
    <row r="49" spans="2:2" x14ac:dyDescent="0.2">
      <c r="B49" s="248" t="s">
        <v>3896</v>
      </c>
    </row>
    <row r="50" spans="2:2" x14ac:dyDescent="0.2">
      <c r="B50" s="248" t="s">
        <v>739</v>
      </c>
    </row>
    <row r="51" spans="2:2" x14ac:dyDescent="0.2">
      <c r="B51" s="248" t="s">
        <v>7868</v>
      </c>
    </row>
    <row r="52" spans="2:2" x14ac:dyDescent="0.2">
      <c r="B52" s="248" t="s">
        <v>1095</v>
      </c>
    </row>
    <row r="53" spans="2:2" x14ac:dyDescent="0.2">
      <c r="B53" s="248" t="s">
        <v>7869</v>
      </c>
    </row>
    <row r="54" spans="2:2" x14ac:dyDescent="0.2">
      <c r="B54" s="248" t="s">
        <v>774</v>
      </c>
    </row>
    <row r="55" spans="2:2" x14ac:dyDescent="0.2">
      <c r="B55" s="248" t="s">
        <v>6427</v>
      </c>
    </row>
    <row r="56" spans="2:2" x14ac:dyDescent="0.2">
      <c r="B56" s="248" t="s">
        <v>474</v>
      </c>
    </row>
  </sheetData>
  <hyperlinks>
    <hyperlink ref="G6" r:id="rId1" xr:uid="{635B86DE-FB8E-3149-A219-7AAF7F94CB8A}"/>
    <hyperlink ref="H8" r:id="rId2" xr:uid="{EEC4F32F-228E-9849-ABE5-8FD628974054}"/>
    <hyperlink ref="G8" r:id="rId3" xr:uid="{A47F64C5-D86D-A749-9458-02D9A138E622}"/>
    <hyperlink ref="I8" r:id="rId4" xr:uid="{F9114230-9BC6-2842-A17B-CFD18B176763}"/>
    <hyperlink ref="J8" r:id="rId5" xr:uid="{17B9FFBE-FDDB-AF4C-8443-3151ADC46287}"/>
    <hyperlink ref="K8" r:id="rId6" xr:uid="{E5B5F06F-3FAA-2240-932C-D458E083785A}"/>
    <hyperlink ref="G13" r:id="rId7" xr:uid="{9446B0D2-9E99-D543-ACF5-7F76B7F0666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4CD1C-834B-8A4A-990B-0265C60EECF2}">
  <dimension ref="A1:Z345"/>
  <sheetViews>
    <sheetView topLeftCell="A288" zoomScale="160" zoomScaleNormal="160" workbookViewId="0">
      <selection activeCell="C297" sqref="C297"/>
    </sheetView>
  </sheetViews>
  <sheetFormatPr defaultColWidth="8.875" defaultRowHeight="12.75" x14ac:dyDescent="0.2"/>
  <cols>
    <col min="1" max="1" width="4.375" style="109" bestFit="1" customWidth="1"/>
    <col min="2" max="2" width="28.125" style="109" customWidth="1"/>
    <col min="3" max="3" width="51.5" style="109" customWidth="1"/>
    <col min="4" max="4" width="6.125" style="109" customWidth="1"/>
    <col min="5" max="18" width="4.625" style="109" customWidth="1"/>
    <col min="19" max="16384" width="8.875" style="109"/>
  </cols>
  <sheetData>
    <row r="1" spans="1:3" x14ac:dyDescent="0.2">
      <c r="A1" s="25" t="s">
        <v>1165</v>
      </c>
    </row>
    <row r="2" spans="1:3" x14ac:dyDescent="0.2">
      <c r="A2" s="25"/>
      <c r="B2" s="109" t="s">
        <v>5255</v>
      </c>
      <c r="C2" s="109" t="s">
        <v>5261</v>
      </c>
    </row>
    <row r="3" spans="1:3" x14ac:dyDescent="0.2">
      <c r="A3" s="25"/>
      <c r="B3" s="109" t="s">
        <v>4873</v>
      </c>
      <c r="C3" s="109" t="s">
        <v>4874</v>
      </c>
    </row>
    <row r="4" spans="1:3" x14ac:dyDescent="0.2">
      <c r="A4" s="25"/>
      <c r="B4" s="183" t="s">
        <v>6691</v>
      </c>
      <c r="C4" s="183" t="s">
        <v>6692</v>
      </c>
    </row>
    <row r="5" spans="1:3" x14ac:dyDescent="0.2">
      <c r="A5" s="25"/>
      <c r="B5" s="109" t="s">
        <v>4247</v>
      </c>
      <c r="C5" s="109" t="s">
        <v>5948</v>
      </c>
    </row>
    <row r="6" spans="1:3" x14ac:dyDescent="0.2">
      <c r="A6" s="25"/>
      <c r="B6" s="109" t="s">
        <v>4425</v>
      </c>
      <c r="C6" s="109" t="s">
        <v>5225</v>
      </c>
    </row>
    <row r="7" spans="1:3" x14ac:dyDescent="0.2">
      <c r="A7" s="25"/>
      <c r="B7" s="109" t="s">
        <v>4421</v>
      </c>
    </row>
    <row r="8" spans="1:3" x14ac:dyDescent="0.2">
      <c r="A8" s="25"/>
      <c r="B8" s="109" t="s">
        <v>4271</v>
      </c>
      <c r="C8" s="109" t="s">
        <v>4272</v>
      </c>
    </row>
    <row r="9" spans="1:3" x14ac:dyDescent="0.2">
      <c r="B9" s="109" t="s">
        <v>4173</v>
      </c>
      <c r="C9" s="109" t="s">
        <v>4172</v>
      </c>
    </row>
    <row r="10" spans="1:3" x14ac:dyDescent="0.2">
      <c r="B10" s="109" t="s">
        <v>5210</v>
      </c>
      <c r="C10" s="109" t="s">
        <v>5211</v>
      </c>
    </row>
    <row r="11" spans="1:3" x14ac:dyDescent="0.2">
      <c r="B11" s="109" t="s">
        <v>4171</v>
      </c>
      <c r="C11" s="109" t="s">
        <v>4170</v>
      </c>
    </row>
    <row r="12" spans="1:3" x14ac:dyDescent="0.2">
      <c r="B12" s="109" t="s">
        <v>4440</v>
      </c>
      <c r="C12" s="109" t="s">
        <v>4460</v>
      </c>
    </row>
    <row r="13" spans="1:3" x14ac:dyDescent="0.2">
      <c r="B13" s="109" t="s">
        <v>4167</v>
      </c>
      <c r="C13" s="109" t="s">
        <v>4166</v>
      </c>
    </row>
    <row r="14" spans="1:3" x14ac:dyDescent="0.2">
      <c r="B14" s="109" t="s">
        <v>4849</v>
      </c>
    </row>
    <row r="15" spans="1:3" x14ac:dyDescent="0.2">
      <c r="B15" s="109" t="s">
        <v>4163</v>
      </c>
      <c r="C15" s="109" t="s">
        <v>4162</v>
      </c>
    </row>
    <row r="16" spans="1:3" x14ac:dyDescent="0.2">
      <c r="B16" s="109" t="s">
        <v>4657</v>
      </c>
      <c r="C16" s="109" t="s">
        <v>6120</v>
      </c>
    </row>
    <row r="17" spans="2:3" x14ac:dyDescent="0.2">
      <c r="B17" s="109" t="s">
        <v>4419</v>
      </c>
    </row>
    <row r="18" spans="2:3" x14ac:dyDescent="0.2">
      <c r="B18" s="109" t="s">
        <v>6358</v>
      </c>
    </row>
    <row r="19" spans="2:3" x14ac:dyDescent="0.2">
      <c r="B19" s="109" t="s">
        <v>4658</v>
      </c>
      <c r="C19" s="109" t="s">
        <v>4408</v>
      </c>
    </row>
    <row r="20" spans="2:3" x14ac:dyDescent="0.2">
      <c r="B20" s="109" t="s">
        <v>4157</v>
      </c>
      <c r="C20" s="109" t="s">
        <v>4156</v>
      </c>
    </row>
    <row r="21" spans="2:3" x14ac:dyDescent="0.2">
      <c r="B21" s="109" t="s">
        <v>4154</v>
      </c>
    </row>
    <row r="22" spans="2:3" x14ac:dyDescent="0.2">
      <c r="B22" s="109" t="s">
        <v>5274</v>
      </c>
    </row>
    <row r="23" spans="2:3" x14ac:dyDescent="0.2">
      <c r="B23" s="109" t="s">
        <v>4151</v>
      </c>
      <c r="C23" s="109" t="s">
        <v>5393</v>
      </c>
    </row>
    <row r="24" spans="2:3" x14ac:dyDescent="0.2">
      <c r="B24" s="109" t="s">
        <v>4243</v>
      </c>
    </row>
    <row r="25" spans="2:3" x14ac:dyDescent="0.2">
      <c r="B25" s="109" t="s">
        <v>4148</v>
      </c>
      <c r="C25" s="109" t="s">
        <v>4147</v>
      </c>
    </row>
    <row r="26" spans="2:3" x14ac:dyDescent="0.2">
      <c r="B26" s="109" t="s">
        <v>4269</v>
      </c>
      <c r="C26" s="109" t="s">
        <v>4270</v>
      </c>
    </row>
    <row r="27" spans="2:3" x14ac:dyDescent="0.2">
      <c r="B27" s="109" t="s">
        <v>4146</v>
      </c>
      <c r="C27" s="109" t="s">
        <v>4000</v>
      </c>
    </row>
    <row r="28" spans="2:3" x14ac:dyDescent="0.2">
      <c r="B28" s="214" t="s">
        <v>7235</v>
      </c>
      <c r="C28" s="214" t="s">
        <v>7236</v>
      </c>
    </row>
    <row r="29" spans="2:3" x14ac:dyDescent="0.2">
      <c r="B29" s="109" t="s">
        <v>6140</v>
      </c>
      <c r="C29" s="109" t="s">
        <v>6141</v>
      </c>
    </row>
    <row r="30" spans="2:3" x14ac:dyDescent="0.2">
      <c r="B30" s="109" t="s">
        <v>5967</v>
      </c>
      <c r="C30" s="109" t="s">
        <v>5968</v>
      </c>
    </row>
    <row r="31" spans="2:3" x14ac:dyDescent="0.2">
      <c r="B31" s="109" t="s">
        <v>6123</v>
      </c>
      <c r="C31" s="109" t="s">
        <v>6122</v>
      </c>
    </row>
    <row r="32" spans="2:3" x14ac:dyDescent="0.2">
      <c r="B32" s="109" t="s">
        <v>4143</v>
      </c>
      <c r="C32" s="109" t="s">
        <v>4000</v>
      </c>
    </row>
    <row r="33" spans="2:3" x14ac:dyDescent="0.2">
      <c r="B33" s="109" t="s">
        <v>4141</v>
      </c>
      <c r="C33" s="109" t="s">
        <v>4140</v>
      </c>
    </row>
    <row r="34" spans="2:3" x14ac:dyDescent="0.2">
      <c r="B34" s="109" t="s">
        <v>6124</v>
      </c>
    </row>
    <row r="35" spans="2:3" x14ac:dyDescent="0.2">
      <c r="B35" s="109" t="s">
        <v>6125</v>
      </c>
      <c r="C35" s="109" t="s">
        <v>6122</v>
      </c>
    </row>
    <row r="36" spans="2:3" x14ac:dyDescent="0.2">
      <c r="B36" s="183" t="s">
        <v>6998</v>
      </c>
      <c r="C36" s="183" t="s">
        <v>6999</v>
      </c>
    </row>
    <row r="37" spans="2:3" x14ac:dyDescent="0.2">
      <c r="B37" s="109" t="s">
        <v>4138</v>
      </c>
      <c r="C37" s="109" t="s">
        <v>4656</v>
      </c>
    </row>
    <row r="38" spans="2:3" x14ac:dyDescent="0.2">
      <c r="B38" s="109" t="s">
        <v>3854</v>
      </c>
      <c r="C38" s="109" t="s">
        <v>6357</v>
      </c>
    </row>
    <row r="39" spans="2:3" x14ac:dyDescent="0.2">
      <c r="B39" s="183" t="s">
        <v>7004</v>
      </c>
      <c r="C39" s="183" t="s">
        <v>7005</v>
      </c>
    </row>
    <row r="40" spans="2:3" x14ac:dyDescent="0.2">
      <c r="B40" s="109" t="s">
        <v>5333</v>
      </c>
      <c r="C40" s="109" t="s">
        <v>5334</v>
      </c>
    </row>
    <row r="41" spans="2:3" x14ac:dyDescent="0.2">
      <c r="B41" s="183" t="s">
        <v>6764</v>
      </c>
      <c r="C41" s="183" t="s">
        <v>5968</v>
      </c>
    </row>
    <row r="42" spans="2:3" x14ac:dyDescent="0.2">
      <c r="B42" s="183" t="s">
        <v>7129</v>
      </c>
      <c r="C42" s="183" t="s">
        <v>7130</v>
      </c>
    </row>
    <row r="43" spans="2:3" x14ac:dyDescent="0.2">
      <c r="B43" s="109" t="s">
        <v>5952</v>
      </c>
      <c r="C43" s="109" t="s">
        <v>5953</v>
      </c>
    </row>
    <row r="44" spans="2:3" x14ac:dyDescent="0.2">
      <c r="B44" s="109" t="s">
        <v>4136</v>
      </c>
    </row>
    <row r="45" spans="2:3" x14ac:dyDescent="0.2">
      <c r="B45" s="109" t="s">
        <v>4133</v>
      </c>
      <c r="C45" s="109" t="s">
        <v>4132</v>
      </c>
    </row>
    <row r="46" spans="2:3" x14ac:dyDescent="0.2">
      <c r="B46" s="109" t="s">
        <v>5954</v>
      </c>
      <c r="C46" s="109" t="s">
        <v>5955</v>
      </c>
    </row>
    <row r="47" spans="2:3" x14ac:dyDescent="0.2">
      <c r="B47" s="109" t="s">
        <v>4413</v>
      </c>
    </row>
    <row r="48" spans="2:3" x14ac:dyDescent="0.2">
      <c r="B48" s="109" t="s">
        <v>6136</v>
      </c>
    </row>
    <row r="49" spans="2:3" x14ac:dyDescent="0.2">
      <c r="B49" s="109" t="s">
        <v>5270</v>
      </c>
    </row>
    <row r="50" spans="2:3" x14ac:dyDescent="0.2">
      <c r="B50" s="43" t="s">
        <v>4130</v>
      </c>
      <c r="C50" s="109" t="s">
        <v>6130</v>
      </c>
    </row>
    <row r="51" spans="2:3" x14ac:dyDescent="0.2">
      <c r="B51" s="109" t="s">
        <v>4129</v>
      </c>
      <c r="C51" s="109" t="s">
        <v>4128</v>
      </c>
    </row>
    <row r="52" spans="2:3" x14ac:dyDescent="0.2">
      <c r="B52" s="109" t="s">
        <v>4126</v>
      </c>
    </row>
    <row r="53" spans="2:3" x14ac:dyDescent="0.2">
      <c r="B53" s="109" t="s">
        <v>4450</v>
      </c>
      <c r="C53" s="109" t="s">
        <v>4906</v>
      </c>
    </row>
    <row r="54" spans="2:3" x14ac:dyDescent="0.2">
      <c r="B54" s="109" t="s">
        <v>4123</v>
      </c>
      <c r="C54" s="109" t="s">
        <v>4122</v>
      </c>
    </row>
    <row r="55" spans="2:3" x14ac:dyDescent="0.2">
      <c r="B55" s="109" t="s">
        <v>4442</v>
      </c>
    </row>
    <row r="56" spans="2:3" x14ac:dyDescent="0.2">
      <c r="B56" s="109" t="s">
        <v>4242</v>
      </c>
    </row>
    <row r="57" spans="2:3" x14ac:dyDescent="0.2">
      <c r="B57" s="214" t="s">
        <v>7237</v>
      </c>
      <c r="C57" s="214" t="s">
        <v>7238</v>
      </c>
    </row>
    <row r="58" spans="2:3" x14ac:dyDescent="0.2">
      <c r="B58" s="109" t="s">
        <v>6355</v>
      </c>
      <c r="C58" s="109" t="s">
        <v>6356</v>
      </c>
    </row>
    <row r="59" spans="2:3" x14ac:dyDescent="0.2">
      <c r="B59" s="109" t="s">
        <v>4119</v>
      </c>
      <c r="C59" s="109" t="s">
        <v>4459</v>
      </c>
    </row>
    <row r="60" spans="2:3" x14ac:dyDescent="0.2">
      <c r="B60" s="109" t="s">
        <v>4447</v>
      </c>
      <c r="C60" s="109" t="s">
        <v>4448</v>
      </c>
    </row>
    <row r="61" spans="2:3" x14ac:dyDescent="0.2">
      <c r="B61" s="109" t="s">
        <v>4116</v>
      </c>
      <c r="C61" s="109" t="s">
        <v>4115</v>
      </c>
    </row>
    <row r="62" spans="2:3" x14ac:dyDescent="0.2">
      <c r="B62" s="109" t="s">
        <v>5959</v>
      </c>
      <c r="C62" s="109" t="s">
        <v>5960</v>
      </c>
    </row>
    <row r="63" spans="2:3" ht="51" x14ac:dyDescent="0.2">
      <c r="B63" s="109" t="s">
        <v>4462</v>
      </c>
      <c r="C63" s="273" t="s">
        <v>7815</v>
      </c>
    </row>
    <row r="64" spans="2:3" x14ac:dyDescent="0.2">
      <c r="B64" s="109" t="s">
        <v>4113</v>
      </c>
    </row>
    <row r="65" spans="2:3" x14ac:dyDescent="0.2">
      <c r="B65" s="214" t="s">
        <v>7162</v>
      </c>
      <c r="C65" s="214" t="s">
        <v>7163</v>
      </c>
    </row>
    <row r="66" spans="2:3" ht="27.95" customHeight="1" x14ac:dyDescent="0.2">
      <c r="B66" s="109" t="s">
        <v>4111</v>
      </c>
      <c r="C66" s="273" t="s">
        <v>4110</v>
      </c>
    </row>
    <row r="67" spans="2:3" x14ac:dyDescent="0.2">
      <c r="B67" s="109" t="s">
        <v>5288</v>
      </c>
      <c r="C67" s="109" t="s">
        <v>5289</v>
      </c>
    </row>
    <row r="68" spans="2:3" ht="128.1" customHeight="1" x14ac:dyDescent="0.2">
      <c r="B68" s="43" t="s">
        <v>4254</v>
      </c>
      <c r="C68" s="273" t="s">
        <v>7821</v>
      </c>
    </row>
    <row r="69" spans="2:3" x14ac:dyDescent="0.2">
      <c r="B69" s="43" t="s">
        <v>7816</v>
      </c>
      <c r="C69" s="273" t="s">
        <v>7817</v>
      </c>
    </row>
    <row r="70" spans="2:3" x14ac:dyDescent="0.2">
      <c r="B70" s="109" t="s">
        <v>5216</v>
      </c>
      <c r="C70" s="257" t="s">
        <v>7811</v>
      </c>
    </row>
    <row r="71" spans="2:3" ht="39.950000000000003" customHeight="1" x14ac:dyDescent="0.2">
      <c r="B71" s="183" t="s">
        <v>7006</v>
      </c>
      <c r="C71" s="273" t="s">
        <v>7812</v>
      </c>
    </row>
    <row r="72" spans="2:3" x14ac:dyDescent="0.2">
      <c r="B72" s="109" t="s">
        <v>5965</v>
      </c>
      <c r="C72" s="109" t="s">
        <v>5966</v>
      </c>
    </row>
    <row r="73" spans="2:3" ht="38.25" x14ac:dyDescent="0.2">
      <c r="B73" s="109" t="s">
        <v>5956</v>
      </c>
      <c r="C73" s="241" t="s">
        <v>5957</v>
      </c>
    </row>
    <row r="74" spans="2:3" x14ac:dyDescent="0.2">
      <c r="B74" s="109" t="s">
        <v>5271</v>
      </c>
    </row>
    <row r="75" spans="2:3" x14ac:dyDescent="0.2">
      <c r="B75" s="109" t="s">
        <v>1250</v>
      </c>
      <c r="C75" s="109" t="s">
        <v>4257</v>
      </c>
    </row>
    <row r="76" spans="2:3" x14ac:dyDescent="0.2">
      <c r="B76" s="109" t="s">
        <v>4420</v>
      </c>
      <c r="C76" s="257" t="s">
        <v>7818</v>
      </c>
    </row>
    <row r="77" spans="2:3" x14ac:dyDescent="0.2">
      <c r="B77" s="183" t="s">
        <v>7148</v>
      </c>
      <c r="C77" s="257" t="s">
        <v>7819</v>
      </c>
    </row>
    <row r="78" spans="2:3" x14ac:dyDescent="0.2">
      <c r="B78" s="109" t="s">
        <v>4432</v>
      </c>
    </row>
    <row r="79" spans="2:3" x14ac:dyDescent="0.2">
      <c r="B79" s="109" t="s">
        <v>5398</v>
      </c>
    </row>
    <row r="80" spans="2:3" x14ac:dyDescent="0.2">
      <c r="B80" s="109" t="s">
        <v>4107</v>
      </c>
      <c r="C80" s="109" t="s">
        <v>4106</v>
      </c>
    </row>
    <row r="81" spans="2:3" x14ac:dyDescent="0.2">
      <c r="B81" s="183" t="s">
        <v>7151</v>
      </c>
      <c r="C81" s="183" t="s">
        <v>7152</v>
      </c>
    </row>
    <row r="82" spans="2:3" x14ac:dyDescent="0.2">
      <c r="B82" s="109" t="s">
        <v>4103</v>
      </c>
      <c r="C82" s="109" t="s">
        <v>4458</v>
      </c>
    </row>
    <row r="83" spans="2:3" x14ac:dyDescent="0.2">
      <c r="B83" s="109" t="s">
        <v>4418</v>
      </c>
    </row>
    <row r="84" spans="2:3" x14ac:dyDescent="0.2">
      <c r="B84" s="167" t="s">
        <v>6616</v>
      </c>
      <c r="C84" s="167" t="s">
        <v>6617</v>
      </c>
    </row>
    <row r="85" spans="2:3" x14ac:dyDescent="0.2">
      <c r="B85" s="109" t="s">
        <v>5282</v>
      </c>
      <c r="C85" s="109" t="s">
        <v>5283</v>
      </c>
    </row>
    <row r="86" spans="2:3" x14ac:dyDescent="0.2">
      <c r="B86" s="109" t="s">
        <v>4100</v>
      </c>
      <c r="C86" s="109" t="s">
        <v>4099</v>
      </c>
    </row>
    <row r="87" spans="2:3" x14ac:dyDescent="0.2">
      <c r="B87" s="214" t="s">
        <v>7171</v>
      </c>
      <c r="C87" s="214" t="s">
        <v>7172</v>
      </c>
    </row>
    <row r="88" spans="2:3" x14ac:dyDescent="0.2">
      <c r="B88" s="183" t="s">
        <v>7017</v>
      </c>
      <c r="C88" s="183" t="s">
        <v>7018</v>
      </c>
    </row>
    <row r="89" spans="2:3" x14ac:dyDescent="0.2">
      <c r="B89" s="109" t="s">
        <v>5206</v>
      </c>
      <c r="C89" s="109" t="s">
        <v>5207</v>
      </c>
    </row>
    <row r="90" spans="2:3" x14ac:dyDescent="0.2">
      <c r="B90" s="109" t="s">
        <v>5278</v>
      </c>
      <c r="C90" s="109" t="s">
        <v>5279</v>
      </c>
    </row>
    <row r="91" spans="2:3" x14ac:dyDescent="0.2">
      <c r="B91" s="109" t="s">
        <v>5223</v>
      </c>
      <c r="C91" s="109" t="s">
        <v>5257</v>
      </c>
    </row>
    <row r="92" spans="2:3" x14ac:dyDescent="0.2">
      <c r="B92" s="109" t="s">
        <v>5224</v>
      </c>
    </row>
    <row r="93" spans="2:3" x14ac:dyDescent="0.2">
      <c r="B93" s="109" t="s">
        <v>5290</v>
      </c>
      <c r="C93" s="109" t="s">
        <v>5291</v>
      </c>
    </row>
    <row r="94" spans="2:3" x14ac:dyDescent="0.2">
      <c r="B94" s="109" t="s">
        <v>4455</v>
      </c>
      <c r="C94" s="109" t="s">
        <v>4456</v>
      </c>
    </row>
    <row r="95" spans="2:3" x14ac:dyDescent="0.2">
      <c r="B95" s="109" t="s">
        <v>4098</v>
      </c>
      <c r="C95" s="109" t="s">
        <v>4653</v>
      </c>
    </row>
    <row r="96" spans="2:3" x14ac:dyDescent="0.2">
      <c r="B96" s="257" t="s">
        <v>7695</v>
      </c>
    </row>
    <row r="97" spans="2:3" x14ac:dyDescent="0.2">
      <c r="B97" s="214" t="s">
        <v>7218</v>
      </c>
      <c r="C97" s="214" t="s">
        <v>7219</v>
      </c>
    </row>
    <row r="98" spans="2:3" x14ac:dyDescent="0.2">
      <c r="B98" s="109" t="s">
        <v>4097</v>
      </c>
    </row>
    <row r="99" spans="2:3" x14ac:dyDescent="0.2">
      <c r="B99" s="257" t="s">
        <v>7675</v>
      </c>
      <c r="C99" s="257" t="s">
        <v>7676</v>
      </c>
    </row>
    <row r="100" spans="2:3" x14ac:dyDescent="0.2">
      <c r="B100" s="109" t="s">
        <v>4655</v>
      </c>
    </row>
    <row r="101" spans="2:3" x14ac:dyDescent="0.2">
      <c r="B101" s="214" t="s">
        <v>7214</v>
      </c>
      <c r="C101" s="214" t="s">
        <v>7215</v>
      </c>
    </row>
    <row r="102" spans="2:3" x14ac:dyDescent="0.2">
      <c r="B102" s="109" t="s">
        <v>4444</v>
      </c>
    </row>
    <row r="103" spans="2:3" x14ac:dyDescent="0.2">
      <c r="B103" s="109" t="s">
        <v>4096</v>
      </c>
    </row>
    <row r="104" spans="2:3" x14ac:dyDescent="0.2">
      <c r="B104" s="109" t="s">
        <v>4095</v>
      </c>
      <c r="C104" s="109" t="s">
        <v>4094</v>
      </c>
    </row>
    <row r="105" spans="2:3" x14ac:dyDescent="0.2">
      <c r="B105" s="109" t="s">
        <v>4259</v>
      </c>
      <c r="C105" s="109" t="s">
        <v>4260</v>
      </c>
    </row>
    <row r="106" spans="2:3" x14ac:dyDescent="0.2">
      <c r="B106" s="109" t="s">
        <v>4093</v>
      </c>
      <c r="C106" s="109" t="s">
        <v>4092</v>
      </c>
    </row>
    <row r="107" spans="2:3" x14ac:dyDescent="0.2">
      <c r="B107" s="109" t="s">
        <v>5277</v>
      </c>
    </row>
    <row r="108" spans="2:3" x14ac:dyDescent="0.2">
      <c r="B108" s="109" t="s">
        <v>4091</v>
      </c>
      <c r="C108" s="109" t="s">
        <v>5394</v>
      </c>
    </row>
    <row r="109" spans="2:3" x14ac:dyDescent="0.2">
      <c r="B109" s="109" t="s">
        <v>4090</v>
      </c>
    </row>
    <row r="110" spans="2:3" x14ac:dyDescent="0.2">
      <c r="B110" s="109" t="s">
        <v>4089</v>
      </c>
      <c r="C110" s="109" t="s">
        <v>4088</v>
      </c>
    </row>
    <row r="111" spans="2:3" x14ac:dyDescent="0.2">
      <c r="B111" s="183" t="s">
        <v>7131</v>
      </c>
      <c r="C111" s="183" t="s">
        <v>7132</v>
      </c>
    </row>
    <row r="112" spans="2:3" x14ac:dyDescent="0.2">
      <c r="B112" s="109" t="s">
        <v>4087</v>
      </c>
      <c r="C112" s="109" t="s">
        <v>4086</v>
      </c>
    </row>
    <row r="113" spans="2:3" x14ac:dyDescent="0.2">
      <c r="B113" s="109" t="s">
        <v>4085</v>
      </c>
      <c r="C113" s="109" t="s">
        <v>4084</v>
      </c>
    </row>
    <row r="114" spans="2:3" x14ac:dyDescent="0.2">
      <c r="B114" s="109" t="s">
        <v>4083</v>
      </c>
      <c r="C114" s="257" t="s">
        <v>7807</v>
      </c>
    </row>
    <row r="115" spans="2:3" x14ac:dyDescent="0.2">
      <c r="B115" s="109" t="s">
        <v>5682</v>
      </c>
      <c r="C115" s="109" t="s">
        <v>5958</v>
      </c>
    </row>
    <row r="116" spans="2:3" x14ac:dyDescent="0.2">
      <c r="B116" s="109" t="s">
        <v>5275</v>
      </c>
    </row>
    <row r="117" spans="2:3" x14ac:dyDescent="0.2">
      <c r="B117" s="109" t="s">
        <v>4082</v>
      </c>
      <c r="C117" s="109" t="s">
        <v>4081</v>
      </c>
    </row>
    <row r="118" spans="2:3" x14ac:dyDescent="0.2">
      <c r="B118" s="109" t="s">
        <v>5267</v>
      </c>
    </row>
    <row r="119" spans="2:3" x14ac:dyDescent="0.2">
      <c r="B119" s="109" t="s">
        <v>4080</v>
      </c>
      <c r="C119" s="109" t="s">
        <v>4079</v>
      </c>
    </row>
    <row r="120" spans="2:3" x14ac:dyDescent="0.2">
      <c r="B120" s="109" t="s">
        <v>4443</v>
      </c>
    </row>
    <row r="121" spans="2:3" x14ac:dyDescent="0.2">
      <c r="B121" s="257" t="s">
        <v>7805</v>
      </c>
    </row>
    <row r="122" spans="2:3" x14ac:dyDescent="0.2">
      <c r="B122" s="214" t="s">
        <v>7169</v>
      </c>
      <c r="C122" s="214" t="s">
        <v>7170</v>
      </c>
    </row>
    <row r="123" spans="2:3" x14ac:dyDescent="0.2">
      <c r="B123" s="109" t="s">
        <v>4869</v>
      </c>
      <c r="C123" s="109" t="s">
        <v>4870</v>
      </c>
    </row>
    <row r="124" spans="2:3" x14ac:dyDescent="0.2">
      <c r="B124" s="214" t="s">
        <v>7225</v>
      </c>
    </row>
    <row r="125" spans="2:3" x14ac:dyDescent="0.2">
      <c r="B125" s="109" t="s">
        <v>5215</v>
      </c>
      <c r="C125" s="109" t="s">
        <v>5259</v>
      </c>
    </row>
    <row r="126" spans="2:3" x14ac:dyDescent="0.2">
      <c r="B126" s="109" t="s">
        <v>5228</v>
      </c>
      <c r="C126" s="109" t="s">
        <v>5229</v>
      </c>
    </row>
    <row r="127" spans="2:3" x14ac:dyDescent="0.2">
      <c r="B127" s="109" t="s">
        <v>926</v>
      </c>
      <c r="C127" s="109" t="s">
        <v>4437</v>
      </c>
    </row>
    <row r="128" spans="2:3" x14ac:dyDescent="0.2">
      <c r="B128" s="109" t="s">
        <v>4878</v>
      </c>
      <c r="C128" s="109" t="s">
        <v>6135</v>
      </c>
    </row>
    <row r="129" spans="2:3" x14ac:dyDescent="0.2">
      <c r="B129" s="109" t="s">
        <v>4436</v>
      </c>
      <c r="C129" s="257" t="s">
        <v>7800</v>
      </c>
    </row>
    <row r="130" spans="2:3" x14ac:dyDescent="0.2">
      <c r="B130" s="183" t="s">
        <v>7010</v>
      </c>
      <c r="C130" s="183" t="s">
        <v>7011</v>
      </c>
    </row>
    <row r="131" spans="2:3" x14ac:dyDescent="0.2">
      <c r="B131" s="109" t="s">
        <v>6131</v>
      </c>
      <c r="C131" s="109" t="s">
        <v>6142</v>
      </c>
    </row>
    <row r="132" spans="2:3" x14ac:dyDescent="0.2">
      <c r="B132" s="109" t="s">
        <v>4251</v>
      </c>
      <c r="C132" s="109" t="s">
        <v>6143</v>
      </c>
    </row>
    <row r="133" spans="2:3" x14ac:dyDescent="0.2">
      <c r="B133" s="167" t="s">
        <v>6622</v>
      </c>
      <c r="C133" s="167" t="s">
        <v>6623</v>
      </c>
    </row>
    <row r="134" spans="2:3" x14ac:dyDescent="0.2">
      <c r="B134" s="109" t="s">
        <v>6332</v>
      </c>
      <c r="C134" s="109" t="s">
        <v>6333</v>
      </c>
    </row>
    <row r="135" spans="2:3" x14ac:dyDescent="0.2">
      <c r="B135" s="109" t="s">
        <v>5200</v>
      </c>
      <c r="C135" s="109" t="s">
        <v>5201</v>
      </c>
    </row>
    <row r="136" spans="2:3" x14ac:dyDescent="0.2">
      <c r="B136" s="109" t="s">
        <v>4449</v>
      </c>
      <c r="C136" s="214" t="s">
        <v>7168</v>
      </c>
    </row>
    <row r="137" spans="2:3" x14ac:dyDescent="0.2">
      <c r="B137" s="183" t="s">
        <v>7125</v>
      </c>
      <c r="C137" s="183" t="s">
        <v>7126</v>
      </c>
    </row>
    <row r="138" spans="2:3" x14ac:dyDescent="0.2">
      <c r="B138" s="257" t="s">
        <v>7822</v>
      </c>
      <c r="C138" s="257" t="s">
        <v>7823</v>
      </c>
    </row>
    <row r="139" spans="2:3" ht="15.75" x14ac:dyDescent="0.25">
      <c r="B139"/>
    </row>
    <row r="140" spans="2:3" ht="15.75" x14ac:dyDescent="0.25">
      <c r="B140"/>
    </row>
    <row r="141" spans="2:3" ht="15.75" x14ac:dyDescent="0.25">
      <c r="B141"/>
    </row>
    <row r="142" spans="2:3" ht="15.75" x14ac:dyDescent="0.25">
      <c r="B142"/>
    </row>
    <row r="143" spans="2:3" x14ac:dyDescent="0.2">
      <c r="B143" s="109" t="s">
        <v>6128</v>
      </c>
      <c r="C143" s="109" t="s">
        <v>6129</v>
      </c>
    </row>
    <row r="144" spans="2:3" x14ac:dyDescent="0.2">
      <c r="B144" s="109" t="s">
        <v>4241</v>
      </c>
    </row>
    <row r="145" spans="2:3" x14ac:dyDescent="0.2">
      <c r="B145" s="257" t="s">
        <v>7696</v>
      </c>
    </row>
    <row r="146" spans="2:3" x14ac:dyDescent="0.2">
      <c r="B146" s="109" t="s">
        <v>5284</v>
      </c>
      <c r="C146" s="109" t="s">
        <v>5285</v>
      </c>
    </row>
    <row r="147" spans="2:3" x14ac:dyDescent="0.2">
      <c r="B147" s="257" t="s">
        <v>7813</v>
      </c>
      <c r="C147" s="257" t="s">
        <v>7814</v>
      </c>
    </row>
    <row r="148" spans="2:3" x14ac:dyDescent="0.2">
      <c r="B148" s="109" t="s">
        <v>4078</v>
      </c>
      <c r="C148" s="109" t="s">
        <v>4077</v>
      </c>
    </row>
    <row r="149" spans="2:3" x14ac:dyDescent="0.2">
      <c r="B149" s="109" t="s">
        <v>4076</v>
      </c>
    </row>
    <row r="150" spans="2:3" x14ac:dyDescent="0.2">
      <c r="B150" s="109" t="s">
        <v>4075</v>
      </c>
      <c r="C150" s="109" t="s">
        <v>4074</v>
      </c>
    </row>
    <row r="151" spans="2:3" x14ac:dyDescent="0.2">
      <c r="B151" s="109" t="s">
        <v>4433</v>
      </c>
    </row>
    <row r="152" spans="2:3" x14ac:dyDescent="0.2">
      <c r="B152" s="109" t="s">
        <v>4426</v>
      </c>
      <c r="C152" s="257" t="s">
        <v>7798</v>
      </c>
    </row>
    <row r="153" spans="2:3" x14ac:dyDescent="0.2">
      <c r="B153" s="109" t="s">
        <v>4073</v>
      </c>
      <c r="C153" s="109" t="s">
        <v>4072</v>
      </c>
    </row>
    <row r="154" spans="2:3" x14ac:dyDescent="0.2">
      <c r="B154" s="109" t="s">
        <v>4071</v>
      </c>
      <c r="C154" s="109" t="s">
        <v>4070</v>
      </c>
    </row>
    <row r="155" spans="2:3" x14ac:dyDescent="0.2">
      <c r="B155" s="109" t="s">
        <v>5218</v>
      </c>
    </row>
    <row r="156" spans="2:3" x14ac:dyDescent="0.2">
      <c r="B156" s="257" t="s">
        <v>7799</v>
      </c>
    </row>
    <row r="157" spans="2:3" x14ac:dyDescent="0.2">
      <c r="B157" s="109" t="s">
        <v>4069</v>
      </c>
      <c r="C157" s="109" t="s">
        <v>6027</v>
      </c>
    </row>
    <row r="158" spans="2:3" x14ac:dyDescent="0.2">
      <c r="B158" s="221" t="s">
        <v>7340</v>
      </c>
      <c r="C158" s="221" t="s">
        <v>7341</v>
      </c>
    </row>
    <row r="159" spans="2:3" x14ac:dyDescent="0.2">
      <c r="B159" s="109" t="s">
        <v>5219</v>
      </c>
    </row>
    <row r="160" spans="2:3" x14ac:dyDescent="0.2">
      <c r="B160" s="109" t="s">
        <v>6137</v>
      </c>
    </row>
    <row r="161" spans="2:3" x14ac:dyDescent="0.2">
      <c r="B161" s="214" t="s">
        <v>7241</v>
      </c>
      <c r="C161" s="214" t="s">
        <v>7242</v>
      </c>
    </row>
    <row r="162" spans="2:3" x14ac:dyDescent="0.2">
      <c r="B162" s="214" t="s">
        <v>7342</v>
      </c>
      <c r="C162" s="214" t="s">
        <v>7343</v>
      </c>
    </row>
    <row r="163" spans="2:3" x14ac:dyDescent="0.2">
      <c r="B163" s="214" t="s">
        <v>7344</v>
      </c>
      <c r="C163" s="214" t="s">
        <v>7345</v>
      </c>
    </row>
    <row r="164" spans="2:3" x14ac:dyDescent="0.2">
      <c r="B164" s="109" t="s">
        <v>4068</v>
      </c>
      <c r="C164" s="109" t="s">
        <v>4913</v>
      </c>
    </row>
    <row r="165" spans="2:3" x14ac:dyDescent="0.2">
      <c r="B165" s="109" t="s">
        <v>4067</v>
      </c>
    </row>
    <row r="166" spans="2:3" x14ac:dyDescent="0.2">
      <c r="B166" s="109" t="s">
        <v>4066</v>
      </c>
      <c r="C166" s="109" t="s">
        <v>4434</v>
      </c>
    </row>
    <row r="167" spans="2:3" x14ac:dyDescent="0.2">
      <c r="B167" s="43" t="s">
        <v>4065</v>
      </c>
      <c r="C167" s="43" t="s">
        <v>4064</v>
      </c>
    </row>
    <row r="168" spans="2:3" x14ac:dyDescent="0.2">
      <c r="B168" s="43" t="s">
        <v>5220</v>
      </c>
      <c r="C168" s="43"/>
    </row>
    <row r="169" spans="2:3" x14ac:dyDescent="0.2">
      <c r="B169" s="109" t="s">
        <v>4451</v>
      </c>
      <c r="C169" s="109" t="s">
        <v>4452</v>
      </c>
    </row>
    <row r="170" spans="2:3" x14ac:dyDescent="0.2">
      <c r="B170" s="109" t="s">
        <v>4255</v>
      </c>
      <c r="C170" s="109" t="s">
        <v>4256</v>
      </c>
    </row>
    <row r="171" spans="2:3" x14ac:dyDescent="0.2">
      <c r="B171" s="109" t="s">
        <v>4424</v>
      </c>
    </row>
    <row r="172" spans="2:3" x14ac:dyDescent="0.2">
      <c r="B172" s="109" t="s">
        <v>4063</v>
      </c>
      <c r="C172" s="109" t="s">
        <v>4062</v>
      </c>
    </row>
    <row r="173" spans="2:3" x14ac:dyDescent="0.2">
      <c r="B173" s="109" t="s">
        <v>4061</v>
      </c>
      <c r="C173" s="109" t="s">
        <v>4060</v>
      </c>
    </row>
    <row r="174" spans="2:3" x14ac:dyDescent="0.2">
      <c r="B174" s="183" t="s">
        <v>7149</v>
      </c>
      <c r="C174" s="183" t="s">
        <v>7150</v>
      </c>
    </row>
    <row r="175" spans="2:3" x14ac:dyDescent="0.2">
      <c r="B175" s="109" t="s">
        <v>4059</v>
      </c>
      <c r="C175" s="109" t="s">
        <v>4058</v>
      </c>
    </row>
    <row r="176" spans="2:3" x14ac:dyDescent="0.2">
      <c r="B176" s="214" t="s">
        <v>7220</v>
      </c>
      <c r="C176" s="214" t="s">
        <v>7221</v>
      </c>
    </row>
    <row r="177" spans="2:3" x14ac:dyDescent="0.2">
      <c r="B177" s="167" t="s">
        <v>6620</v>
      </c>
      <c r="C177" s="167" t="s">
        <v>6621</v>
      </c>
    </row>
    <row r="178" spans="2:3" x14ac:dyDescent="0.2">
      <c r="B178" s="109" t="s">
        <v>4261</v>
      </c>
      <c r="C178" s="109" t="s">
        <v>4262</v>
      </c>
    </row>
    <row r="179" spans="2:3" x14ac:dyDescent="0.2">
      <c r="B179" s="109" t="s">
        <v>4057</v>
      </c>
      <c r="C179" s="109" t="s">
        <v>5991</v>
      </c>
    </row>
    <row r="180" spans="2:3" x14ac:dyDescent="0.2">
      <c r="B180" s="109" t="s">
        <v>5253</v>
      </c>
      <c r="C180" s="109" t="s">
        <v>5260</v>
      </c>
    </row>
    <row r="181" spans="2:3" x14ac:dyDescent="0.2">
      <c r="B181" s="109" t="s">
        <v>5225</v>
      </c>
      <c r="C181" s="109" t="s">
        <v>5258</v>
      </c>
    </row>
    <row r="182" spans="2:3" x14ac:dyDescent="0.2">
      <c r="B182" s="257" t="s">
        <v>7796</v>
      </c>
      <c r="C182" s="257" t="s">
        <v>7797</v>
      </c>
    </row>
    <row r="183" spans="2:3" x14ac:dyDescent="0.2">
      <c r="B183" s="109" t="s">
        <v>4056</v>
      </c>
      <c r="C183" s="109" t="s">
        <v>4051</v>
      </c>
    </row>
    <row r="184" spans="2:3" x14ac:dyDescent="0.2">
      <c r="B184" s="109" t="s">
        <v>4249</v>
      </c>
      <c r="C184" s="109" t="s">
        <v>4250</v>
      </c>
    </row>
    <row r="185" spans="2:3" x14ac:dyDescent="0.2">
      <c r="B185" s="109" t="s">
        <v>6144</v>
      </c>
    </row>
    <row r="186" spans="2:3" x14ac:dyDescent="0.2">
      <c r="B186" s="109" t="s">
        <v>5295</v>
      </c>
      <c r="C186" s="109" t="s">
        <v>5296</v>
      </c>
    </row>
    <row r="187" spans="2:3" x14ac:dyDescent="0.2">
      <c r="B187" s="109" t="s">
        <v>4416</v>
      </c>
    </row>
    <row r="188" spans="2:3" x14ac:dyDescent="0.2">
      <c r="B188" s="109" t="s">
        <v>4055</v>
      </c>
      <c r="C188" s="109" t="s">
        <v>4054</v>
      </c>
    </row>
    <row r="189" spans="2:3" x14ac:dyDescent="0.2">
      <c r="B189" s="109" t="s">
        <v>5395</v>
      </c>
      <c r="C189" s="109" t="s">
        <v>5396</v>
      </c>
    </row>
    <row r="190" spans="2:3" x14ac:dyDescent="0.2">
      <c r="B190" s="109" t="s">
        <v>4053</v>
      </c>
      <c r="C190" s="109" t="s">
        <v>4000</v>
      </c>
    </row>
    <row r="191" spans="2:3" x14ac:dyDescent="0.2">
      <c r="B191" s="109" t="s">
        <v>5969</v>
      </c>
      <c r="C191" s="109" t="s">
        <v>5968</v>
      </c>
    </row>
    <row r="192" spans="2:3" x14ac:dyDescent="0.2">
      <c r="B192" s="214" t="s">
        <v>7173</v>
      </c>
      <c r="C192" s="214" t="s">
        <v>7174</v>
      </c>
    </row>
    <row r="193" spans="2:3" x14ac:dyDescent="0.2">
      <c r="B193" s="109" t="s">
        <v>4453</v>
      </c>
      <c r="C193" s="109" t="s">
        <v>4454</v>
      </c>
    </row>
    <row r="194" spans="2:3" x14ac:dyDescent="0.2">
      <c r="B194" s="109" t="s">
        <v>4052</v>
      </c>
      <c r="C194" s="109" t="s">
        <v>4051</v>
      </c>
    </row>
    <row r="195" spans="2:3" x14ac:dyDescent="0.2">
      <c r="B195" s="183" t="s">
        <v>7123</v>
      </c>
      <c r="C195" s="183" t="s">
        <v>7124</v>
      </c>
    </row>
    <row r="196" spans="2:3" x14ac:dyDescent="0.2">
      <c r="B196" s="109" t="s">
        <v>4050</v>
      </c>
      <c r="C196" s="109" t="s">
        <v>4049</v>
      </c>
    </row>
    <row r="197" spans="2:3" x14ac:dyDescent="0.2">
      <c r="B197" s="109" t="s">
        <v>4246</v>
      </c>
      <c r="C197" s="109" t="s">
        <v>5951</v>
      </c>
    </row>
    <row r="198" spans="2:3" x14ac:dyDescent="0.2">
      <c r="B198" s="109" t="s">
        <v>4245</v>
      </c>
    </row>
    <row r="199" spans="2:3" x14ac:dyDescent="0.2">
      <c r="B199" s="109" t="s">
        <v>4048</v>
      </c>
    </row>
    <row r="200" spans="2:3" x14ac:dyDescent="0.2">
      <c r="B200" s="257" t="s">
        <v>7804</v>
      </c>
    </row>
    <row r="201" spans="2:3" x14ac:dyDescent="0.2">
      <c r="B201" s="109" t="s">
        <v>4047</v>
      </c>
    </row>
    <row r="202" spans="2:3" x14ac:dyDescent="0.2">
      <c r="B202" s="109" t="s">
        <v>4046</v>
      </c>
      <c r="C202" s="109" t="s">
        <v>4045</v>
      </c>
    </row>
    <row r="203" spans="2:3" x14ac:dyDescent="0.2">
      <c r="B203" s="109" t="s">
        <v>4414</v>
      </c>
    </row>
    <row r="204" spans="2:3" x14ac:dyDescent="0.2">
      <c r="B204" s="109" t="s">
        <v>6121</v>
      </c>
      <c r="C204" s="109" t="s">
        <v>6122</v>
      </c>
    </row>
    <row r="205" spans="2:3" x14ac:dyDescent="0.2">
      <c r="B205" s="109" t="s">
        <v>4410</v>
      </c>
    </row>
    <row r="206" spans="2:3" x14ac:dyDescent="0.2">
      <c r="B206" s="109" t="s">
        <v>4244</v>
      </c>
    </row>
    <row r="207" spans="2:3" x14ac:dyDescent="0.2">
      <c r="B207" s="183" t="s">
        <v>7015</v>
      </c>
      <c r="C207" s="183" t="s">
        <v>7016</v>
      </c>
    </row>
    <row r="208" spans="2:3" x14ac:dyDescent="0.2">
      <c r="B208" s="109" t="s">
        <v>4267</v>
      </c>
      <c r="C208" s="109" t="s">
        <v>4268</v>
      </c>
    </row>
    <row r="209" spans="2:3" x14ac:dyDescent="0.2">
      <c r="B209" s="109" t="s">
        <v>4412</v>
      </c>
    </row>
    <row r="210" spans="2:3" x14ac:dyDescent="0.2">
      <c r="B210" s="257" t="s">
        <v>7793</v>
      </c>
      <c r="C210" s="257" t="s">
        <v>7794</v>
      </c>
    </row>
    <row r="211" spans="2:3" x14ac:dyDescent="0.2">
      <c r="B211" s="109" t="s">
        <v>6132</v>
      </c>
      <c r="C211" s="183" t="s">
        <v>7019</v>
      </c>
    </row>
    <row r="212" spans="2:3" x14ac:dyDescent="0.2">
      <c r="B212" s="167" t="s">
        <v>6615</v>
      </c>
      <c r="C212" s="183" t="s">
        <v>7022</v>
      </c>
    </row>
    <row r="213" spans="2:3" x14ac:dyDescent="0.2">
      <c r="B213" s="109" t="s">
        <v>4239</v>
      </c>
      <c r="C213" s="109" t="s">
        <v>4240</v>
      </c>
    </row>
    <row r="214" spans="2:3" x14ac:dyDescent="0.2">
      <c r="B214" s="109" t="s">
        <v>4446</v>
      </c>
    </row>
    <row r="215" spans="2:3" x14ac:dyDescent="0.2">
      <c r="B215" s="109" t="s">
        <v>4409</v>
      </c>
    </row>
    <row r="216" spans="2:3" x14ac:dyDescent="0.2">
      <c r="B216" s="257" t="s">
        <v>7677</v>
      </c>
      <c r="C216" s="257" t="s">
        <v>7678</v>
      </c>
    </row>
    <row r="217" spans="2:3" x14ac:dyDescent="0.2">
      <c r="B217" s="109" t="s">
        <v>6133</v>
      </c>
      <c r="C217" s="109" t="s">
        <v>6134</v>
      </c>
    </row>
    <row r="218" spans="2:3" x14ac:dyDescent="0.2">
      <c r="B218" s="183" t="s">
        <v>6693</v>
      </c>
      <c r="C218" s="183" t="s">
        <v>6694</v>
      </c>
    </row>
    <row r="219" spans="2:3" x14ac:dyDescent="0.2">
      <c r="B219" s="109" t="s">
        <v>4044</v>
      </c>
      <c r="C219" s="109" t="s">
        <v>4043</v>
      </c>
    </row>
    <row r="220" spans="2:3" x14ac:dyDescent="0.2">
      <c r="B220" s="109" t="s">
        <v>4411</v>
      </c>
    </row>
    <row r="221" spans="2:3" x14ac:dyDescent="0.2">
      <c r="B221" s="109" t="s">
        <v>4909</v>
      </c>
      <c r="C221" s="109" t="s">
        <v>4910</v>
      </c>
    </row>
    <row r="222" spans="2:3" x14ac:dyDescent="0.2">
      <c r="B222" s="109" t="s">
        <v>7346</v>
      </c>
      <c r="C222" s="109" t="s">
        <v>7347</v>
      </c>
    </row>
    <row r="223" spans="2:3" x14ac:dyDescent="0.2">
      <c r="B223" s="109" t="s">
        <v>7348</v>
      </c>
      <c r="C223" s="109" t="s">
        <v>7349</v>
      </c>
    </row>
    <row r="224" spans="2:3" x14ac:dyDescent="0.2">
      <c r="B224" s="257" t="s">
        <v>7579</v>
      </c>
    </row>
    <row r="225" spans="2:3" x14ac:dyDescent="0.2">
      <c r="B225" s="214" t="s">
        <v>7212</v>
      </c>
      <c r="C225" s="214" t="s">
        <v>7213</v>
      </c>
    </row>
    <row r="226" spans="2:3" x14ac:dyDescent="0.2">
      <c r="B226" s="109" t="s">
        <v>4871</v>
      </c>
      <c r="C226" s="109" t="s">
        <v>4872</v>
      </c>
    </row>
    <row r="227" spans="2:3" x14ac:dyDescent="0.2">
      <c r="B227" s="109" t="s">
        <v>4427</v>
      </c>
    </row>
    <row r="228" spans="2:3" x14ac:dyDescent="0.2">
      <c r="B228" s="109" t="s">
        <v>4042</v>
      </c>
      <c r="C228" s="109" t="s">
        <v>4907</v>
      </c>
    </row>
    <row r="229" spans="2:3" x14ac:dyDescent="0.2">
      <c r="B229" s="109" t="s">
        <v>4438</v>
      </c>
      <c r="C229" s="109" t="s">
        <v>4439</v>
      </c>
    </row>
    <row r="230" spans="2:3" x14ac:dyDescent="0.2">
      <c r="B230" s="109" t="s">
        <v>4428</v>
      </c>
    </row>
    <row r="231" spans="2:3" x14ac:dyDescent="0.2">
      <c r="B231" s="214" t="s">
        <v>7211</v>
      </c>
    </row>
    <row r="232" spans="2:3" x14ac:dyDescent="0.2">
      <c r="B232" s="109" t="s">
        <v>5226</v>
      </c>
      <c r="C232" s="109" t="s">
        <v>5227</v>
      </c>
    </row>
    <row r="233" spans="2:3" x14ac:dyDescent="0.2">
      <c r="B233" s="109" t="s">
        <v>4441</v>
      </c>
      <c r="C233" s="109" t="s">
        <v>4908</v>
      </c>
    </row>
    <row r="234" spans="2:3" x14ac:dyDescent="0.2">
      <c r="B234" s="109" t="s">
        <v>5963</v>
      </c>
      <c r="C234" s="109" t="s">
        <v>5962</v>
      </c>
    </row>
    <row r="235" spans="2:3" x14ac:dyDescent="0.2">
      <c r="B235" s="109" t="s">
        <v>5964</v>
      </c>
      <c r="C235" s="183" t="s">
        <v>6763</v>
      </c>
    </row>
    <row r="236" spans="2:3" x14ac:dyDescent="0.2">
      <c r="B236" s="214" t="s">
        <v>7216</v>
      </c>
      <c r="C236" s="214" t="s">
        <v>7217</v>
      </c>
    </row>
    <row r="237" spans="2:3" x14ac:dyDescent="0.2">
      <c r="B237" s="183" t="s">
        <v>7002</v>
      </c>
      <c r="C237" s="183" t="s">
        <v>7003</v>
      </c>
    </row>
    <row r="238" spans="2:3" x14ac:dyDescent="0.2">
      <c r="B238" s="109" t="s">
        <v>4880</v>
      </c>
      <c r="C238" s="109" t="s">
        <v>6139</v>
      </c>
    </row>
    <row r="239" spans="2:3" x14ac:dyDescent="0.2">
      <c r="B239" s="109" t="s">
        <v>4041</v>
      </c>
      <c r="C239" s="109" t="s">
        <v>4435</v>
      </c>
    </row>
    <row r="240" spans="2:3" x14ac:dyDescent="0.2">
      <c r="B240" s="109" t="s">
        <v>4431</v>
      </c>
    </row>
    <row r="241" spans="2:3" x14ac:dyDescent="0.2">
      <c r="B241" s="183" t="s">
        <v>7000</v>
      </c>
      <c r="C241" s="183" t="s">
        <v>7001</v>
      </c>
    </row>
    <row r="242" spans="2:3" x14ac:dyDescent="0.2">
      <c r="B242" s="109" t="s">
        <v>4407</v>
      </c>
      <c r="C242" s="109" t="s">
        <v>4408</v>
      </c>
    </row>
    <row r="243" spans="2:3" x14ac:dyDescent="0.2">
      <c r="B243" s="109" t="s">
        <v>4879</v>
      </c>
      <c r="C243" s="109" t="s">
        <v>6138</v>
      </c>
    </row>
    <row r="244" spans="2:3" x14ac:dyDescent="0.2">
      <c r="B244" s="109" t="s">
        <v>4457</v>
      </c>
      <c r="C244" s="109" t="s">
        <v>4461</v>
      </c>
    </row>
    <row r="245" spans="2:3" x14ac:dyDescent="0.2">
      <c r="B245" s="109" t="s">
        <v>4040</v>
      </c>
      <c r="C245" s="109" t="s">
        <v>4039</v>
      </c>
    </row>
    <row r="246" spans="2:3" x14ac:dyDescent="0.2">
      <c r="B246" s="257" t="s">
        <v>7820</v>
      </c>
    </row>
    <row r="247" spans="2:3" x14ac:dyDescent="0.2">
      <c r="B247" s="109" t="s">
        <v>5280</v>
      </c>
      <c r="C247" s="109" t="s">
        <v>5281</v>
      </c>
    </row>
    <row r="248" spans="2:3" x14ac:dyDescent="0.2">
      <c r="B248" s="109" t="s">
        <v>4038</v>
      </c>
    </row>
    <row r="249" spans="2:3" x14ac:dyDescent="0.2">
      <c r="B249" s="109" t="s">
        <v>4037</v>
      </c>
      <c r="C249" s="257" t="s">
        <v>7660</v>
      </c>
    </row>
    <row r="250" spans="2:3" x14ac:dyDescent="0.2">
      <c r="B250" s="109" t="s">
        <v>4036</v>
      </c>
      <c r="C250" s="109" t="s">
        <v>4000</v>
      </c>
    </row>
    <row r="251" spans="2:3" x14ac:dyDescent="0.2">
      <c r="B251" s="109" t="s">
        <v>5292</v>
      </c>
      <c r="C251" s="109" t="s">
        <v>5293</v>
      </c>
    </row>
    <row r="252" spans="2:3" x14ac:dyDescent="0.2">
      <c r="B252" s="109" t="s">
        <v>7352</v>
      </c>
      <c r="C252" s="109" t="s">
        <v>7353</v>
      </c>
    </row>
    <row r="253" spans="2:3" x14ac:dyDescent="0.2">
      <c r="B253" s="109" t="s">
        <v>4035</v>
      </c>
      <c r="C253" s="109" t="s">
        <v>4034</v>
      </c>
    </row>
    <row r="254" spans="2:3" x14ac:dyDescent="0.2">
      <c r="B254" s="109" t="s">
        <v>4033</v>
      </c>
    </row>
    <row r="255" spans="2:3" x14ac:dyDescent="0.2">
      <c r="B255" s="109" t="s">
        <v>4415</v>
      </c>
      <c r="C255" s="183" t="s">
        <v>7012</v>
      </c>
    </row>
    <row r="256" spans="2:3" x14ac:dyDescent="0.2">
      <c r="B256" s="109" t="s">
        <v>4032</v>
      </c>
      <c r="C256" s="109" t="s">
        <v>4031</v>
      </c>
    </row>
    <row r="257" spans="2:3" x14ac:dyDescent="0.2">
      <c r="B257" s="109" t="s">
        <v>4030</v>
      </c>
      <c r="C257" s="109" t="s">
        <v>4029</v>
      </c>
    </row>
    <row r="258" spans="2:3" x14ac:dyDescent="0.2">
      <c r="B258" s="109" t="s">
        <v>4429</v>
      </c>
      <c r="C258" s="109" t="s">
        <v>4430</v>
      </c>
    </row>
    <row r="259" spans="2:3" x14ac:dyDescent="0.2">
      <c r="B259" s="109" t="s">
        <v>7350</v>
      </c>
      <c r="C259" s="109" t="s">
        <v>7351</v>
      </c>
    </row>
    <row r="260" spans="2:3" x14ac:dyDescent="0.2">
      <c r="B260" s="109" t="s">
        <v>4874</v>
      </c>
      <c r="C260" s="109" t="s">
        <v>4875</v>
      </c>
    </row>
    <row r="261" spans="2:3" x14ac:dyDescent="0.2">
      <c r="B261" s="109" t="s">
        <v>5198</v>
      </c>
      <c r="C261" s="109" t="s">
        <v>5199</v>
      </c>
    </row>
    <row r="262" spans="2:3" x14ac:dyDescent="0.2">
      <c r="B262" s="109" t="s">
        <v>4028</v>
      </c>
      <c r="C262" s="109" t="s">
        <v>4027</v>
      </c>
    </row>
    <row r="263" spans="2:3" x14ac:dyDescent="0.2">
      <c r="B263" s="221" t="s">
        <v>7378</v>
      </c>
      <c r="C263" s="221" t="s">
        <v>7379</v>
      </c>
    </row>
    <row r="264" spans="2:3" x14ac:dyDescent="0.2">
      <c r="B264" s="214" t="s">
        <v>7228</v>
      </c>
      <c r="C264" s="214" t="s">
        <v>7229</v>
      </c>
    </row>
    <row r="265" spans="2:3" x14ac:dyDescent="0.2">
      <c r="B265" s="109" t="s">
        <v>4881</v>
      </c>
      <c r="C265" s="257" t="s">
        <v>7795</v>
      </c>
    </row>
    <row r="266" spans="2:3" x14ac:dyDescent="0.2">
      <c r="B266" s="109" t="s">
        <v>5208</v>
      </c>
      <c r="C266" s="109" t="s">
        <v>5209</v>
      </c>
    </row>
    <row r="267" spans="2:3" x14ac:dyDescent="0.2">
      <c r="B267" s="109" t="s">
        <v>4417</v>
      </c>
    </row>
    <row r="268" spans="2:3" x14ac:dyDescent="0.2">
      <c r="B268" s="43" t="s">
        <v>4026</v>
      </c>
      <c r="C268" s="43" t="s">
        <v>5397</v>
      </c>
    </row>
    <row r="269" spans="2:3" x14ac:dyDescent="0.2">
      <c r="B269" s="183" t="s">
        <v>7009</v>
      </c>
      <c r="C269" s="183" t="s">
        <v>4065</v>
      </c>
    </row>
    <row r="270" spans="2:3" x14ac:dyDescent="0.2">
      <c r="B270" s="167" t="s">
        <v>6618</v>
      </c>
      <c r="C270" s="167" t="s">
        <v>6619</v>
      </c>
    </row>
    <row r="271" spans="2:3" x14ac:dyDescent="0.2">
      <c r="B271" s="109" t="s">
        <v>4025</v>
      </c>
      <c r="C271" s="43"/>
    </row>
    <row r="272" spans="2:3" x14ac:dyDescent="0.2">
      <c r="B272" s="214" t="s">
        <v>7233</v>
      </c>
      <c r="C272" s="214" t="s">
        <v>7234</v>
      </c>
    </row>
    <row r="273" spans="2:16" x14ac:dyDescent="0.2">
      <c r="B273" s="257" t="s">
        <v>7803</v>
      </c>
      <c r="C273" s="214"/>
    </row>
    <row r="274" spans="2:16" x14ac:dyDescent="0.2">
      <c r="B274" s="109" t="s">
        <v>4024</v>
      </c>
      <c r="C274" s="109" t="s">
        <v>5947</v>
      </c>
    </row>
    <row r="275" spans="2:16" x14ac:dyDescent="0.2">
      <c r="B275" s="183" t="s">
        <v>6996</v>
      </c>
      <c r="C275" s="183" t="s">
        <v>6997</v>
      </c>
    </row>
    <row r="276" spans="2:16" x14ac:dyDescent="0.2">
      <c r="B276" s="109" t="s">
        <v>4023</v>
      </c>
      <c r="C276" s="109" t="s">
        <v>4022</v>
      </c>
    </row>
    <row r="277" spans="2:16" x14ac:dyDescent="0.2">
      <c r="B277" s="109" t="s">
        <v>4021</v>
      </c>
      <c r="C277" s="109" t="s">
        <v>4020</v>
      </c>
    </row>
    <row r="278" spans="2:16" x14ac:dyDescent="0.2">
      <c r="B278" s="109" t="s">
        <v>6118</v>
      </c>
      <c r="C278" s="109" t="s">
        <v>6119</v>
      </c>
    </row>
    <row r="279" spans="2:16" x14ac:dyDescent="0.2">
      <c r="B279" s="109" t="s">
        <v>4019</v>
      </c>
    </row>
    <row r="280" spans="2:16" x14ac:dyDescent="0.2">
      <c r="B280" s="109" t="s">
        <v>5286</v>
      </c>
      <c r="C280" s="109" t="s">
        <v>5287</v>
      </c>
    </row>
    <row r="281" spans="2:16" x14ac:dyDescent="0.2">
      <c r="B281" s="109" t="s">
        <v>4018</v>
      </c>
      <c r="C281" s="109" t="s">
        <v>4017</v>
      </c>
    </row>
    <row r="282" spans="2:16" x14ac:dyDescent="0.2">
      <c r="B282" s="109" t="s">
        <v>4252</v>
      </c>
      <c r="C282" s="109" t="s">
        <v>4253</v>
      </c>
    </row>
    <row r="283" spans="2:16" x14ac:dyDescent="0.2">
      <c r="B283" s="109" t="s">
        <v>4016</v>
      </c>
      <c r="C283" s="109" t="s">
        <v>4015</v>
      </c>
    </row>
    <row r="284" spans="2:16" x14ac:dyDescent="0.2">
      <c r="B284" s="109" t="s">
        <v>4014</v>
      </c>
      <c r="C284" s="109" t="s">
        <v>4013</v>
      </c>
    </row>
    <row r="285" spans="2:16" x14ac:dyDescent="0.2">
      <c r="B285" s="109" t="s">
        <v>5221</v>
      </c>
      <c r="C285" s="109" t="s">
        <v>5256</v>
      </c>
    </row>
    <row r="286" spans="2:16" x14ac:dyDescent="0.2">
      <c r="B286" s="109" t="s">
        <v>4445</v>
      </c>
    </row>
    <row r="287" spans="2:16" x14ac:dyDescent="0.2">
      <c r="B287" s="109" t="s">
        <v>4422</v>
      </c>
      <c r="P287" s="108"/>
    </row>
    <row r="288" spans="2:16" x14ac:dyDescent="0.2">
      <c r="B288" s="109" t="s">
        <v>4423</v>
      </c>
    </row>
    <row r="289" spans="2:3" x14ac:dyDescent="0.2">
      <c r="B289" s="109" t="s">
        <v>4876</v>
      </c>
      <c r="C289" s="109" t="s">
        <v>4877</v>
      </c>
    </row>
    <row r="290" spans="2:3" x14ac:dyDescent="0.2">
      <c r="B290" s="257" t="s">
        <v>7806</v>
      </c>
    </row>
    <row r="291" spans="2:3" x14ac:dyDescent="0.2">
      <c r="B291" s="109" t="s">
        <v>5961</v>
      </c>
      <c r="C291" s="183" t="s">
        <v>6765</v>
      </c>
    </row>
    <row r="292" spans="2:3" x14ac:dyDescent="0.2">
      <c r="B292" s="109" t="s">
        <v>4248</v>
      </c>
    </row>
    <row r="293" spans="2:3" x14ac:dyDescent="0.2">
      <c r="B293" s="109" t="s">
        <v>4012</v>
      </c>
      <c r="C293" s="109" t="s">
        <v>4011</v>
      </c>
    </row>
    <row r="294" spans="2:3" x14ac:dyDescent="0.2">
      <c r="B294" s="183" t="s">
        <v>6766</v>
      </c>
      <c r="C294" s="183" t="s">
        <v>6767</v>
      </c>
    </row>
    <row r="295" spans="2:3" x14ac:dyDescent="0.2">
      <c r="B295" s="183" t="s">
        <v>7127</v>
      </c>
      <c r="C295" s="183" t="s">
        <v>7128</v>
      </c>
    </row>
    <row r="296" spans="2:3" x14ac:dyDescent="0.2">
      <c r="B296" s="183" t="s">
        <v>7013</v>
      </c>
      <c r="C296" s="183" t="s">
        <v>7014</v>
      </c>
    </row>
    <row r="297" spans="2:3" x14ac:dyDescent="0.2">
      <c r="B297" s="109" t="s">
        <v>4010</v>
      </c>
    </row>
    <row r="298" spans="2:3" x14ac:dyDescent="0.2">
      <c r="B298" s="109" t="s">
        <v>4009</v>
      </c>
      <c r="C298" s="109" t="s">
        <v>4008</v>
      </c>
    </row>
    <row r="299" spans="2:3" x14ac:dyDescent="0.2">
      <c r="B299" s="109" t="s">
        <v>5222</v>
      </c>
    </row>
    <row r="300" spans="2:3" x14ac:dyDescent="0.2">
      <c r="B300" s="109" t="s">
        <v>4007</v>
      </c>
      <c r="C300" s="109" t="s">
        <v>4006</v>
      </c>
    </row>
    <row r="301" spans="2:3" x14ac:dyDescent="0.2">
      <c r="B301" s="109" t="s">
        <v>4005</v>
      </c>
      <c r="C301" s="109" t="s">
        <v>4004</v>
      </c>
    </row>
    <row r="302" spans="2:3" x14ac:dyDescent="0.2">
      <c r="B302" s="257" t="s">
        <v>7801</v>
      </c>
      <c r="C302" s="257" t="s">
        <v>7802</v>
      </c>
    </row>
    <row r="303" spans="2:3" x14ac:dyDescent="0.2">
      <c r="B303" s="109" t="s">
        <v>5265</v>
      </c>
      <c r="C303" s="109" t="s">
        <v>5273</v>
      </c>
    </row>
    <row r="304" spans="2:3" x14ac:dyDescent="0.2">
      <c r="B304" s="109" t="s">
        <v>2597</v>
      </c>
      <c r="C304" s="109" t="s">
        <v>5254</v>
      </c>
    </row>
    <row r="305" spans="2:21" x14ac:dyDescent="0.2">
      <c r="B305" s="183" t="s">
        <v>7121</v>
      </c>
      <c r="C305" s="183" t="s">
        <v>7122</v>
      </c>
    </row>
    <row r="306" spans="2:21" x14ac:dyDescent="0.2">
      <c r="B306" s="257" t="s">
        <v>7824</v>
      </c>
      <c r="C306" s="183"/>
    </row>
    <row r="307" spans="2:21" x14ac:dyDescent="0.2">
      <c r="B307" s="183" t="s">
        <v>7020</v>
      </c>
      <c r="C307" s="183" t="s">
        <v>7021</v>
      </c>
    </row>
    <row r="308" spans="2:21" x14ac:dyDescent="0.2">
      <c r="B308" s="109" t="s">
        <v>4659</v>
      </c>
      <c r="C308" s="109" t="s">
        <v>4661</v>
      </c>
    </row>
    <row r="309" spans="2:21" x14ac:dyDescent="0.2">
      <c r="B309" s="109" t="s">
        <v>4660</v>
      </c>
      <c r="C309" s="109" t="s">
        <v>4408</v>
      </c>
    </row>
    <row r="310" spans="2:21" x14ac:dyDescent="0.2">
      <c r="B310" s="109" t="s">
        <v>4989</v>
      </c>
      <c r="C310" s="109" t="s">
        <v>4990</v>
      </c>
    </row>
    <row r="311" spans="2:21" x14ac:dyDescent="0.2">
      <c r="B311" s="109" t="s">
        <v>5262</v>
      </c>
      <c r="C311" s="109" t="s">
        <v>5264</v>
      </c>
    </row>
    <row r="312" spans="2:21" x14ac:dyDescent="0.2">
      <c r="B312" s="109" t="s">
        <v>5268</v>
      </c>
      <c r="C312" s="109" t="s">
        <v>5269</v>
      </c>
    </row>
    <row r="313" spans="2:21" x14ac:dyDescent="0.2">
      <c r="B313" s="109" t="s">
        <v>4003</v>
      </c>
      <c r="C313" s="109" t="s">
        <v>4002</v>
      </c>
    </row>
    <row r="314" spans="2:21" x14ac:dyDescent="0.2">
      <c r="B314" s="109" t="s">
        <v>4911</v>
      </c>
      <c r="C314" s="109" t="s">
        <v>4912</v>
      </c>
    </row>
    <row r="315" spans="2:21" x14ac:dyDescent="0.2">
      <c r="B315" s="109" t="s">
        <v>5276</v>
      </c>
      <c r="C315" s="109" t="s">
        <v>5294</v>
      </c>
    </row>
    <row r="316" spans="2:21" x14ac:dyDescent="0.2">
      <c r="B316" s="109" t="s">
        <v>5202</v>
      </c>
      <c r="C316" s="109" t="s">
        <v>5203</v>
      </c>
      <c r="U316" s="109" t="s">
        <v>5265</v>
      </c>
    </row>
    <row r="317" spans="2:21" x14ac:dyDescent="0.2">
      <c r="B317" s="109" t="s">
        <v>5252</v>
      </c>
      <c r="C317" s="109" t="s">
        <v>6028</v>
      </c>
    </row>
    <row r="318" spans="2:21" x14ac:dyDescent="0.2">
      <c r="B318" s="109" t="s">
        <v>5234</v>
      </c>
      <c r="C318" s="109" t="s">
        <v>5235</v>
      </c>
    </row>
    <row r="319" spans="2:21" x14ac:dyDescent="0.2">
      <c r="B319" s="109" t="s">
        <v>5263</v>
      </c>
      <c r="C319" s="109" t="s">
        <v>5272</v>
      </c>
    </row>
    <row r="320" spans="2:21" x14ac:dyDescent="0.2">
      <c r="B320" s="109" t="s">
        <v>5217</v>
      </c>
      <c r="C320" s="109" t="s">
        <v>5266</v>
      </c>
    </row>
    <row r="321" spans="2:3" x14ac:dyDescent="0.2">
      <c r="B321" s="109" t="s">
        <v>5212</v>
      </c>
      <c r="C321" s="257" t="s">
        <v>7578</v>
      </c>
    </row>
    <row r="322" spans="2:3" x14ac:dyDescent="0.2">
      <c r="B322" s="109" t="s">
        <v>5214</v>
      </c>
      <c r="C322" s="109" t="s">
        <v>5213</v>
      </c>
    </row>
    <row r="323" spans="2:3" x14ac:dyDescent="0.2">
      <c r="B323" s="109" t="s">
        <v>6145</v>
      </c>
      <c r="C323" s="109" t="s">
        <v>6146</v>
      </c>
    </row>
    <row r="324" spans="2:3" x14ac:dyDescent="0.2">
      <c r="B324" s="109" t="s">
        <v>4001</v>
      </c>
      <c r="C324" s="109" t="s">
        <v>4000</v>
      </c>
    </row>
    <row r="325" spans="2:3" x14ac:dyDescent="0.2">
      <c r="B325" s="109" t="s">
        <v>3999</v>
      </c>
      <c r="C325" s="109" t="s">
        <v>3998</v>
      </c>
    </row>
    <row r="326" spans="2:3" x14ac:dyDescent="0.2">
      <c r="B326" s="109" t="s">
        <v>3997</v>
      </c>
    </row>
    <row r="327" spans="2:3" x14ac:dyDescent="0.2">
      <c r="B327" s="109" t="s">
        <v>3996</v>
      </c>
      <c r="C327" s="109" t="s">
        <v>3995</v>
      </c>
    </row>
    <row r="328" spans="2:3" x14ac:dyDescent="0.2">
      <c r="B328" s="109" t="s">
        <v>5204</v>
      </c>
      <c r="C328" s="109" t="s">
        <v>5205</v>
      </c>
    </row>
    <row r="329" spans="2:3" x14ac:dyDescent="0.2">
      <c r="B329" s="109" t="s">
        <v>3994</v>
      </c>
      <c r="C329" s="109" t="s">
        <v>3993</v>
      </c>
    </row>
    <row r="330" spans="2:3" x14ac:dyDescent="0.2">
      <c r="B330" s="109" t="s">
        <v>4263</v>
      </c>
      <c r="C330" s="109" t="s">
        <v>4264</v>
      </c>
    </row>
    <row r="331" spans="2:3" x14ac:dyDescent="0.2">
      <c r="B331" s="257" t="s">
        <v>7661</v>
      </c>
      <c r="C331" s="257" t="s">
        <v>7662</v>
      </c>
    </row>
    <row r="332" spans="2:3" x14ac:dyDescent="0.2">
      <c r="B332" s="109" t="s">
        <v>5949</v>
      </c>
      <c r="C332" s="109" t="s">
        <v>5950</v>
      </c>
    </row>
    <row r="333" spans="2:3" x14ac:dyDescent="0.2">
      <c r="B333" s="183" t="s">
        <v>7007</v>
      </c>
      <c r="C333" s="183" t="s">
        <v>7008</v>
      </c>
    </row>
    <row r="335" spans="2:3" x14ac:dyDescent="0.2">
      <c r="B335" s="109" t="s">
        <v>3992</v>
      </c>
    </row>
    <row r="337" spans="3:26" x14ac:dyDescent="0.2">
      <c r="C337" s="132"/>
      <c r="D337" s="133"/>
      <c r="F337" s="133"/>
      <c r="G337" s="134"/>
      <c r="O337" s="110"/>
      <c r="P337" s="110"/>
      <c r="Q337" s="110"/>
      <c r="R337" s="110"/>
      <c r="S337" s="110"/>
      <c r="T337" s="110"/>
      <c r="U337" s="110"/>
      <c r="V337" s="110"/>
      <c r="W337" s="110"/>
      <c r="X337" s="110"/>
      <c r="Y337" s="110"/>
      <c r="Z337" s="110"/>
    </row>
    <row r="338" spans="3:26" x14ac:dyDescent="0.2">
      <c r="P338" s="110"/>
      <c r="Q338" s="110"/>
      <c r="R338" s="110"/>
      <c r="S338" s="110"/>
      <c r="T338" s="110"/>
      <c r="U338" s="110"/>
      <c r="V338" s="110"/>
      <c r="W338" s="110"/>
      <c r="X338" s="110"/>
      <c r="Y338" s="110"/>
      <c r="Z338" s="110"/>
    </row>
    <row r="339" spans="3:26" x14ac:dyDescent="0.2">
      <c r="P339" s="110"/>
      <c r="Q339" s="110"/>
      <c r="R339" s="110"/>
      <c r="S339" s="110"/>
      <c r="T339" s="110"/>
      <c r="U339" s="110"/>
      <c r="V339" s="110"/>
      <c r="W339" s="110"/>
      <c r="X339" s="110"/>
      <c r="Y339" s="110"/>
      <c r="Z339" s="110"/>
    </row>
    <row r="340" spans="3:26" x14ac:dyDescent="0.2">
      <c r="P340" s="110"/>
      <c r="Q340" s="110"/>
      <c r="R340" s="110"/>
      <c r="S340" s="110"/>
      <c r="T340" s="110"/>
      <c r="U340" s="110"/>
      <c r="V340" s="110"/>
      <c r="W340" s="110"/>
      <c r="X340" s="110"/>
      <c r="Y340" s="110"/>
      <c r="Z340" s="110"/>
    </row>
    <row r="341" spans="3:26" x14ac:dyDescent="0.2">
      <c r="P341" s="110"/>
      <c r="Q341" s="110"/>
      <c r="R341" s="110"/>
      <c r="S341" s="110"/>
      <c r="T341" s="110"/>
      <c r="U341" s="110"/>
      <c r="V341" s="110"/>
      <c r="W341" s="110"/>
      <c r="X341" s="110"/>
      <c r="Y341" s="110"/>
      <c r="Z341" s="110"/>
    </row>
    <row r="342" spans="3:26" x14ac:dyDescent="0.2">
      <c r="P342" s="110"/>
      <c r="Q342" s="110"/>
      <c r="R342" s="110"/>
      <c r="S342" s="110"/>
      <c r="T342" s="110"/>
      <c r="U342" s="110"/>
      <c r="V342" s="110"/>
      <c r="W342" s="110"/>
      <c r="X342" s="110"/>
      <c r="Y342" s="110"/>
      <c r="Z342" s="110"/>
    </row>
    <row r="343" spans="3:26" x14ac:dyDescent="0.2">
      <c r="P343" s="110"/>
      <c r="Q343" s="110"/>
      <c r="R343" s="110"/>
      <c r="S343" s="110"/>
      <c r="T343" s="110"/>
      <c r="U343" s="110"/>
      <c r="V343" s="110"/>
      <c r="W343" s="110"/>
      <c r="X343" s="110"/>
      <c r="Y343" s="110"/>
      <c r="Z343" s="110"/>
    </row>
    <row r="344" spans="3:26" x14ac:dyDescent="0.2">
      <c r="P344" s="110"/>
      <c r="Q344" s="110"/>
      <c r="R344" s="110"/>
      <c r="S344" s="110"/>
      <c r="T344" s="110" t="s">
        <v>5262</v>
      </c>
      <c r="U344" s="110"/>
      <c r="V344" s="110"/>
      <c r="W344" s="110"/>
      <c r="X344" s="110"/>
      <c r="Y344" s="110"/>
      <c r="Z344" s="110"/>
    </row>
    <row r="345" spans="3:26" x14ac:dyDescent="0.2">
      <c r="S345" s="108"/>
    </row>
  </sheetData>
  <hyperlinks>
    <hyperlink ref="A1" location="Main!A1" display="Main" xr:uid="{D82997CC-EBDC-274C-97F6-671DF0B7A033}"/>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FC849-F0D5-EC41-9B68-F54EAB7602AE}">
  <dimension ref="A1:M1178"/>
  <sheetViews>
    <sheetView topLeftCell="A791" zoomScale="130" zoomScaleNormal="130" workbookViewId="0">
      <selection activeCell="B805" sqref="B805"/>
    </sheetView>
  </sheetViews>
  <sheetFormatPr defaultColWidth="8.875" defaultRowHeight="12.75" x14ac:dyDescent="0.2"/>
  <cols>
    <col min="1" max="2" width="12.375" style="109" customWidth="1"/>
    <col min="3" max="3" width="9.5" style="110" customWidth="1"/>
    <col min="4" max="8" width="8.875" style="109"/>
    <col min="9" max="9" width="12.125" style="109" customWidth="1"/>
    <col min="10" max="16384" width="8.875" style="109"/>
  </cols>
  <sheetData>
    <row r="1" spans="1:3" x14ac:dyDescent="0.2">
      <c r="A1" s="25" t="s">
        <v>1165</v>
      </c>
    </row>
    <row r="2" spans="1:3" x14ac:dyDescent="0.2">
      <c r="A2" s="221" t="s">
        <v>7284</v>
      </c>
      <c r="B2" s="42" t="s">
        <v>7286</v>
      </c>
    </row>
    <row r="3" spans="1:3" x14ac:dyDescent="0.2">
      <c r="A3" s="25"/>
      <c r="B3" s="221" t="s">
        <v>5755</v>
      </c>
      <c r="C3" s="222" t="s">
        <v>7285</v>
      </c>
    </row>
    <row r="4" spans="1:3" x14ac:dyDescent="0.2">
      <c r="A4" s="25"/>
    </row>
    <row r="5" spans="1:3" x14ac:dyDescent="0.2">
      <c r="A5" s="221" t="s">
        <v>7266</v>
      </c>
      <c r="B5" s="42" t="s">
        <v>7267</v>
      </c>
    </row>
    <row r="6" spans="1:3" x14ac:dyDescent="0.2">
      <c r="A6" s="25"/>
      <c r="B6" s="221" t="s">
        <v>5755</v>
      </c>
      <c r="C6" s="222" t="s">
        <v>7268</v>
      </c>
    </row>
    <row r="7" spans="1:3" x14ac:dyDescent="0.2">
      <c r="A7" s="25"/>
    </row>
    <row r="8" spans="1:3" x14ac:dyDescent="0.2">
      <c r="A8" s="25"/>
    </row>
    <row r="9" spans="1:3" x14ac:dyDescent="0.2">
      <c r="A9" s="221" t="s">
        <v>7272</v>
      </c>
      <c r="B9" s="42" t="s">
        <v>7273</v>
      </c>
    </row>
    <row r="10" spans="1:3" x14ac:dyDescent="0.2">
      <c r="A10" s="25"/>
      <c r="B10" s="221" t="s">
        <v>5755</v>
      </c>
      <c r="C10" s="222" t="s">
        <v>7274</v>
      </c>
    </row>
    <row r="11" spans="1:3" x14ac:dyDescent="0.2">
      <c r="A11" s="25"/>
    </row>
    <row r="12" spans="1:3" x14ac:dyDescent="0.2">
      <c r="A12" s="25"/>
    </row>
    <row r="13" spans="1:3" x14ac:dyDescent="0.2">
      <c r="A13" s="221" t="s">
        <v>7278</v>
      </c>
      <c r="B13" s="42" t="s">
        <v>7279</v>
      </c>
    </row>
    <row r="14" spans="1:3" x14ac:dyDescent="0.2">
      <c r="A14" s="25"/>
      <c r="B14" s="221" t="s">
        <v>5755</v>
      </c>
      <c r="C14" s="222" t="s">
        <v>7280</v>
      </c>
    </row>
    <row r="15" spans="1:3" x14ac:dyDescent="0.2">
      <c r="A15" s="25"/>
    </row>
    <row r="16" spans="1:3" x14ac:dyDescent="0.2">
      <c r="A16" s="221" t="s">
        <v>7269</v>
      </c>
      <c r="B16" s="42" t="s">
        <v>7270</v>
      </c>
    </row>
    <row r="17" spans="1:3" x14ac:dyDescent="0.2">
      <c r="A17" s="25"/>
      <c r="B17" s="221" t="s">
        <v>5755</v>
      </c>
      <c r="C17" s="222" t="s">
        <v>7271</v>
      </c>
    </row>
    <row r="18" spans="1:3" x14ac:dyDescent="0.2">
      <c r="A18" s="25"/>
    </row>
    <row r="19" spans="1:3" x14ac:dyDescent="0.2">
      <c r="A19" s="221" t="s">
        <v>7290</v>
      </c>
      <c r="B19" s="42" t="s">
        <v>7291</v>
      </c>
    </row>
    <row r="20" spans="1:3" x14ac:dyDescent="0.2">
      <c r="A20" s="25"/>
      <c r="B20" s="221" t="s">
        <v>5755</v>
      </c>
      <c r="C20" s="222" t="s">
        <v>4105</v>
      </c>
    </row>
    <row r="21" spans="1:3" x14ac:dyDescent="0.2">
      <c r="A21" s="25"/>
    </row>
    <row r="22" spans="1:3" x14ac:dyDescent="0.2">
      <c r="A22" s="221" t="s">
        <v>7287</v>
      </c>
      <c r="B22" s="42" t="s">
        <v>7288</v>
      </c>
    </row>
    <row r="23" spans="1:3" x14ac:dyDescent="0.2">
      <c r="A23" s="25"/>
      <c r="B23" s="221" t="s">
        <v>5755</v>
      </c>
      <c r="C23" s="222" t="s">
        <v>7289</v>
      </c>
    </row>
    <row r="24" spans="1:3" x14ac:dyDescent="0.2">
      <c r="A24" s="25"/>
    </row>
    <row r="25" spans="1:3" x14ac:dyDescent="0.2">
      <c r="A25" s="221" t="s">
        <v>7354</v>
      </c>
      <c r="B25" s="42" t="s">
        <v>7355</v>
      </c>
    </row>
    <row r="26" spans="1:3" x14ac:dyDescent="0.2">
      <c r="A26" s="25"/>
      <c r="B26" s="109" t="s">
        <v>5755</v>
      </c>
      <c r="C26" s="110" t="s">
        <v>7356</v>
      </c>
    </row>
    <row r="27" spans="1:3" x14ac:dyDescent="0.2">
      <c r="A27" s="25"/>
    </row>
    <row r="28" spans="1:3" x14ac:dyDescent="0.2">
      <c r="A28" s="109" t="s">
        <v>6050</v>
      </c>
      <c r="B28" s="42" t="s">
        <v>7024</v>
      </c>
    </row>
    <row r="29" spans="1:3" x14ac:dyDescent="0.2">
      <c r="A29" s="25"/>
      <c r="B29" s="109" t="s">
        <v>5755</v>
      </c>
      <c r="C29" s="202" t="s">
        <v>7023</v>
      </c>
    </row>
    <row r="30" spans="1:3" x14ac:dyDescent="0.2">
      <c r="A30" s="25"/>
      <c r="B30" s="109" t="s">
        <v>5690</v>
      </c>
      <c r="C30" s="113">
        <v>39254</v>
      </c>
    </row>
    <row r="31" spans="1:3" x14ac:dyDescent="0.2">
      <c r="A31" s="25"/>
      <c r="B31" s="109" t="s">
        <v>5688</v>
      </c>
      <c r="C31" s="102" t="s">
        <v>6059</v>
      </c>
    </row>
    <row r="32" spans="1:3" x14ac:dyDescent="0.2">
      <c r="A32" s="25"/>
      <c r="B32" s="183" t="s">
        <v>7029</v>
      </c>
      <c r="C32" s="202" t="s">
        <v>7052</v>
      </c>
    </row>
    <row r="33" spans="1:3" x14ac:dyDescent="0.2">
      <c r="A33" s="25"/>
      <c r="B33" s="183" t="s">
        <v>4209</v>
      </c>
      <c r="C33" s="202" t="s">
        <v>7030</v>
      </c>
    </row>
    <row r="34" spans="1:3" x14ac:dyDescent="0.2">
      <c r="A34" s="25"/>
      <c r="B34" s="183"/>
      <c r="C34" s="202" t="s">
        <v>7031</v>
      </c>
    </row>
    <row r="35" spans="1:3" x14ac:dyDescent="0.2">
      <c r="A35" s="25"/>
      <c r="B35" s="183"/>
      <c r="C35" s="202" t="s">
        <v>7032</v>
      </c>
    </row>
    <row r="36" spans="1:3" x14ac:dyDescent="0.2">
      <c r="A36" s="25"/>
      <c r="B36" s="183"/>
      <c r="C36" s="202" t="s">
        <v>7033</v>
      </c>
    </row>
    <row r="37" spans="1:3" x14ac:dyDescent="0.2">
      <c r="A37" s="25"/>
      <c r="B37" s="183"/>
      <c r="C37" s="202" t="s">
        <v>7034</v>
      </c>
    </row>
    <row r="38" spans="1:3" x14ac:dyDescent="0.2">
      <c r="A38" s="25"/>
      <c r="B38" s="183"/>
      <c r="C38" s="202" t="s">
        <v>7035</v>
      </c>
    </row>
    <row r="39" spans="1:3" x14ac:dyDescent="0.2">
      <c r="A39" s="25"/>
      <c r="B39" s="183"/>
      <c r="C39" s="202" t="s">
        <v>7036</v>
      </c>
    </row>
    <row r="40" spans="1:3" x14ac:dyDescent="0.2">
      <c r="A40" s="25"/>
      <c r="B40" s="183"/>
      <c r="C40" s="202" t="s">
        <v>7037</v>
      </c>
    </row>
    <row r="41" spans="1:3" x14ac:dyDescent="0.2">
      <c r="A41" s="25"/>
      <c r="B41" s="183"/>
      <c r="C41" s="202" t="s">
        <v>7038</v>
      </c>
    </row>
    <row r="42" spans="1:3" x14ac:dyDescent="0.2">
      <c r="A42" s="25"/>
      <c r="B42" s="183"/>
      <c r="C42" s="202" t="s">
        <v>7039</v>
      </c>
    </row>
    <row r="43" spans="1:3" x14ac:dyDescent="0.2">
      <c r="A43" s="25"/>
      <c r="B43" s="183"/>
      <c r="C43" s="202" t="s">
        <v>7040</v>
      </c>
    </row>
    <row r="44" spans="1:3" x14ac:dyDescent="0.2">
      <c r="A44" s="25"/>
      <c r="B44" s="183"/>
      <c r="C44" s="202" t="s">
        <v>7041</v>
      </c>
    </row>
    <row r="45" spans="1:3" x14ac:dyDescent="0.2">
      <c r="A45" s="25"/>
      <c r="B45" s="183"/>
      <c r="C45" s="202" t="s">
        <v>7042</v>
      </c>
    </row>
    <row r="46" spans="1:3" x14ac:dyDescent="0.2">
      <c r="A46" s="25"/>
      <c r="B46" s="183"/>
      <c r="C46" s="202" t="s">
        <v>7043</v>
      </c>
    </row>
    <row r="47" spans="1:3" x14ac:dyDescent="0.2">
      <c r="A47" s="25"/>
      <c r="B47" s="183"/>
      <c r="C47" s="202" t="s">
        <v>7044</v>
      </c>
    </row>
    <row r="48" spans="1:3" x14ac:dyDescent="0.2">
      <c r="A48" s="25"/>
      <c r="B48" s="183"/>
      <c r="C48" s="202" t="s">
        <v>7045</v>
      </c>
    </row>
    <row r="49" spans="1:3" x14ac:dyDescent="0.2">
      <c r="A49" s="25"/>
      <c r="B49" s="183"/>
      <c r="C49" s="202" t="s">
        <v>7046</v>
      </c>
    </row>
    <row r="50" spans="1:3" x14ac:dyDescent="0.2">
      <c r="A50" s="25"/>
      <c r="B50" s="183"/>
      <c r="C50" s="202" t="s">
        <v>7047</v>
      </c>
    </row>
    <row r="51" spans="1:3" x14ac:dyDescent="0.2">
      <c r="A51" s="25"/>
      <c r="B51" s="183"/>
      <c r="C51" s="202" t="s">
        <v>7048</v>
      </c>
    </row>
    <row r="52" spans="1:3" x14ac:dyDescent="0.2">
      <c r="A52" s="25"/>
      <c r="B52" s="183"/>
      <c r="C52" s="202" t="s">
        <v>7049</v>
      </c>
    </row>
    <row r="53" spans="1:3" x14ac:dyDescent="0.2">
      <c r="A53" s="25"/>
      <c r="B53" s="183"/>
      <c r="C53" s="202" t="s">
        <v>7050</v>
      </c>
    </row>
    <row r="54" spans="1:3" x14ac:dyDescent="0.2">
      <c r="A54" s="25"/>
      <c r="B54" s="183"/>
      <c r="C54" s="202" t="s">
        <v>7051</v>
      </c>
    </row>
    <row r="55" spans="1:3" x14ac:dyDescent="0.2">
      <c r="A55" s="25"/>
    </row>
    <row r="56" spans="1:3" x14ac:dyDescent="0.2">
      <c r="A56" s="221" t="s">
        <v>7275</v>
      </c>
      <c r="B56" s="42" t="s">
        <v>7276</v>
      </c>
    </row>
    <row r="57" spans="1:3" x14ac:dyDescent="0.2">
      <c r="A57" s="25"/>
      <c r="B57" s="221" t="s">
        <v>5755</v>
      </c>
      <c r="C57" s="222" t="s">
        <v>7277</v>
      </c>
    </row>
    <row r="58" spans="1:3" x14ac:dyDescent="0.2">
      <c r="A58" s="25"/>
    </row>
    <row r="59" spans="1:3" x14ac:dyDescent="0.2">
      <c r="A59" s="221" t="s">
        <v>7281</v>
      </c>
      <c r="B59" s="42" t="s">
        <v>7282</v>
      </c>
    </row>
    <row r="60" spans="1:3" x14ac:dyDescent="0.2">
      <c r="A60" s="25"/>
      <c r="B60" s="221" t="s">
        <v>5755</v>
      </c>
      <c r="C60" s="222" t="s">
        <v>7283</v>
      </c>
    </row>
    <row r="61" spans="1:3" x14ac:dyDescent="0.2">
      <c r="A61" s="25"/>
    </row>
    <row r="62" spans="1:3" x14ac:dyDescent="0.2">
      <c r="A62" s="221" t="s">
        <v>7262</v>
      </c>
      <c r="B62" s="42" t="s">
        <v>7260</v>
      </c>
    </row>
    <row r="63" spans="1:3" x14ac:dyDescent="0.2">
      <c r="A63" s="25"/>
      <c r="B63" s="221" t="s">
        <v>5755</v>
      </c>
      <c r="C63" s="222" t="s">
        <v>4105</v>
      </c>
    </row>
    <row r="64" spans="1:3" x14ac:dyDescent="0.2">
      <c r="A64" s="25"/>
      <c r="B64" s="221" t="s">
        <v>5690</v>
      </c>
      <c r="C64" s="113">
        <v>21162</v>
      </c>
    </row>
    <row r="65" spans="1:3" x14ac:dyDescent="0.2">
      <c r="A65" s="25"/>
      <c r="B65" s="221" t="s">
        <v>5688</v>
      </c>
      <c r="C65" s="102" t="s">
        <v>7261</v>
      </c>
    </row>
    <row r="66" spans="1:3" x14ac:dyDescent="0.2">
      <c r="A66" s="25"/>
      <c r="B66" s="221" t="s">
        <v>6185</v>
      </c>
      <c r="C66" s="223">
        <v>45172</v>
      </c>
    </row>
    <row r="67" spans="1:3" x14ac:dyDescent="0.2">
      <c r="A67" s="25"/>
      <c r="B67" s="221" t="s">
        <v>4209</v>
      </c>
      <c r="C67" s="223" t="s">
        <v>7292</v>
      </c>
    </row>
    <row r="68" spans="1:3" x14ac:dyDescent="0.2">
      <c r="A68" s="25"/>
    </row>
    <row r="69" spans="1:3" x14ac:dyDescent="0.2">
      <c r="A69" s="221" t="s">
        <v>7263</v>
      </c>
      <c r="B69" s="42" t="s">
        <v>7264</v>
      </c>
    </row>
    <row r="70" spans="1:3" x14ac:dyDescent="0.2">
      <c r="A70" s="25"/>
      <c r="B70" s="221" t="s">
        <v>5755</v>
      </c>
      <c r="C70" s="222" t="s">
        <v>4105</v>
      </c>
    </row>
    <row r="71" spans="1:3" x14ac:dyDescent="0.2">
      <c r="A71" s="25"/>
      <c r="B71" s="221" t="s">
        <v>5690</v>
      </c>
      <c r="C71" s="112">
        <v>259</v>
      </c>
    </row>
    <row r="72" spans="1:3" x14ac:dyDescent="0.2">
      <c r="A72" s="25"/>
      <c r="B72" s="221" t="s">
        <v>5688</v>
      </c>
      <c r="C72" s="102" t="s">
        <v>7265</v>
      </c>
    </row>
    <row r="73" spans="1:3" x14ac:dyDescent="0.2">
      <c r="A73" s="25"/>
    </row>
    <row r="74" spans="1:3" x14ac:dyDescent="0.2">
      <c r="A74" s="183" t="s">
        <v>7053</v>
      </c>
      <c r="B74" s="42" t="s">
        <v>6058</v>
      </c>
    </row>
    <row r="75" spans="1:3" x14ac:dyDescent="0.2">
      <c r="A75" s="25"/>
      <c r="B75" s="109" t="s">
        <v>5755</v>
      </c>
      <c r="C75" s="110" t="s">
        <v>6057</v>
      </c>
    </row>
    <row r="76" spans="1:3" x14ac:dyDescent="0.2">
      <c r="A76" s="25"/>
      <c r="B76" s="109" t="s">
        <v>5690</v>
      </c>
      <c r="C76" s="112">
        <v>3169</v>
      </c>
    </row>
    <row r="77" spans="1:3" x14ac:dyDescent="0.2">
      <c r="A77" s="25"/>
      <c r="B77" s="109" t="s">
        <v>5688</v>
      </c>
      <c r="C77" s="102" t="s">
        <v>6060</v>
      </c>
    </row>
    <row r="78" spans="1:3" x14ac:dyDescent="0.2">
      <c r="A78" s="25"/>
    </row>
    <row r="79" spans="1:3" x14ac:dyDescent="0.2">
      <c r="A79" s="109" t="s">
        <v>5700</v>
      </c>
      <c r="B79" s="42" t="s">
        <v>5493</v>
      </c>
    </row>
    <row r="80" spans="1:3" x14ac:dyDescent="0.2">
      <c r="A80" s="25"/>
      <c r="B80" s="109" t="s">
        <v>5689</v>
      </c>
      <c r="C80" s="110" t="s">
        <v>5494</v>
      </c>
    </row>
    <row r="81" spans="1:3" x14ac:dyDescent="0.2">
      <c r="A81" s="25"/>
      <c r="B81" s="109" t="s">
        <v>5690</v>
      </c>
      <c r="C81" s="112">
        <v>2971</v>
      </c>
    </row>
    <row r="82" spans="1:3" x14ac:dyDescent="0.2">
      <c r="A82" s="25"/>
      <c r="B82" s="109" t="s">
        <v>5688</v>
      </c>
      <c r="C82" s="102" t="s">
        <v>5697</v>
      </c>
    </row>
    <row r="83" spans="1:3" x14ac:dyDescent="0.2">
      <c r="A83" s="25"/>
      <c r="C83" s="25" t="s">
        <v>7259</v>
      </c>
    </row>
    <row r="84" spans="1:3" x14ac:dyDescent="0.2">
      <c r="A84" s="25"/>
      <c r="B84" s="183" t="s">
        <v>6185</v>
      </c>
      <c r="C84" s="138">
        <v>45168</v>
      </c>
    </row>
    <row r="85" spans="1:3" x14ac:dyDescent="0.2">
      <c r="A85" s="25"/>
    </row>
    <row r="86" spans="1:3" x14ac:dyDescent="0.2">
      <c r="A86" s="109" t="s">
        <v>5701</v>
      </c>
      <c r="B86" s="42" t="s">
        <v>5698</v>
      </c>
    </row>
    <row r="87" spans="1:3" x14ac:dyDescent="0.2">
      <c r="B87" s="109" t="s">
        <v>5689</v>
      </c>
      <c r="C87" s="110" t="s">
        <v>5319</v>
      </c>
    </row>
    <row r="88" spans="1:3" x14ac:dyDescent="0.2">
      <c r="B88" s="109" t="s">
        <v>5690</v>
      </c>
      <c r="C88" s="113">
        <v>17453</v>
      </c>
    </row>
    <row r="89" spans="1:3" x14ac:dyDescent="0.2">
      <c r="B89" s="109" t="s">
        <v>5688</v>
      </c>
      <c r="C89" s="240" t="s">
        <v>5699</v>
      </c>
    </row>
    <row r="91" spans="1:3" x14ac:dyDescent="0.2">
      <c r="A91" s="109" t="s">
        <v>5702</v>
      </c>
      <c r="B91" s="42" t="s">
        <v>5506</v>
      </c>
    </row>
    <row r="92" spans="1:3" x14ac:dyDescent="0.2">
      <c r="B92" s="109" t="s">
        <v>5689</v>
      </c>
      <c r="C92" s="110" t="s">
        <v>4131</v>
      </c>
    </row>
    <row r="93" spans="1:3" x14ac:dyDescent="0.2">
      <c r="B93" s="109" t="s">
        <v>5690</v>
      </c>
      <c r="C93" s="112">
        <v>1984</v>
      </c>
    </row>
    <row r="94" spans="1:3" x14ac:dyDescent="0.2">
      <c r="B94" s="109" t="s">
        <v>5688</v>
      </c>
      <c r="C94" s="102" t="s">
        <v>5711</v>
      </c>
    </row>
    <row r="96" spans="1:3" x14ac:dyDescent="0.2">
      <c r="A96" s="109" t="s">
        <v>5703</v>
      </c>
      <c r="B96" s="42" t="s">
        <v>5713</v>
      </c>
    </row>
    <row r="97" spans="1:3" x14ac:dyDescent="0.2">
      <c r="B97" s="109" t="s">
        <v>5689</v>
      </c>
      <c r="C97" s="110" t="s">
        <v>5712</v>
      </c>
    </row>
    <row r="98" spans="1:3" x14ac:dyDescent="0.2">
      <c r="B98" s="109" t="s">
        <v>5690</v>
      </c>
      <c r="C98" s="112">
        <v>2957</v>
      </c>
    </row>
    <row r="99" spans="1:3" x14ac:dyDescent="0.2">
      <c r="B99" s="109" t="s">
        <v>5688</v>
      </c>
      <c r="C99" s="102" t="s">
        <v>5714</v>
      </c>
    </row>
    <row r="101" spans="1:3" x14ac:dyDescent="0.2">
      <c r="A101" s="109" t="s">
        <v>5704</v>
      </c>
      <c r="B101" s="42" t="s">
        <v>5325</v>
      </c>
    </row>
    <row r="102" spans="1:3" x14ac:dyDescent="0.2">
      <c r="B102" s="109" t="s">
        <v>5689</v>
      </c>
      <c r="C102" s="110" t="s">
        <v>5319</v>
      </c>
    </row>
    <row r="103" spans="1:3" x14ac:dyDescent="0.2">
      <c r="B103" s="109" t="s">
        <v>5690</v>
      </c>
      <c r="C103" s="114">
        <v>9588</v>
      </c>
    </row>
    <row r="104" spans="1:3" x14ac:dyDescent="0.2">
      <c r="B104" s="109" t="s">
        <v>5688</v>
      </c>
      <c r="C104" s="102" t="s">
        <v>5715</v>
      </c>
    </row>
    <row r="106" spans="1:3" x14ac:dyDescent="0.2">
      <c r="A106" s="109" t="s">
        <v>5705</v>
      </c>
      <c r="B106" s="42" t="s">
        <v>5716</v>
      </c>
    </row>
    <row r="107" spans="1:3" x14ac:dyDescent="0.2">
      <c r="B107" s="109" t="s">
        <v>5689</v>
      </c>
      <c r="C107" s="110" t="s">
        <v>4495</v>
      </c>
    </row>
    <row r="108" spans="1:3" x14ac:dyDescent="0.2">
      <c r="B108" s="109" t="s">
        <v>5690</v>
      </c>
      <c r="C108" s="112">
        <v>2896</v>
      </c>
    </row>
    <row r="109" spans="1:3" x14ac:dyDescent="0.2">
      <c r="B109" s="109" t="s">
        <v>5688</v>
      </c>
      <c r="C109" s="102" t="s">
        <v>5717</v>
      </c>
    </row>
    <row r="111" spans="1:3" x14ac:dyDescent="0.2">
      <c r="A111" s="109" t="s">
        <v>5706</v>
      </c>
      <c r="B111" s="42" t="s">
        <v>5326</v>
      </c>
    </row>
    <row r="112" spans="1:3" x14ac:dyDescent="0.2">
      <c r="B112" s="109" t="s">
        <v>5689</v>
      </c>
      <c r="C112" s="110" t="s">
        <v>5327</v>
      </c>
    </row>
    <row r="113" spans="1:3" x14ac:dyDescent="0.2">
      <c r="B113" s="109" t="s">
        <v>5690</v>
      </c>
      <c r="C113" s="115">
        <v>12004</v>
      </c>
    </row>
    <row r="114" spans="1:3" x14ac:dyDescent="0.2">
      <c r="B114" s="109" t="s">
        <v>5688</v>
      </c>
      <c r="C114" s="102" t="s">
        <v>5720</v>
      </c>
    </row>
    <row r="116" spans="1:3" x14ac:dyDescent="0.2">
      <c r="A116" s="109" t="s">
        <v>5707</v>
      </c>
      <c r="B116" s="42" t="s">
        <v>5718</v>
      </c>
    </row>
    <row r="117" spans="1:3" x14ac:dyDescent="0.2">
      <c r="B117" s="109" t="s">
        <v>5689</v>
      </c>
      <c r="C117" s="110" t="s">
        <v>5719</v>
      </c>
    </row>
    <row r="118" spans="1:3" x14ac:dyDescent="0.2">
      <c r="B118" s="109" t="s">
        <v>5690</v>
      </c>
      <c r="C118" s="112">
        <v>1026</v>
      </c>
    </row>
    <row r="119" spans="1:3" x14ac:dyDescent="0.2">
      <c r="B119" s="109" t="s">
        <v>5688</v>
      </c>
      <c r="C119" s="102" t="s">
        <v>5721</v>
      </c>
    </row>
    <row r="121" spans="1:3" x14ac:dyDescent="0.2">
      <c r="A121" s="109" t="s">
        <v>6311</v>
      </c>
      <c r="B121" s="42" t="s">
        <v>6313</v>
      </c>
    </row>
    <row r="122" spans="1:3" x14ac:dyDescent="0.2">
      <c r="B122" s="109" t="s">
        <v>5689</v>
      </c>
      <c r="C122" s="110" t="s">
        <v>6312</v>
      </c>
    </row>
    <row r="123" spans="1:3" x14ac:dyDescent="0.2">
      <c r="B123" s="109" t="s">
        <v>5690</v>
      </c>
      <c r="C123" s="112">
        <v>429</v>
      </c>
    </row>
    <row r="124" spans="1:3" x14ac:dyDescent="0.2">
      <c r="B124" s="109" t="s">
        <v>5688</v>
      </c>
      <c r="C124" s="102" t="s">
        <v>6314</v>
      </c>
    </row>
    <row r="126" spans="1:3" x14ac:dyDescent="0.2">
      <c r="A126" s="109" t="s">
        <v>5708</v>
      </c>
      <c r="B126" s="42" t="s">
        <v>5722</v>
      </c>
    </row>
    <row r="127" spans="1:3" x14ac:dyDescent="0.2">
      <c r="B127" s="109" t="s">
        <v>5689</v>
      </c>
      <c r="C127" s="110" t="s">
        <v>5507</v>
      </c>
    </row>
    <row r="128" spans="1:3" x14ac:dyDescent="0.2">
      <c r="B128" s="109" t="s">
        <v>5690</v>
      </c>
      <c r="C128" s="116">
        <v>17070</v>
      </c>
    </row>
    <row r="129" spans="1:3" x14ac:dyDescent="0.2">
      <c r="B129" s="110" t="s">
        <v>5688</v>
      </c>
      <c r="C129" s="102" t="s">
        <v>5723</v>
      </c>
    </row>
    <row r="131" spans="1:3" x14ac:dyDescent="0.2">
      <c r="A131" s="109" t="s">
        <v>6183</v>
      </c>
      <c r="B131" s="42" t="s">
        <v>6187</v>
      </c>
    </row>
    <row r="132" spans="1:3" x14ac:dyDescent="0.2">
      <c r="B132" s="109" t="s">
        <v>5689</v>
      </c>
      <c r="C132" s="110" t="s">
        <v>6186</v>
      </c>
    </row>
    <row r="133" spans="1:3" x14ac:dyDescent="0.2">
      <c r="B133" s="109" t="s">
        <v>5690</v>
      </c>
      <c r="C133" s="117">
        <v>8121</v>
      </c>
    </row>
    <row r="134" spans="1:3" x14ac:dyDescent="0.2">
      <c r="B134" s="109" t="s">
        <v>5688</v>
      </c>
      <c r="C134" s="102" t="s">
        <v>6184</v>
      </c>
    </row>
    <row r="136" spans="1:3" x14ac:dyDescent="0.2">
      <c r="B136" s="42" t="s">
        <v>7239</v>
      </c>
    </row>
    <row r="137" spans="1:3" x14ac:dyDescent="0.2">
      <c r="B137" s="214" t="s">
        <v>5755</v>
      </c>
      <c r="C137" s="216" t="s">
        <v>7240</v>
      </c>
    </row>
    <row r="140" spans="1:3" x14ac:dyDescent="0.2">
      <c r="A140" s="109" t="s">
        <v>5709</v>
      </c>
      <c r="B140" s="42" t="s">
        <v>5724</v>
      </c>
    </row>
    <row r="141" spans="1:3" x14ac:dyDescent="0.2">
      <c r="B141" s="109" t="s">
        <v>5689</v>
      </c>
      <c r="C141" s="110" t="s">
        <v>5725</v>
      </c>
    </row>
    <row r="142" spans="1:3" x14ac:dyDescent="0.2">
      <c r="B142" s="109" t="s">
        <v>5690</v>
      </c>
      <c r="C142" s="117">
        <v>6002</v>
      </c>
    </row>
    <row r="143" spans="1:3" x14ac:dyDescent="0.2">
      <c r="B143" s="109" t="s">
        <v>5688</v>
      </c>
      <c r="C143" s="25" t="s">
        <v>5726</v>
      </c>
    </row>
    <row r="145" spans="1:3" x14ac:dyDescent="0.2">
      <c r="A145" s="109" t="s">
        <v>5710</v>
      </c>
      <c r="B145" s="42" t="s">
        <v>5491</v>
      </c>
    </row>
    <row r="146" spans="1:3" x14ac:dyDescent="0.2">
      <c r="B146" s="109" t="s">
        <v>5689</v>
      </c>
      <c r="C146" s="110" t="s">
        <v>5492</v>
      </c>
    </row>
    <row r="147" spans="1:3" x14ac:dyDescent="0.2">
      <c r="B147" s="109" t="s">
        <v>5690</v>
      </c>
      <c r="C147" s="117">
        <v>9169</v>
      </c>
    </row>
    <row r="148" spans="1:3" x14ac:dyDescent="0.2">
      <c r="B148" s="109" t="s">
        <v>5688</v>
      </c>
      <c r="C148" s="25" t="s">
        <v>5727</v>
      </c>
    </row>
    <row r="150" spans="1:3" x14ac:dyDescent="0.2">
      <c r="A150" s="214" t="s">
        <v>7245</v>
      </c>
      <c r="B150" s="42" t="s">
        <v>7243</v>
      </c>
    </row>
    <row r="151" spans="1:3" x14ac:dyDescent="0.2">
      <c r="B151" s="214" t="s">
        <v>5689</v>
      </c>
      <c r="C151" s="216" t="s">
        <v>7244</v>
      </c>
    </row>
    <row r="153" spans="1:3" x14ac:dyDescent="0.2">
      <c r="A153" s="109" t="s">
        <v>5694</v>
      </c>
      <c r="B153" s="42" t="s">
        <v>5693</v>
      </c>
    </row>
    <row r="154" spans="1:3" x14ac:dyDescent="0.2">
      <c r="B154" s="109" t="s">
        <v>5689</v>
      </c>
      <c r="C154" s="110" t="s">
        <v>5692</v>
      </c>
    </row>
    <row r="155" spans="1:3" x14ac:dyDescent="0.2">
      <c r="B155" s="109" t="s">
        <v>5690</v>
      </c>
      <c r="C155" s="114">
        <v>5349</v>
      </c>
    </row>
    <row r="156" spans="1:3" x14ac:dyDescent="0.2">
      <c r="B156" s="109" t="s">
        <v>5688</v>
      </c>
      <c r="C156" s="25" t="s">
        <v>5728</v>
      </c>
    </row>
    <row r="158" spans="1:3" x14ac:dyDescent="0.2">
      <c r="A158" s="109" t="s">
        <v>5696</v>
      </c>
      <c r="B158" s="42" t="s">
        <v>5695</v>
      </c>
    </row>
    <row r="159" spans="1:3" x14ac:dyDescent="0.2">
      <c r="B159" s="109" t="s">
        <v>5689</v>
      </c>
      <c r="C159" s="110" t="s">
        <v>4139</v>
      </c>
    </row>
    <row r="160" spans="1:3" x14ac:dyDescent="0.2">
      <c r="B160" s="109" t="s">
        <v>5690</v>
      </c>
      <c r="C160" s="112">
        <v>391</v>
      </c>
    </row>
    <row r="161" spans="1:3" x14ac:dyDescent="0.2">
      <c r="B161" s="109" t="s">
        <v>5688</v>
      </c>
      <c r="C161" s="102" t="s">
        <v>5729</v>
      </c>
    </row>
    <row r="162" spans="1:3" x14ac:dyDescent="0.2">
      <c r="C162" s="102"/>
    </row>
    <row r="163" spans="1:3" x14ac:dyDescent="0.2">
      <c r="A163" s="109" t="s">
        <v>5730</v>
      </c>
      <c r="B163" s="42" t="s">
        <v>5732</v>
      </c>
    </row>
    <row r="164" spans="1:3" x14ac:dyDescent="0.2">
      <c r="B164" s="109" t="s">
        <v>5689</v>
      </c>
      <c r="C164" s="258" t="s">
        <v>5332</v>
      </c>
    </row>
    <row r="165" spans="1:3" x14ac:dyDescent="0.2">
      <c r="B165" s="109" t="s">
        <v>5690</v>
      </c>
      <c r="C165" s="118">
        <v>34391</v>
      </c>
    </row>
    <row r="166" spans="1:3" x14ac:dyDescent="0.2">
      <c r="B166" s="109" t="s">
        <v>5688</v>
      </c>
      <c r="C166" s="25" t="s">
        <v>5733</v>
      </c>
    </row>
    <row r="167" spans="1:3" x14ac:dyDescent="0.2">
      <c r="B167" s="109" t="s">
        <v>4209</v>
      </c>
      <c r="C167" s="110" t="s">
        <v>5734</v>
      </c>
    </row>
    <row r="170" spans="1:3" x14ac:dyDescent="0.2">
      <c r="A170" s="109" t="s">
        <v>5731</v>
      </c>
      <c r="B170" s="42" t="s">
        <v>5331</v>
      </c>
    </row>
    <row r="171" spans="1:3" x14ac:dyDescent="0.2">
      <c r="B171" s="109" t="s">
        <v>5689</v>
      </c>
      <c r="C171" s="110" t="s">
        <v>5332</v>
      </c>
    </row>
    <row r="172" spans="1:3" x14ac:dyDescent="0.2">
      <c r="B172" s="109" t="s">
        <v>5690</v>
      </c>
      <c r="C172" s="119">
        <v>26462</v>
      </c>
    </row>
    <row r="173" spans="1:3" x14ac:dyDescent="0.2">
      <c r="B173" s="109" t="s">
        <v>5688</v>
      </c>
      <c r="C173" s="25" t="s">
        <v>5735</v>
      </c>
    </row>
    <row r="174" spans="1:3" x14ac:dyDescent="0.2">
      <c r="C174" s="25"/>
    </row>
    <row r="175" spans="1:3" x14ac:dyDescent="0.2">
      <c r="A175" s="109" t="s">
        <v>6019</v>
      </c>
      <c r="B175" s="42" t="s">
        <v>6020</v>
      </c>
      <c r="C175" s="25"/>
    </row>
    <row r="176" spans="1:3" x14ac:dyDescent="0.2">
      <c r="B176" s="109" t="s">
        <v>5689</v>
      </c>
      <c r="C176" s="110" t="s">
        <v>6021</v>
      </c>
    </row>
    <row r="177" spans="1:3" x14ac:dyDescent="0.2">
      <c r="B177" s="109" t="s">
        <v>5690</v>
      </c>
      <c r="C177" s="112">
        <v>193</v>
      </c>
    </row>
    <row r="178" spans="1:3" x14ac:dyDescent="0.2">
      <c r="B178" s="109" t="s">
        <v>5688</v>
      </c>
      <c r="C178" s="25" t="s">
        <v>6022</v>
      </c>
    </row>
    <row r="180" spans="1:3" x14ac:dyDescent="0.2">
      <c r="A180" s="214" t="s">
        <v>7226</v>
      </c>
      <c r="B180" s="42" t="s">
        <v>7227</v>
      </c>
    </row>
    <row r="181" spans="1:3" x14ac:dyDescent="0.2">
      <c r="B181" s="214" t="s">
        <v>5755</v>
      </c>
      <c r="C181" s="216" t="s">
        <v>4514</v>
      </c>
    </row>
    <row r="185" spans="1:3" x14ac:dyDescent="0.2">
      <c r="A185" s="109" t="s">
        <v>5736</v>
      </c>
      <c r="B185" s="42" t="s">
        <v>5510</v>
      </c>
    </row>
    <row r="186" spans="1:3" x14ac:dyDescent="0.2">
      <c r="B186" s="109" t="s">
        <v>5689</v>
      </c>
      <c r="C186" s="110" t="s">
        <v>5511</v>
      </c>
    </row>
    <row r="187" spans="1:3" x14ac:dyDescent="0.2">
      <c r="B187" s="109" t="s">
        <v>5690</v>
      </c>
      <c r="C187" s="120">
        <v>14928</v>
      </c>
    </row>
    <row r="188" spans="1:3" x14ac:dyDescent="0.2">
      <c r="B188" s="109" t="s">
        <v>5688</v>
      </c>
      <c r="C188" s="25" t="s">
        <v>5747</v>
      </c>
    </row>
    <row r="190" spans="1:3" x14ac:dyDescent="0.2">
      <c r="A190" s="109" t="s">
        <v>5737</v>
      </c>
      <c r="B190" s="42" t="s">
        <v>5748</v>
      </c>
    </row>
    <row r="191" spans="1:3" x14ac:dyDescent="0.2">
      <c r="B191" s="109" t="s">
        <v>5689</v>
      </c>
      <c r="C191" s="110" t="s">
        <v>5749</v>
      </c>
    </row>
    <row r="192" spans="1:3" x14ac:dyDescent="0.2">
      <c r="B192" s="109" t="s">
        <v>5690</v>
      </c>
      <c r="C192" s="117">
        <v>5956</v>
      </c>
    </row>
    <row r="193" spans="1:3" x14ac:dyDescent="0.2">
      <c r="B193" s="109" t="s">
        <v>5688</v>
      </c>
      <c r="C193" s="25" t="s">
        <v>5750</v>
      </c>
    </row>
    <row r="194" spans="1:3" x14ac:dyDescent="0.2">
      <c r="C194" s="25"/>
    </row>
    <row r="195" spans="1:3" x14ac:dyDescent="0.2">
      <c r="A195" s="109" t="s">
        <v>6023</v>
      </c>
      <c r="B195" s="42" t="s">
        <v>6025</v>
      </c>
      <c r="C195" s="25"/>
    </row>
    <row r="196" spans="1:3" x14ac:dyDescent="0.2">
      <c r="B196" s="109" t="s">
        <v>5689</v>
      </c>
      <c r="C196" s="121" t="s">
        <v>6026</v>
      </c>
    </row>
    <row r="197" spans="1:3" x14ac:dyDescent="0.2">
      <c r="B197" s="109" t="s">
        <v>5690</v>
      </c>
      <c r="C197" s="112">
        <v>1950</v>
      </c>
    </row>
    <row r="198" spans="1:3" x14ac:dyDescent="0.2">
      <c r="B198" s="109" t="s">
        <v>5688</v>
      </c>
      <c r="C198" s="25" t="s">
        <v>6024</v>
      </c>
    </row>
    <row r="200" spans="1:3" x14ac:dyDescent="0.2">
      <c r="A200" s="109" t="s">
        <v>5739</v>
      </c>
      <c r="B200" s="42" t="s">
        <v>5751</v>
      </c>
    </row>
    <row r="201" spans="1:3" x14ac:dyDescent="0.2">
      <c r="B201" s="109" t="s">
        <v>5689</v>
      </c>
      <c r="C201" s="110" t="s">
        <v>5752</v>
      </c>
    </row>
    <row r="202" spans="1:3" x14ac:dyDescent="0.2">
      <c r="B202" s="109" t="s">
        <v>5690</v>
      </c>
      <c r="C202" s="120">
        <v>11169</v>
      </c>
    </row>
    <row r="203" spans="1:3" x14ac:dyDescent="0.2">
      <c r="B203" s="109" t="s">
        <v>5688</v>
      </c>
      <c r="C203" s="25" t="s">
        <v>5753</v>
      </c>
    </row>
    <row r="205" spans="1:3" x14ac:dyDescent="0.2">
      <c r="A205" s="109" t="s">
        <v>6218</v>
      </c>
      <c r="B205" s="42" t="s">
        <v>6215</v>
      </c>
    </row>
    <row r="206" spans="1:3" x14ac:dyDescent="0.2">
      <c r="B206" s="109" t="s">
        <v>5689</v>
      </c>
      <c r="C206" s="110" t="s">
        <v>6217</v>
      </c>
    </row>
    <row r="207" spans="1:3" x14ac:dyDescent="0.2">
      <c r="B207" s="109" t="s">
        <v>5690</v>
      </c>
      <c r="C207" s="117">
        <v>5749</v>
      </c>
    </row>
    <row r="208" spans="1:3" x14ac:dyDescent="0.2">
      <c r="B208" s="109" t="s">
        <v>5688</v>
      </c>
      <c r="C208" s="102" t="s">
        <v>6216</v>
      </c>
    </row>
    <row r="210" spans="1:3" x14ac:dyDescent="0.2">
      <c r="A210" s="109" t="s">
        <v>5738</v>
      </c>
      <c r="B210" s="42" t="s">
        <v>5505</v>
      </c>
    </row>
    <row r="211" spans="1:3" x14ac:dyDescent="0.2">
      <c r="B211" s="109" t="s">
        <v>5755</v>
      </c>
      <c r="C211" s="258" t="s">
        <v>5754</v>
      </c>
    </row>
    <row r="212" spans="1:3" x14ac:dyDescent="0.2">
      <c r="B212" s="109" t="s">
        <v>5690</v>
      </c>
      <c r="C212" s="122">
        <v>80021</v>
      </c>
    </row>
    <row r="213" spans="1:3" x14ac:dyDescent="0.2">
      <c r="B213" s="109" t="s">
        <v>5688</v>
      </c>
      <c r="C213" s="25" t="s">
        <v>5756</v>
      </c>
    </row>
    <row r="215" spans="1:3" x14ac:dyDescent="0.2">
      <c r="A215" s="183" t="s">
        <v>6875</v>
      </c>
      <c r="B215" s="42" t="s">
        <v>6878</v>
      </c>
    </row>
    <row r="216" spans="1:3" x14ac:dyDescent="0.2">
      <c r="A216" s="183"/>
      <c r="B216" s="183" t="s">
        <v>5689</v>
      </c>
      <c r="C216" s="207" t="s">
        <v>6876</v>
      </c>
    </row>
    <row r="217" spans="1:3" x14ac:dyDescent="0.2">
      <c r="B217" s="183" t="s">
        <v>5690</v>
      </c>
      <c r="C217" s="112">
        <v>4388</v>
      </c>
    </row>
    <row r="218" spans="1:3" x14ac:dyDescent="0.2">
      <c r="B218" s="183" t="s">
        <v>5688</v>
      </c>
      <c r="C218" s="102" t="s">
        <v>6877</v>
      </c>
    </row>
    <row r="220" spans="1:3" x14ac:dyDescent="0.2">
      <c r="A220" s="214" t="s">
        <v>7248</v>
      </c>
      <c r="B220" s="42" t="s">
        <v>7246</v>
      </c>
    </row>
    <row r="221" spans="1:3" x14ac:dyDescent="0.2">
      <c r="B221" s="214" t="s">
        <v>5689</v>
      </c>
      <c r="C221" s="216" t="s">
        <v>7247</v>
      </c>
    </row>
    <row r="224" spans="1:3" x14ac:dyDescent="0.2">
      <c r="A224" s="109" t="s">
        <v>5740</v>
      </c>
      <c r="B224" s="42" t="s">
        <v>5757</v>
      </c>
    </row>
    <row r="225" spans="1:3" x14ac:dyDescent="0.2">
      <c r="B225" s="109" t="s">
        <v>5689</v>
      </c>
      <c r="C225" s="110" t="s">
        <v>5758</v>
      </c>
    </row>
    <row r="226" spans="1:3" x14ac:dyDescent="0.2">
      <c r="B226" s="109" t="s">
        <v>5690</v>
      </c>
      <c r="C226" s="120">
        <v>11155</v>
      </c>
    </row>
    <row r="227" spans="1:3" x14ac:dyDescent="0.2">
      <c r="B227" s="109" t="s">
        <v>5688</v>
      </c>
      <c r="C227" s="25" t="s">
        <v>5759</v>
      </c>
    </row>
    <row r="229" spans="1:3" x14ac:dyDescent="0.2">
      <c r="A229" s="109" t="s">
        <v>5741</v>
      </c>
      <c r="B229" s="42" t="s">
        <v>5760</v>
      </c>
    </row>
    <row r="230" spans="1:3" x14ac:dyDescent="0.2">
      <c r="B230" s="109" t="s">
        <v>5689</v>
      </c>
      <c r="C230" s="110" t="s">
        <v>5761</v>
      </c>
    </row>
    <row r="231" spans="1:3" x14ac:dyDescent="0.2">
      <c r="B231" s="109" t="s">
        <v>5690</v>
      </c>
      <c r="C231" s="123">
        <v>1218</v>
      </c>
    </row>
    <row r="232" spans="1:3" x14ac:dyDescent="0.2">
      <c r="B232" s="110" t="s">
        <v>5688</v>
      </c>
      <c r="C232" s="102" t="s">
        <v>5762</v>
      </c>
    </row>
    <row r="234" spans="1:3" x14ac:dyDescent="0.2">
      <c r="A234" s="109" t="s">
        <v>5742</v>
      </c>
      <c r="B234" s="42" t="s">
        <v>5763</v>
      </c>
    </row>
    <row r="235" spans="1:3" x14ac:dyDescent="0.2">
      <c r="B235" s="109" t="s">
        <v>5689</v>
      </c>
      <c r="C235" s="110" t="s">
        <v>5764</v>
      </c>
    </row>
    <row r="236" spans="1:3" x14ac:dyDescent="0.2">
      <c r="B236" s="109" t="s">
        <v>5690</v>
      </c>
      <c r="C236" s="117">
        <v>6961</v>
      </c>
    </row>
    <row r="237" spans="1:3" x14ac:dyDescent="0.2">
      <c r="B237" s="110" t="s">
        <v>5688</v>
      </c>
      <c r="C237" s="102" t="s">
        <v>5765</v>
      </c>
    </row>
    <row r="239" spans="1:3" x14ac:dyDescent="0.2">
      <c r="A239" s="214" t="s">
        <v>7224</v>
      </c>
      <c r="B239" s="42" t="s">
        <v>7222</v>
      </c>
    </row>
    <row r="240" spans="1:3" x14ac:dyDescent="0.2">
      <c r="B240" s="214" t="s">
        <v>5755</v>
      </c>
      <c r="C240" s="216" t="s">
        <v>7223</v>
      </c>
    </row>
    <row r="243" spans="1:3" x14ac:dyDescent="0.2">
      <c r="A243" s="109" t="s">
        <v>5744</v>
      </c>
      <c r="B243" s="42" t="s">
        <v>5768</v>
      </c>
    </row>
    <row r="244" spans="1:3" x14ac:dyDescent="0.2">
      <c r="B244" s="110" t="s">
        <v>5689</v>
      </c>
      <c r="C244" s="110" t="s">
        <v>5766</v>
      </c>
    </row>
    <row r="245" spans="1:3" x14ac:dyDescent="0.2">
      <c r="B245" s="110" t="s">
        <v>5690</v>
      </c>
      <c r="C245" s="122">
        <v>62084</v>
      </c>
    </row>
    <row r="246" spans="1:3" x14ac:dyDescent="0.2">
      <c r="B246" s="110" t="s">
        <v>5688</v>
      </c>
      <c r="C246" s="102" t="s">
        <v>5767</v>
      </c>
    </row>
    <row r="248" spans="1:3" x14ac:dyDescent="0.2">
      <c r="A248" s="109" t="s">
        <v>5743</v>
      </c>
      <c r="B248" s="42" t="s">
        <v>5770</v>
      </c>
    </row>
    <row r="249" spans="1:3" x14ac:dyDescent="0.2">
      <c r="B249" s="109" t="s">
        <v>5689</v>
      </c>
      <c r="C249" s="110" t="s">
        <v>5509</v>
      </c>
    </row>
    <row r="250" spans="1:3" x14ac:dyDescent="0.2">
      <c r="B250" s="109" t="s">
        <v>5690</v>
      </c>
      <c r="C250" s="122">
        <v>57102</v>
      </c>
    </row>
    <row r="251" spans="1:3" x14ac:dyDescent="0.2">
      <c r="B251" s="109" t="s">
        <v>5688</v>
      </c>
      <c r="C251" s="102" t="s">
        <v>5769</v>
      </c>
    </row>
    <row r="253" spans="1:3" x14ac:dyDescent="0.2">
      <c r="A253" s="109" t="s">
        <v>6061</v>
      </c>
      <c r="B253" s="42" t="s">
        <v>6155</v>
      </c>
    </row>
    <row r="254" spans="1:3" x14ac:dyDescent="0.2">
      <c r="B254" s="109" t="s">
        <v>5689</v>
      </c>
      <c r="C254" s="110" t="s">
        <v>6154</v>
      </c>
    </row>
    <row r="255" spans="1:3" x14ac:dyDescent="0.2">
      <c r="B255" s="109" t="s">
        <v>5690</v>
      </c>
      <c r="C255" s="137">
        <v>113005</v>
      </c>
    </row>
    <row r="256" spans="1:3" x14ac:dyDescent="0.2">
      <c r="B256" s="109" t="s">
        <v>5688</v>
      </c>
      <c r="C256" s="102" t="s">
        <v>6153</v>
      </c>
    </row>
    <row r="258" spans="1:3" x14ac:dyDescent="0.2">
      <c r="A258" s="109" t="s">
        <v>5745</v>
      </c>
      <c r="B258" s="42" t="s">
        <v>5771</v>
      </c>
    </row>
    <row r="259" spans="1:3" x14ac:dyDescent="0.2">
      <c r="B259" s="109" t="s">
        <v>5689</v>
      </c>
      <c r="C259" s="110" t="s">
        <v>5772</v>
      </c>
    </row>
    <row r="260" spans="1:3" x14ac:dyDescent="0.2">
      <c r="B260" s="109" t="s">
        <v>5690</v>
      </c>
      <c r="C260" s="123">
        <v>1812</v>
      </c>
    </row>
    <row r="261" spans="1:3" x14ac:dyDescent="0.2">
      <c r="B261" s="109" t="s">
        <v>5688</v>
      </c>
      <c r="C261" s="102" t="s">
        <v>5776</v>
      </c>
    </row>
    <row r="263" spans="1:3" x14ac:dyDescent="0.2">
      <c r="B263" s="42" t="s">
        <v>6054</v>
      </c>
    </row>
    <row r="264" spans="1:3" x14ac:dyDescent="0.2">
      <c r="B264" s="109" t="s">
        <v>5689</v>
      </c>
      <c r="C264" s="110" t="s">
        <v>6053</v>
      </c>
    </row>
    <row r="265" spans="1:3" x14ac:dyDescent="0.2">
      <c r="B265" s="109" t="s">
        <v>5690</v>
      </c>
    </row>
    <row r="266" spans="1:3" x14ac:dyDescent="0.2">
      <c r="B266" s="109" t="s">
        <v>5688</v>
      </c>
    </row>
    <row r="268" spans="1:3" x14ac:dyDescent="0.2">
      <c r="A268" s="109" t="s">
        <v>5746</v>
      </c>
      <c r="B268" s="42" t="s">
        <v>5658</v>
      </c>
    </row>
    <row r="269" spans="1:3" x14ac:dyDescent="0.2">
      <c r="B269" s="109" t="s">
        <v>5689</v>
      </c>
      <c r="C269" s="110" t="s">
        <v>5659</v>
      </c>
    </row>
    <row r="270" spans="1:3" x14ac:dyDescent="0.2">
      <c r="B270" s="109" t="s">
        <v>5690</v>
      </c>
      <c r="C270" s="120">
        <v>12844</v>
      </c>
    </row>
    <row r="271" spans="1:3" x14ac:dyDescent="0.2">
      <c r="B271" s="109" t="s">
        <v>4211</v>
      </c>
      <c r="C271" s="109" t="s">
        <v>5791</v>
      </c>
    </row>
    <row r="272" spans="1:3" x14ac:dyDescent="0.2">
      <c r="B272" s="109" t="s">
        <v>5688</v>
      </c>
      <c r="C272" s="25" t="s">
        <v>5790</v>
      </c>
    </row>
    <row r="274" spans="1:3" x14ac:dyDescent="0.2">
      <c r="A274" s="109" t="s">
        <v>6179</v>
      </c>
      <c r="B274" s="42" t="s">
        <v>6181</v>
      </c>
    </row>
    <row r="275" spans="1:3" x14ac:dyDescent="0.2">
      <c r="B275" s="109" t="s">
        <v>5689</v>
      </c>
      <c r="C275" s="110" t="s">
        <v>6180</v>
      </c>
    </row>
    <row r="276" spans="1:3" x14ac:dyDescent="0.2">
      <c r="B276" s="109" t="s">
        <v>5690</v>
      </c>
      <c r="C276" s="123">
        <v>4936</v>
      </c>
    </row>
    <row r="277" spans="1:3" x14ac:dyDescent="0.2">
      <c r="B277" s="109" t="s">
        <v>5688</v>
      </c>
      <c r="C277" s="25" t="s">
        <v>6178</v>
      </c>
    </row>
    <row r="278" spans="1:3" x14ac:dyDescent="0.2">
      <c r="B278" s="109" t="s">
        <v>5688</v>
      </c>
      <c r="C278" s="25" t="s">
        <v>6182</v>
      </c>
    </row>
    <row r="280" spans="1:3" x14ac:dyDescent="0.2">
      <c r="A280" s="109" t="s">
        <v>6222</v>
      </c>
      <c r="B280" s="42" t="s">
        <v>6219</v>
      </c>
    </row>
    <row r="281" spans="1:3" x14ac:dyDescent="0.2">
      <c r="B281" s="109" t="s">
        <v>5689</v>
      </c>
      <c r="C281" s="110" t="s">
        <v>6220</v>
      </c>
    </row>
    <row r="282" spans="1:3" x14ac:dyDescent="0.2">
      <c r="B282" s="109" t="s">
        <v>5690</v>
      </c>
      <c r="C282" s="123">
        <v>1783</v>
      </c>
    </row>
    <row r="283" spans="1:3" x14ac:dyDescent="0.2">
      <c r="B283" s="109" t="s">
        <v>5688</v>
      </c>
      <c r="C283" s="102" t="s">
        <v>6221</v>
      </c>
    </row>
    <row r="285" spans="1:3" x14ac:dyDescent="0.2">
      <c r="A285" s="183" t="s">
        <v>6858</v>
      </c>
      <c r="B285" s="42" t="s">
        <v>6859</v>
      </c>
    </row>
    <row r="286" spans="1:3" x14ac:dyDescent="0.2">
      <c r="B286" s="183" t="s">
        <v>5689</v>
      </c>
      <c r="C286" s="202" t="s">
        <v>6860</v>
      </c>
    </row>
    <row r="287" spans="1:3" x14ac:dyDescent="0.2">
      <c r="B287" s="183" t="s">
        <v>5690</v>
      </c>
      <c r="C287" s="123">
        <v>1669</v>
      </c>
    </row>
    <row r="288" spans="1:3" x14ac:dyDescent="0.2">
      <c r="B288" s="183" t="s">
        <v>5688</v>
      </c>
      <c r="C288" s="102" t="s">
        <v>6861</v>
      </c>
    </row>
    <row r="290" spans="1:3" x14ac:dyDescent="0.2">
      <c r="A290" s="183" t="s">
        <v>6908</v>
      </c>
      <c r="B290" s="42" t="s">
        <v>6909</v>
      </c>
    </row>
    <row r="291" spans="1:3" x14ac:dyDescent="0.2">
      <c r="B291" s="183" t="s">
        <v>5689</v>
      </c>
      <c r="C291" s="202" t="s">
        <v>6911</v>
      </c>
    </row>
    <row r="292" spans="1:3" x14ac:dyDescent="0.2">
      <c r="B292" s="183" t="s">
        <v>5690</v>
      </c>
      <c r="C292" s="123">
        <v>1323</v>
      </c>
    </row>
    <row r="293" spans="1:3" x14ac:dyDescent="0.2">
      <c r="B293" s="183" t="s">
        <v>5688</v>
      </c>
      <c r="C293" s="102" t="s">
        <v>6910</v>
      </c>
    </row>
    <row r="295" spans="1:3" x14ac:dyDescent="0.2">
      <c r="A295" s="109" t="s">
        <v>5773</v>
      </c>
      <c r="B295" s="42" t="s">
        <v>5792</v>
      </c>
    </row>
    <row r="296" spans="1:3" x14ac:dyDescent="0.2">
      <c r="B296" s="109" t="s">
        <v>5689</v>
      </c>
      <c r="C296" s="110" t="s">
        <v>5793</v>
      </c>
    </row>
    <row r="297" spans="1:3" x14ac:dyDescent="0.2">
      <c r="B297" s="109" t="s">
        <v>5690</v>
      </c>
      <c r="C297" s="122">
        <v>65618</v>
      </c>
    </row>
    <row r="298" spans="1:3" x14ac:dyDescent="0.2">
      <c r="B298" s="109" t="s">
        <v>5688</v>
      </c>
      <c r="C298" s="25" t="s">
        <v>5795</v>
      </c>
    </row>
    <row r="300" spans="1:3" x14ac:dyDescent="0.2">
      <c r="A300" s="109" t="s">
        <v>5775</v>
      </c>
      <c r="B300" s="42" t="s">
        <v>5515</v>
      </c>
    </row>
    <row r="301" spans="1:3" x14ac:dyDescent="0.2">
      <c r="B301" s="109" t="s">
        <v>5689</v>
      </c>
      <c r="C301" s="110" t="s">
        <v>5516</v>
      </c>
    </row>
    <row r="302" spans="1:3" x14ac:dyDescent="0.2">
      <c r="B302" s="109" t="s">
        <v>5690</v>
      </c>
      <c r="C302" s="124">
        <v>20836</v>
      </c>
    </row>
    <row r="303" spans="1:3" x14ac:dyDescent="0.2">
      <c r="B303" s="109" t="s">
        <v>5688</v>
      </c>
      <c r="C303" s="102" t="s">
        <v>5796</v>
      </c>
    </row>
    <row r="305" spans="1:3" x14ac:dyDescent="0.2">
      <c r="A305" s="109" t="s">
        <v>5774</v>
      </c>
      <c r="B305" s="42" t="s">
        <v>5794</v>
      </c>
    </row>
    <row r="306" spans="1:3" x14ac:dyDescent="0.2">
      <c r="B306" s="109" t="s">
        <v>5689</v>
      </c>
      <c r="C306" s="110" t="s">
        <v>5797</v>
      </c>
    </row>
    <row r="307" spans="1:3" x14ac:dyDescent="0.2">
      <c r="B307" s="109" t="s">
        <v>5690</v>
      </c>
      <c r="C307" s="120">
        <v>19905</v>
      </c>
    </row>
    <row r="308" spans="1:3" x14ac:dyDescent="0.2">
      <c r="B308" s="109" t="s">
        <v>5688</v>
      </c>
      <c r="C308" s="102" t="s">
        <v>5798</v>
      </c>
    </row>
    <row r="310" spans="1:3" x14ac:dyDescent="0.2">
      <c r="A310" s="183" t="s">
        <v>6867</v>
      </c>
      <c r="B310" s="42" t="s">
        <v>6870</v>
      </c>
    </row>
    <row r="311" spans="1:3" x14ac:dyDescent="0.2">
      <c r="B311" s="183" t="s">
        <v>5689</v>
      </c>
      <c r="C311" s="202" t="s">
        <v>6868</v>
      </c>
    </row>
    <row r="312" spans="1:3" x14ac:dyDescent="0.2">
      <c r="B312" s="183" t="s">
        <v>5690</v>
      </c>
      <c r="C312" s="123">
        <v>1875</v>
      </c>
    </row>
    <row r="313" spans="1:3" x14ac:dyDescent="0.2">
      <c r="B313" s="183" t="s">
        <v>5688</v>
      </c>
      <c r="C313" s="102" t="s">
        <v>6869</v>
      </c>
    </row>
    <row r="315" spans="1:3" x14ac:dyDescent="0.2">
      <c r="A315" s="109" t="s">
        <v>6147</v>
      </c>
      <c r="B315" s="42" t="s">
        <v>6191</v>
      </c>
    </row>
    <row r="316" spans="1:3" x14ac:dyDescent="0.2">
      <c r="B316" s="109" t="s">
        <v>5689</v>
      </c>
      <c r="C316" s="110" t="s">
        <v>6190</v>
      </c>
    </row>
    <row r="317" spans="1:3" x14ac:dyDescent="0.2">
      <c r="B317" s="109" t="s">
        <v>5690</v>
      </c>
      <c r="C317" s="123">
        <v>2736</v>
      </c>
    </row>
    <row r="318" spans="1:3" x14ac:dyDescent="0.2">
      <c r="B318" s="109" t="s">
        <v>5688</v>
      </c>
      <c r="C318" s="102" t="s">
        <v>6192</v>
      </c>
    </row>
    <row r="320" spans="1:3" x14ac:dyDescent="0.2">
      <c r="A320" s="109" t="s">
        <v>6193</v>
      </c>
      <c r="B320" s="42" t="s">
        <v>6150</v>
      </c>
    </row>
    <row r="321" spans="1:3" x14ac:dyDescent="0.2">
      <c r="B321" s="109" t="s">
        <v>5689</v>
      </c>
      <c r="C321" s="110" t="s">
        <v>6148</v>
      </c>
    </row>
    <row r="322" spans="1:3" x14ac:dyDescent="0.2">
      <c r="B322" s="109" t="s">
        <v>5690</v>
      </c>
      <c r="C322" s="123">
        <v>1161</v>
      </c>
    </row>
    <row r="323" spans="1:3" x14ac:dyDescent="0.2">
      <c r="B323" s="109" t="s">
        <v>5688</v>
      </c>
      <c r="C323" s="102" t="s">
        <v>6149</v>
      </c>
    </row>
    <row r="325" spans="1:3" x14ac:dyDescent="0.2">
      <c r="A325" s="109" t="s">
        <v>5799</v>
      </c>
      <c r="B325" s="42" t="s">
        <v>5800</v>
      </c>
    </row>
    <row r="326" spans="1:3" x14ac:dyDescent="0.2">
      <c r="B326" s="109" t="s">
        <v>5689</v>
      </c>
      <c r="C326" s="110" t="s">
        <v>5801</v>
      </c>
    </row>
    <row r="327" spans="1:3" x14ac:dyDescent="0.2">
      <c r="B327" s="109" t="s">
        <v>5690</v>
      </c>
      <c r="C327" s="122">
        <v>35378</v>
      </c>
    </row>
    <row r="328" spans="1:3" x14ac:dyDescent="0.2">
      <c r="B328" s="109" t="s">
        <v>5688</v>
      </c>
      <c r="C328" s="25" t="s">
        <v>5802</v>
      </c>
    </row>
    <row r="330" spans="1:3" x14ac:dyDescent="0.2">
      <c r="A330" s="183" t="s">
        <v>6895</v>
      </c>
      <c r="B330" s="42" t="s">
        <v>6896</v>
      </c>
    </row>
    <row r="331" spans="1:3" x14ac:dyDescent="0.2">
      <c r="B331" s="183" t="s">
        <v>5689</v>
      </c>
      <c r="C331" s="202" t="s">
        <v>6897</v>
      </c>
    </row>
    <row r="332" spans="1:3" x14ac:dyDescent="0.2">
      <c r="B332" s="183" t="s">
        <v>5690</v>
      </c>
      <c r="C332" s="117">
        <v>7185</v>
      </c>
    </row>
    <row r="333" spans="1:3" x14ac:dyDescent="0.2">
      <c r="B333" s="183" t="s">
        <v>5688</v>
      </c>
      <c r="C333" s="102" t="s">
        <v>6898</v>
      </c>
    </row>
    <row r="335" spans="1:3" x14ac:dyDescent="0.2">
      <c r="A335" s="109" t="s">
        <v>5803</v>
      </c>
      <c r="B335" s="42" t="s">
        <v>6168</v>
      </c>
    </row>
    <row r="336" spans="1:3" x14ac:dyDescent="0.2">
      <c r="B336" s="109" t="s">
        <v>5689</v>
      </c>
      <c r="C336" s="110" t="s">
        <v>6169</v>
      </c>
    </row>
    <row r="337" spans="1:3" x14ac:dyDescent="0.2">
      <c r="B337" s="109" t="s">
        <v>5690</v>
      </c>
      <c r="C337" s="122">
        <v>55215</v>
      </c>
    </row>
    <row r="338" spans="1:3" x14ac:dyDescent="0.2">
      <c r="B338" s="109" t="s">
        <v>5688</v>
      </c>
      <c r="C338" s="102" t="s">
        <v>6170</v>
      </c>
    </row>
    <row r="340" spans="1:3" x14ac:dyDescent="0.2">
      <c r="A340" s="109" t="s">
        <v>5903</v>
      </c>
      <c r="B340" s="42" t="s">
        <v>5518</v>
      </c>
    </row>
    <row r="341" spans="1:3" x14ac:dyDescent="0.2">
      <c r="B341" s="109" t="s">
        <v>5689</v>
      </c>
      <c r="C341" s="110" t="s">
        <v>5517</v>
      </c>
    </row>
    <row r="342" spans="1:3" x14ac:dyDescent="0.2">
      <c r="B342" s="109" t="s">
        <v>5690</v>
      </c>
      <c r="C342" s="124">
        <v>23440</v>
      </c>
    </row>
    <row r="343" spans="1:3" x14ac:dyDescent="0.2">
      <c r="B343" s="109" t="s">
        <v>5688</v>
      </c>
      <c r="C343" s="25" t="s">
        <v>5805</v>
      </c>
    </row>
    <row r="345" spans="1:3" x14ac:dyDescent="0.2">
      <c r="A345" s="109" t="s">
        <v>6171</v>
      </c>
      <c r="B345" s="42" t="s">
        <v>6308</v>
      </c>
    </row>
    <row r="346" spans="1:3" x14ac:dyDescent="0.2">
      <c r="B346" s="109" t="s">
        <v>5689</v>
      </c>
      <c r="C346" s="110" t="s">
        <v>6309</v>
      </c>
    </row>
    <row r="347" spans="1:3" x14ac:dyDescent="0.2">
      <c r="B347" s="109" t="s">
        <v>5690</v>
      </c>
      <c r="C347" s="123">
        <v>3366</v>
      </c>
    </row>
    <row r="348" spans="1:3" x14ac:dyDescent="0.2">
      <c r="B348" s="109" t="s">
        <v>5688</v>
      </c>
      <c r="C348" s="152" t="s">
        <v>6307</v>
      </c>
    </row>
    <row r="350" spans="1:3" x14ac:dyDescent="0.2">
      <c r="A350" s="109" t="s">
        <v>6205</v>
      </c>
      <c r="B350" s="42" t="s">
        <v>6203</v>
      </c>
    </row>
    <row r="351" spans="1:3" x14ac:dyDescent="0.2">
      <c r="B351" s="109" t="s">
        <v>5689</v>
      </c>
      <c r="C351" s="110" t="s">
        <v>6204</v>
      </c>
    </row>
    <row r="352" spans="1:3" x14ac:dyDescent="0.2">
      <c r="B352" s="109" t="s">
        <v>5690</v>
      </c>
      <c r="C352" s="123">
        <v>2819</v>
      </c>
    </row>
    <row r="353" spans="1:3" x14ac:dyDescent="0.2">
      <c r="B353" s="109" t="s">
        <v>5688</v>
      </c>
      <c r="C353" s="102" t="s">
        <v>6202</v>
      </c>
    </row>
    <row r="354" spans="1:3" x14ac:dyDescent="0.2">
      <c r="C354" s="102"/>
    </row>
    <row r="355" spans="1:3" x14ac:dyDescent="0.2">
      <c r="A355" s="183" t="s">
        <v>6310</v>
      </c>
      <c r="B355" s="42" t="s">
        <v>6973</v>
      </c>
      <c r="C355" s="102"/>
    </row>
    <row r="356" spans="1:3" x14ac:dyDescent="0.2">
      <c r="B356" s="183" t="s">
        <v>5689</v>
      </c>
      <c r="C356" s="183" t="s">
        <v>6974</v>
      </c>
    </row>
    <row r="357" spans="1:3" x14ac:dyDescent="0.2">
      <c r="B357" s="183" t="s">
        <v>5690</v>
      </c>
      <c r="C357" s="123">
        <v>1249</v>
      </c>
    </row>
    <row r="358" spans="1:3" x14ac:dyDescent="0.2">
      <c r="B358" s="183" t="s">
        <v>5688</v>
      </c>
      <c r="C358" s="102" t="s">
        <v>6969</v>
      </c>
    </row>
    <row r="359" spans="1:3" x14ac:dyDescent="0.2">
      <c r="C359" s="102"/>
    </row>
    <row r="360" spans="1:3" x14ac:dyDescent="0.2">
      <c r="A360" s="183" t="s">
        <v>6862</v>
      </c>
      <c r="B360" s="42" t="s">
        <v>5902</v>
      </c>
    </row>
    <row r="361" spans="1:3" x14ac:dyDescent="0.2">
      <c r="B361" s="109" t="s">
        <v>5689</v>
      </c>
      <c r="C361" s="110" t="s">
        <v>5517</v>
      </c>
    </row>
    <row r="362" spans="1:3" x14ac:dyDescent="0.2">
      <c r="B362" s="109" t="s">
        <v>5690</v>
      </c>
      <c r="C362" s="123">
        <v>55</v>
      </c>
    </row>
    <row r="363" spans="1:3" x14ac:dyDescent="0.2">
      <c r="B363" s="109" t="s">
        <v>5688</v>
      </c>
      <c r="C363" s="25" t="s">
        <v>5904</v>
      </c>
    </row>
    <row r="365" spans="1:3" x14ac:dyDescent="0.2">
      <c r="A365" s="183" t="s">
        <v>6972</v>
      </c>
      <c r="B365" s="42" t="s">
        <v>6865</v>
      </c>
    </row>
    <row r="366" spans="1:3" x14ac:dyDescent="0.2">
      <c r="B366" s="183" t="s">
        <v>5689</v>
      </c>
      <c r="C366" s="202" t="s">
        <v>6863</v>
      </c>
    </row>
    <row r="367" spans="1:3" x14ac:dyDescent="0.2">
      <c r="B367" s="183" t="s">
        <v>5690</v>
      </c>
      <c r="C367" s="206" t="s">
        <v>1</v>
      </c>
    </row>
    <row r="368" spans="1:3" ht="15" x14ac:dyDescent="0.25">
      <c r="B368" s="183" t="s">
        <v>5688</v>
      </c>
      <c r="C368" s="159" t="s">
        <v>6864</v>
      </c>
    </row>
    <row r="370" spans="1:3" x14ac:dyDescent="0.2">
      <c r="A370" s="109" t="s">
        <v>5806</v>
      </c>
      <c r="B370" s="42" t="s">
        <v>7107</v>
      </c>
    </row>
    <row r="371" spans="1:3" x14ac:dyDescent="0.2">
      <c r="B371" s="109" t="s">
        <v>5689</v>
      </c>
      <c r="C371" s="202" t="s">
        <v>7104</v>
      </c>
    </row>
    <row r="372" spans="1:3" x14ac:dyDescent="0.2">
      <c r="B372" s="109" t="s">
        <v>5690</v>
      </c>
      <c r="C372" s="122">
        <v>55931</v>
      </c>
    </row>
    <row r="373" spans="1:3" x14ac:dyDescent="0.2">
      <c r="B373" s="109" t="s">
        <v>5688</v>
      </c>
      <c r="C373" s="25" t="s">
        <v>5807</v>
      </c>
    </row>
    <row r="375" spans="1:3" x14ac:dyDescent="0.2">
      <c r="A375" s="109" t="s">
        <v>5808</v>
      </c>
      <c r="B375" s="42" t="s">
        <v>5512</v>
      </c>
    </row>
    <row r="376" spans="1:3" x14ac:dyDescent="0.2">
      <c r="B376" s="109" t="s">
        <v>5689</v>
      </c>
      <c r="C376" s="110" t="s">
        <v>5513</v>
      </c>
    </row>
    <row r="377" spans="1:3" x14ac:dyDescent="0.2">
      <c r="B377" s="109" t="s">
        <v>5690</v>
      </c>
      <c r="C377" s="124">
        <v>21401</v>
      </c>
    </row>
    <row r="378" spans="1:3" x14ac:dyDescent="0.2">
      <c r="B378" s="109" t="s">
        <v>5688</v>
      </c>
      <c r="C378" s="25" t="s">
        <v>5809</v>
      </c>
    </row>
    <row r="380" spans="1:3" x14ac:dyDescent="0.2">
      <c r="A380" s="109" t="s">
        <v>5812</v>
      </c>
      <c r="B380" s="42" t="s">
        <v>5810</v>
      </c>
    </row>
    <row r="381" spans="1:3" x14ac:dyDescent="0.2">
      <c r="B381" s="109" t="s">
        <v>5689</v>
      </c>
      <c r="C381" s="110" t="s">
        <v>5811</v>
      </c>
    </row>
    <row r="382" spans="1:3" x14ac:dyDescent="0.2">
      <c r="B382" s="109" t="s">
        <v>5690</v>
      </c>
      <c r="C382" s="124">
        <v>22158</v>
      </c>
    </row>
    <row r="383" spans="1:3" x14ac:dyDescent="0.2">
      <c r="B383" s="109" t="s">
        <v>5688</v>
      </c>
      <c r="C383" s="25" t="s">
        <v>5813</v>
      </c>
    </row>
    <row r="385" spans="1:3" x14ac:dyDescent="0.2">
      <c r="A385" s="109" t="s">
        <v>5814</v>
      </c>
      <c r="B385" s="42" t="s">
        <v>6303</v>
      </c>
    </row>
    <row r="386" spans="1:3" x14ac:dyDescent="0.2">
      <c r="B386" s="109" t="s">
        <v>5689</v>
      </c>
      <c r="C386" s="110" t="s">
        <v>6304</v>
      </c>
    </row>
    <row r="387" spans="1:3" x14ac:dyDescent="0.2">
      <c r="B387" s="109" t="s">
        <v>5690</v>
      </c>
      <c r="C387" s="123">
        <v>2712</v>
      </c>
    </row>
    <row r="388" spans="1:3" x14ac:dyDescent="0.2">
      <c r="B388" s="109" t="s">
        <v>5688</v>
      </c>
      <c r="C388" s="102" t="s">
        <v>6305</v>
      </c>
    </row>
    <row r="390" spans="1:3" x14ac:dyDescent="0.2">
      <c r="A390" s="109" t="s">
        <v>6210</v>
      </c>
      <c r="B390" s="42" t="s">
        <v>5484</v>
      </c>
    </row>
    <row r="391" spans="1:3" x14ac:dyDescent="0.2">
      <c r="B391" s="109" t="s">
        <v>5689</v>
      </c>
      <c r="C391" s="110" t="s">
        <v>5483</v>
      </c>
    </row>
    <row r="392" spans="1:3" x14ac:dyDescent="0.2">
      <c r="B392" s="109" t="s">
        <v>5690</v>
      </c>
      <c r="C392" s="123">
        <v>1164</v>
      </c>
    </row>
    <row r="393" spans="1:3" x14ac:dyDescent="0.2">
      <c r="B393" s="109" t="s">
        <v>5688</v>
      </c>
      <c r="C393" s="25" t="s">
        <v>5815</v>
      </c>
    </row>
    <row r="394" spans="1:3" x14ac:dyDescent="0.2">
      <c r="C394" s="110" t="s">
        <v>4231</v>
      </c>
    </row>
    <row r="395" spans="1:3" x14ac:dyDescent="0.2">
      <c r="C395" s="110" t="s">
        <v>4230</v>
      </c>
    </row>
    <row r="396" spans="1:3" x14ac:dyDescent="0.2">
      <c r="C396" s="110" t="s">
        <v>4229</v>
      </c>
    </row>
    <row r="397" spans="1:3" x14ac:dyDescent="0.2">
      <c r="C397" s="110" t="s">
        <v>4228</v>
      </c>
    </row>
    <row r="398" spans="1:3" x14ac:dyDescent="0.2">
      <c r="C398" s="110" t="s">
        <v>4227</v>
      </c>
    </row>
    <row r="399" spans="1:3" x14ac:dyDescent="0.2">
      <c r="C399" s="110" t="s">
        <v>4226</v>
      </c>
    </row>
    <row r="400" spans="1:3" x14ac:dyDescent="0.2">
      <c r="C400" s="110" t="s">
        <v>4225</v>
      </c>
    </row>
    <row r="401" spans="1:3" x14ac:dyDescent="0.2">
      <c r="C401" s="110" t="s">
        <v>4224</v>
      </c>
    </row>
    <row r="402" spans="1:3" x14ac:dyDescent="0.2">
      <c r="C402" s="110" t="s">
        <v>4223</v>
      </c>
    </row>
    <row r="404" spans="1:3" x14ac:dyDescent="0.2">
      <c r="A404" s="109" t="s">
        <v>6306</v>
      </c>
      <c r="B404" s="42" t="s">
        <v>6208</v>
      </c>
    </row>
    <row r="405" spans="1:3" x14ac:dyDescent="0.2">
      <c r="B405" s="109" t="s">
        <v>5689</v>
      </c>
      <c r="C405" s="110" t="s">
        <v>4142</v>
      </c>
    </row>
    <row r="406" spans="1:3" x14ac:dyDescent="0.2">
      <c r="B406" s="109" t="s">
        <v>5690</v>
      </c>
      <c r="C406" s="123">
        <v>780</v>
      </c>
    </row>
    <row r="407" spans="1:3" x14ac:dyDescent="0.2">
      <c r="B407" s="109" t="s">
        <v>5688</v>
      </c>
      <c r="C407" s="102" t="s">
        <v>6209</v>
      </c>
    </row>
    <row r="409" spans="1:3" x14ac:dyDescent="0.2">
      <c r="A409" s="183" t="s">
        <v>6160</v>
      </c>
      <c r="B409" s="42" t="s">
        <v>6957</v>
      </c>
    </row>
    <row r="410" spans="1:3" x14ac:dyDescent="0.2">
      <c r="B410" s="183" t="s">
        <v>5689</v>
      </c>
      <c r="C410" s="202" t="s">
        <v>6955</v>
      </c>
    </row>
    <row r="411" spans="1:3" x14ac:dyDescent="0.2">
      <c r="B411" s="183" t="s">
        <v>5690</v>
      </c>
      <c r="C411" s="123">
        <v>1188</v>
      </c>
    </row>
    <row r="412" spans="1:3" x14ac:dyDescent="0.2">
      <c r="B412" s="183" t="s">
        <v>5688</v>
      </c>
      <c r="C412" s="102" t="s">
        <v>6956</v>
      </c>
    </row>
    <row r="414" spans="1:3" x14ac:dyDescent="0.2">
      <c r="A414" s="183" t="s">
        <v>6214</v>
      </c>
      <c r="B414" s="42" t="s">
        <v>6211</v>
      </c>
      <c r="C414" s="102"/>
    </row>
    <row r="415" spans="1:3" x14ac:dyDescent="0.2">
      <c r="B415" s="109" t="s">
        <v>5689</v>
      </c>
      <c r="C415" s="109" t="s">
        <v>6213</v>
      </c>
    </row>
    <row r="416" spans="1:3" x14ac:dyDescent="0.2">
      <c r="B416" s="109" t="s">
        <v>5690</v>
      </c>
      <c r="C416" s="123">
        <v>554</v>
      </c>
    </row>
    <row r="417" spans="1:3" x14ac:dyDescent="0.2">
      <c r="B417" s="109" t="s">
        <v>5688</v>
      </c>
      <c r="C417" s="102" t="s">
        <v>6212</v>
      </c>
    </row>
    <row r="419" spans="1:3" x14ac:dyDescent="0.2">
      <c r="A419" s="183" t="s">
        <v>6954</v>
      </c>
      <c r="B419" s="42" t="s">
        <v>6161</v>
      </c>
    </row>
    <row r="420" spans="1:3" x14ac:dyDescent="0.2">
      <c r="B420" s="109" t="s">
        <v>5689</v>
      </c>
      <c r="C420" s="110" t="s">
        <v>6162</v>
      </c>
    </row>
    <row r="421" spans="1:3" x14ac:dyDescent="0.2">
      <c r="B421" s="109" t="s">
        <v>5690</v>
      </c>
      <c r="C421" s="123">
        <v>383</v>
      </c>
    </row>
    <row r="422" spans="1:3" x14ac:dyDescent="0.2">
      <c r="B422" s="109" t="s">
        <v>5688</v>
      </c>
      <c r="C422" s="102" t="s">
        <v>6163</v>
      </c>
    </row>
    <row r="423" spans="1:3" x14ac:dyDescent="0.2">
      <c r="C423" s="102"/>
    </row>
    <row r="424" spans="1:3" x14ac:dyDescent="0.2">
      <c r="A424" s="109" t="s">
        <v>5816</v>
      </c>
      <c r="B424" s="42" t="s">
        <v>6126</v>
      </c>
    </row>
    <row r="425" spans="1:3" x14ac:dyDescent="0.2">
      <c r="B425" s="109" t="s">
        <v>5689</v>
      </c>
      <c r="C425" s="110" t="s">
        <v>6127</v>
      </c>
    </row>
    <row r="426" spans="1:3" x14ac:dyDescent="0.2">
      <c r="B426" s="109" t="s">
        <v>5690</v>
      </c>
      <c r="C426" s="137">
        <v>119294</v>
      </c>
    </row>
    <row r="427" spans="1:3" x14ac:dyDescent="0.2">
      <c r="B427" s="109" t="s">
        <v>5688</v>
      </c>
      <c r="C427" s="102" t="s">
        <v>5665</v>
      </c>
    </row>
    <row r="428" spans="1:3" x14ac:dyDescent="0.2">
      <c r="B428" s="109" t="s">
        <v>5688</v>
      </c>
      <c r="C428" s="102" t="s">
        <v>6151</v>
      </c>
    </row>
    <row r="429" spans="1:3" x14ac:dyDescent="0.2">
      <c r="B429" s="109" t="s">
        <v>5688</v>
      </c>
      <c r="C429" s="102" t="s">
        <v>6152</v>
      </c>
    </row>
    <row r="430" spans="1:3" x14ac:dyDescent="0.2">
      <c r="C430" s="102"/>
    </row>
    <row r="431" spans="1:3" x14ac:dyDescent="0.2">
      <c r="A431" s="109" t="s">
        <v>5817</v>
      </c>
      <c r="B431" s="42" t="s">
        <v>6201</v>
      </c>
      <c r="C431" s="102"/>
    </row>
    <row r="432" spans="1:3" x14ac:dyDescent="0.2">
      <c r="B432" s="109" t="s">
        <v>5689</v>
      </c>
      <c r="C432" s="109" t="s">
        <v>6200</v>
      </c>
    </row>
    <row r="433" spans="1:3" x14ac:dyDescent="0.2">
      <c r="B433" s="109" t="s">
        <v>5690</v>
      </c>
      <c r="C433" s="120">
        <v>10383</v>
      </c>
    </row>
    <row r="434" spans="1:3" x14ac:dyDescent="0.2">
      <c r="B434" s="109" t="s">
        <v>5688</v>
      </c>
      <c r="C434" s="102" t="s">
        <v>6199</v>
      </c>
    </row>
    <row r="435" spans="1:3" x14ac:dyDescent="0.2">
      <c r="C435" s="102"/>
    </row>
    <row r="436" spans="1:3" x14ac:dyDescent="0.2">
      <c r="A436" s="109" t="s">
        <v>5884</v>
      </c>
      <c r="B436" s="42" t="s">
        <v>5818</v>
      </c>
    </row>
    <row r="437" spans="1:3" x14ac:dyDescent="0.2">
      <c r="B437" s="109" t="s">
        <v>5689</v>
      </c>
      <c r="C437" s="110" t="s">
        <v>5514</v>
      </c>
    </row>
    <row r="438" spans="1:3" x14ac:dyDescent="0.2">
      <c r="B438" s="109" t="s">
        <v>5690</v>
      </c>
      <c r="C438" s="120">
        <v>10224</v>
      </c>
    </row>
    <row r="439" spans="1:3" x14ac:dyDescent="0.2">
      <c r="B439" s="109" t="s">
        <v>5688</v>
      </c>
      <c r="C439" s="25" t="s">
        <v>5819</v>
      </c>
    </row>
    <row r="441" spans="1:3" x14ac:dyDescent="0.2">
      <c r="A441" s="109" t="s">
        <v>6164</v>
      </c>
      <c r="B441" s="42" t="s">
        <v>6165</v>
      </c>
    </row>
    <row r="442" spans="1:3" x14ac:dyDescent="0.2">
      <c r="B442" s="109" t="s">
        <v>5689</v>
      </c>
      <c r="C442" s="110" t="s">
        <v>6167</v>
      </c>
    </row>
    <row r="443" spans="1:3" x14ac:dyDescent="0.2">
      <c r="B443" s="109" t="s">
        <v>5690</v>
      </c>
      <c r="C443" s="117">
        <v>6961</v>
      </c>
    </row>
    <row r="444" spans="1:3" x14ac:dyDescent="0.2">
      <c r="B444" s="109" t="s">
        <v>5688</v>
      </c>
      <c r="C444" s="102" t="s">
        <v>6166</v>
      </c>
    </row>
    <row r="446" spans="1:3" x14ac:dyDescent="0.2">
      <c r="A446" s="109" t="s">
        <v>6198</v>
      </c>
      <c r="B446" s="42" t="s">
        <v>5885</v>
      </c>
    </row>
    <row r="447" spans="1:3" x14ac:dyDescent="0.2">
      <c r="B447" s="109" t="s">
        <v>5689</v>
      </c>
      <c r="C447" s="110" t="s">
        <v>5886</v>
      </c>
    </row>
    <row r="448" spans="1:3" x14ac:dyDescent="0.2">
      <c r="B448" s="109" t="s">
        <v>5690</v>
      </c>
      <c r="C448" s="123">
        <v>592</v>
      </c>
    </row>
    <row r="449" spans="1:3" x14ac:dyDescent="0.2">
      <c r="B449" s="109" t="s">
        <v>5688</v>
      </c>
      <c r="C449" s="102" t="s">
        <v>5887</v>
      </c>
    </row>
    <row r="451" spans="1:3" x14ac:dyDescent="0.2">
      <c r="A451" s="109" t="s">
        <v>5820</v>
      </c>
      <c r="B451" s="42" t="s">
        <v>5610</v>
      </c>
    </row>
    <row r="452" spans="1:3" x14ac:dyDescent="0.2">
      <c r="B452" s="109" t="s">
        <v>5689</v>
      </c>
      <c r="C452" s="110" t="s">
        <v>5611</v>
      </c>
    </row>
    <row r="453" spans="1:3" x14ac:dyDescent="0.2">
      <c r="B453" s="109" t="s">
        <v>5690</v>
      </c>
      <c r="C453" s="122">
        <v>39916</v>
      </c>
    </row>
    <row r="454" spans="1:3" x14ac:dyDescent="0.2">
      <c r="B454" s="109" t="s">
        <v>5688</v>
      </c>
      <c r="C454" s="25" t="s">
        <v>5821</v>
      </c>
    </row>
    <row r="456" spans="1:3" x14ac:dyDescent="0.2">
      <c r="A456" s="109" t="s">
        <v>5822</v>
      </c>
      <c r="B456" s="42" t="s">
        <v>5823</v>
      </c>
    </row>
    <row r="457" spans="1:3" x14ac:dyDescent="0.2">
      <c r="B457" s="109" t="s">
        <v>5689</v>
      </c>
      <c r="C457" s="110" t="s">
        <v>5824</v>
      </c>
    </row>
    <row r="458" spans="1:3" x14ac:dyDescent="0.2">
      <c r="B458" s="109" t="s">
        <v>5690</v>
      </c>
      <c r="C458" s="122">
        <v>36613</v>
      </c>
    </row>
    <row r="459" spans="1:3" x14ac:dyDescent="0.2">
      <c r="B459" s="109" t="s">
        <v>5688</v>
      </c>
      <c r="C459" s="25" t="s">
        <v>5825</v>
      </c>
    </row>
    <row r="461" spans="1:3" x14ac:dyDescent="0.2">
      <c r="A461" s="109" t="s">
        <v>5826</v>
      </c>
      <c r="B461" s="42" t="s">
        <v>5495</v>
      </c>
    </row>
    <row r="462" spans="1:3" x14ac:dyDescent="0.2">
      <c r="B462" s="109" t="s">
        <v>5689</v>
      </c>
      <c r="C462" s="110" t="s">
        <v>5496</v>
      </c>
    </row>
    <row r="463" spans="1:3" x14ac:dyDescent="0.2">
      <c r="B463" s="109" t="s">
        <v>5690</v>
      </c>
      <c r="C463" s="120">
        <v>13688</v>
      </c>
    </row>
    <row r="464" spans="1:3" x14ac:dyDescent="0.2">
      <c r="B464" s="109" t="s">
        <v>5688</v>
      </c>
      <c r="C464" s="25" t="s">
        <v>5827</v>
      </c>
    </row>
    <row r="466" spans="1:3" x14ac:dyDescent="0.2">
      <c r="A466" s="109" t="s">
        <v>5828</v>
      </c>
      <c r="B466" s="42" t="s">
        <v>5839</v>
      </c>
    </row>
    <row r="467" spans="1:3" x14ac:dyDescent="0.2">
      <c r="B467" s="109" t="s">
        <v>5689</v>
      </c>
      <c r="C467" s="110" t="s">
        <v>5475</v>
      </c>
    </row>
    <row r="468" spans="1:3" x14ac:dyDescent="0.2">
      <c r="B468" s="109" t="s">
        <v>5690</v>
      </c>
      <c r="C468" s="120">
        <v>12509</v>
      </c>
    </row>
    <row r="469" spans="1:3" x14ac:dyDescent="0.2">
      <c r="B469" s="109" t="s">
        <v>5688</v>
      </c>
      <c r="C469" s="25" t="s">
        <v>5851</v>
      </c>
    </row>
    <row r="471" spans="1:3" x14ac:dyDescent="0.2">
      <c r="A471" s="109" t="s">
        <v>5829</v>
      </c>
      <c r="B471" s="42" t="s">
        <v>5852</v>
      </c>
    </row>
    <row r="472" spans="1:3" x14ac:dyDescent="0.2">
      <c r="B472" s="109" t="s">
        <v>5689</v>
      </c>
      <c r="C472" s="110" t="s">
        <v>5854</v>
      </c>
    </row>
    <row r="473" spans="1:3" x14ac:dyDescent="0.2">
      <c r="B473" s="109" t="s">
        <v>5690</v>
      </c>
      <c r="C473" s="120">
        <v>10378</v>
      </c>
    </row>
    <row r="474" spans="1:3" x14ac:dyDescent="0.2">
      <c r="B474" s="109" t="s">
        <v>5688</v>
      </c>
      <c r="C474" s="25" t="s">
        <v>5853</v>
      </c>
    </row>
    <row r="476" spans="1:3" x14ac:dyDescent="0.2">
      <c r="A476" s="183" t="s">
        <v>6883</v>
      </c>
      <c r="B476" s="42" t="s">
        <v>6884</v>
      </c>
    </row>
    <row r="477" spans="1:3" x14ac:dyDescent="0.2">
      <c r="B477" s="183" t="s">
        <v>5689</v>
      </c>
      <c r="C477" s="202" t="s">
        <v>6885</v>
      </c>
    </row>
    <row r="478" spans="1:3" x14ac:dyDescent="0.2">
      <c r="B478" s="183" t="s">
        <v>5690</v>
      </c>
      <c r="C478" s="123">
        <v>1142</v>
      </c>
    </row>
    <row r="479" spans="1:3" x14ac:dyDescent="0.2">
      <c r="B479" s="183" t="s">
        <v>5688</v>
      </c>
      <c r="C479" s="102" t="s">
        <v>6886</v>
      </c>
    </row>
    <row r="481" spans="1:3" x14ac:dyDescent="0.2">
      <c r="A481" s="109" t="s">
        <v>5830</v>
      </c>
      <c r="B481" s="42" t="s">
        <v>5855</v>
      </c>
    </row>
    <row r="482" spans="1:3" x14ac:dyDescent="0.2">
      <c r="B482" s="109" t="s">
        <v>5689</v>
      </c>
      <c r="C482" s="110" t="s">
        <v>5857</v>
      </c>
    </row>
    <row r="483" spans="1:3" x14ac:dyDescent="0.2">
      <c r="B483" s="109" t="s">
        <v>5690</v>
      </c>
      <c r="C483" s="122">
        <v>58870</v>
      </c>
    </row>
    <row r="484" spans="1:3" x14ac:dyDescent="0.2">
      <c r="B484" s="109" t="s">
        <v>5688</v>
      </c>
      <c r="C484" s="25" t="s">
        <v>5856</v>
      </c>
    </row>
    <row r="486" spans="1:3" x14ac:dyDescent="0.2">
      <c r="A486" s="109" t="s">
        <v>5831</v>
      </c>
      <c r="B486" s="42" t="s">
        <v>5859</v>
      </c>
    </row>
    <row r="487" spans="1:3" x14ac:dyDescent="0.2">
      <c r="B487" s="109" t="s">
        <v>5689</v>
      </c>
      <c r="C487" s="110" t="s">
        <v>5858</v>
      </c>
    </row>
    <row r="488" spans="1:3" x14ac:dyDescent="0.2">
      <c r="B488" s="109" t="s">
        <v>5690</v>
      </c>
      <c r="C488" s="122">
        <v>44997</v>
      </c>
    </row>
    <row r="489" spans="1:3" x14ac:dyDescent="0.2">
      <c r="B489" s="109" t="s">
        <v>5688</v>
      </c>
      <c r="C489" s="25" t="s">
        <v>5860</v>
      </c>
    </row>
    <row r="491" spans="1:3" x14ac:dyDescent="0.2">
      <c r="A491" s="109" t="s">
        <v>5832</v>
      </c>
      <c r="B491" s="42" t="s">
        <v>5862</v>
      </c>
    </row>
    <row r="492" spans="1:3" x14ac:dyDescent="0.2">
      <c r="B492" s="109" t="s">
        <v>5689</v>
      </c>
      <c r="C492" s="110" t="s">
        <v>5861</v>
      </c>
    </row>
    <row r="493" spans="1:3" x14ac:dyDescent="0.2">
      <c r="B493" s="109" t="s">
        <v>5690</v>
      </c>
      <c r="C493" s="122">
        <v>37576</v>
      </c>
    </row>
    <row r="494" spans="1:3" x14ac:dyDescent="0.2">
      <c r="B494" s="109" t="s">
        <v>5688</v>
      </c>
      <c r="C494" s="25" t="s">
        <v>5863</v>
      </c>
    </row>
    <row r="496" spans="1:3" x14ac:dyDescent="0.2">
      <c r="A496" s="183" t="s">
        <v>6982</v>
      </c>
      <c r="B496" s="42" t="s">
        <v>6980</v>
      </c>
    </row>
    <row r="497" spans="1:3" x14ac:dyDescent="0.2">
      <c r="B497" s="183" t="s">
        <v>5689</v>
      </c>
      <c r="C497" s="202" t="s">
        <v>6981</v>
      </c>
    </row>
    <row r="498" spans="1:3" x14ac:dyDescent="0.2">
      <c r="B498" s="183" t="s">
        <v>5690</v>
      </c>
      <c r="C498" s="122">
        <v>36262</v>
      </c>
    </row>
    <row r="499" spans="1:3" x14ac:dyDescent="0.2">
      <c r="B499" s="183" t="s">
        <v>5688</v>
      </c>
      <c r="C499" s="102" t="s">
        <v>6983</v>
      </c>
    </row>
    <row r="501" spans="1:3" x14ac:dyDescent="0.2">
      <c r="A501" s="109" t="s">
        <v>5833</v>
      </c>
      <c r="B501" s="42" t="s">
        <v>5864</v>
      </c>
    </row>
    <row r="502" spans="1:3" x14ac:dyDescent="0.2">
      <c r="B502" s="109" t="s">
        <v>5689</v>
      </c>
      <c r="C502" s="110" t="s">
        <v>5865</v>
      </c>
    </row>
    <row r="503" spans="1:3" x14ac:dyDescent="0.2">
      <c r="B503" s="109" t="s">
        <v>5690</v>
      </c>
      <c r="C503" s="122">
        <v>30303</v>
      </c>
    </row>
    <row r="504" spans="1:3" x14ac:dyDescent="0.2">
      <c r="B504" s="109" t="s">
        <v>5688</v>
      </c>
      <c r="C504" s="25" t="s">
        <v>5866</v>
      </c>
    </row>
    <row r="506" spans="1:3" x14ac:dyDescent="0.2">
      <c r="A506" s="109" t="s">
        <v>5834</v>
      </c>
      <c r="B506" s="42" t="s">
        <v>5867</v>
      </c>
    </row>
    <row r="507" spans="1:3" x14ac:dyDescent="0.2">
      <c r="B507" s="109" t="s">
        <v>5689</v>
      </c>
      <c r="C507" s="110" t="s">
        <v>5868</v>
      </c>
    </row>
    <row r="508" spans="1:3" x14ac:dyDescent="0.2">
      <c r="B508" s="109" t="s">
        <v>5690</v>
      </c>
      <c r="C508" s="124">
        <v>25278</v>
      </c>
    </row>
    <row r="509" spans="1:3" x14ac:dyDescent="0.2">
      <c r="B509" s="109" t="s">
        <v>5688</v>
      </c>
      <c r="C509" s="25" t="s">
        <v>5869</v>
      </c>
    </row>
    <row r="511" spans="1:3" x14ac:dyDescent="0.2">
      <c r="A511" s="183" t="s">
        <v>5835</v>
      </c>
      <c r="B511" s="42" t="s">
        <v>6949</v>
      </c>
    </row>
    <row r="512" spans="1:3" x14ac:dyDescent="0.2">
      <c r="B512" s="183" t="s">
        <v>5689</v>
      </c>
      <c r="C512" s="202" t="s">
        <v>6950</v>
      </c>
    </row>
    <row r="513" spans="1:3" x14ac:dyDescent="0.2">
      <c r="B513" s="183" t="s">
        <v>5690</v>
      </c>
      <c r="C513" s="120">
        <v>11388</v>
      </c>
    </row>
    <row r="514" spans="1:3" ht="15" x14ac:dyDescent="0.25">
      <c r="B514" s="183" t="s">
        <v>5688</v>
      </c>
      <c r="C514" s="159" t="s">
        <v>6951</v>
      </c>
    </row>
    <row r="516" spans="1:3" x14ac:dyDescent="0.2">
      <c r="A516" s="109" t="s">
        <v>5835</v>
      </c>
      <c r="B516" s="42" t="s">
        <v>5872</v>
      </c>
    </row>
    <row r="517" spans="1:3" x14ac:dyDescent="0.2">
      <c r="B517" s="109" t="s">
        <v>5689</v>
      </c>
      <c r="C517" s="110" t="s">
        <v>5871</v>
      </c>
    </row>
    <row r="518" spans="1:3" x14ac:dyDescent="0.2">
      <c r="B518" s="109" t="s">
        <v>5690</v>
      </c>
      <c r="C518" s="117">
        <v>6423</v>
      </c>
    </row>
    <row r="519" spans="1:3" x14ac:dyDescent="0.2">
      <c r="B519" s="109" t="s">
        <v>5688</v>
      </c>
      <c r="C519" s="25" t="s">
        <v>5873</v>
      </c>
    </row>
    <row r="521" spans="1:3" x14ac:dyDescent="0.2">
      <c r="A521" s="109" t="s">
        <v>5891</v>
      </c>
      <c r="B521" s="42" t="s">
        <v>5892</v>
      </c>
    </row>
    <row r="522" spans="1:3" x14ac:dyDescent="0.2">
      <c r="B522" s="109" t="s">
        <v>5689</v>
      </c>
      <c r="C522" s="110" t="s">
        <v>5894</v>
      </c>
    </row>
    <row r="523" spans="1:3" x14ac:dyDescent="0.2">
      <c r="B523" s="109" t="s">
        <v>5690</v>
      </c>
      <c r="C523" s="117">
        <v>1202</v>
      </c>
    </row>
    <row r="524" spans="1:3" x14ac:dyDescent="0.2">
      <c r="B524" s="109" t="s">
        <v>5688</v>
      </c>
      <c r="C524" s="102" t="s">
        <v>5893</v>
      </c>
    </row>
    <row r="526" spans="1:3" x14ac:dyDescent="0.2">
      <c r="A526" s="109" t="s">
        <v>5836</v>
      </c>
      <c r="B526" s="42" t="s">
        <v>6194</v>
      </c>
    </row>
    <row r="527" spans="1:3" x14ac:dyDescent="0.2">
      <c r="B527" s="109" t="s">
        <v>5689</v>
      </c>
      <c r="C527" s="110" t="s">
        <v>6196</v>
      </c>
    </row>
    <row r="528" spans="1:3" x14ac:dyDescent="0.2">
      <c r="B528" s="109" t="s">
        <v>5690</v>
      </c>
      <c r="C528" s="137">
        <v>176062</v>
      </c>
    </row>
    <row r="529" spans="1:4" x14ac:dyDescent="0.2">
      <c r="B529" s="109" t="s">
        <v>5688</v>
      </c>
      <c r="C529" s="102" t="s">
        <v>6195</v>
      </c>
    </row>
    <row r="531" spans="1:4" x14ac:dyDescent="0.2">
      <c r="A531" s="109" t="s">
        <v>5837</v>
      </c>
      <c r="B531" s="42" t="s">
        <v>5870</v>
      </c>
    </row>
    <row r="532" spans="1:4" x14ac:dyDescent="0.2">
      <c r="B532" s="109" t="s">
        <v>5689</v>
      </c>
      <c r="C532" s="110" t="s">
        <v>5485</v>
      </c>
    </row>
    <row r="533" spans="1:4" x14ac:dyDescent="0.2">
      <c r="B533" s="109" t="s">
        <v>5690</v>
      </c>
      <c r="C533" s="122">
        <v>64876</v>
      </c>
    </row>
    <row r="534" spans="1:4" x14ac:dyDescent="0.2">
      <c r="B534" s="109" t="s">
        <v>5688</v>
      </c>
      <c r="C534" s="25" t="s">
        <v>5680</v>
      </c>
    </row>
    <row r="535" spans="1:4" x14ac:dyDescent="0.2">
      <c r="B535" s="109" t="s">
        <v>4209</v>
      </c>
      <c r="C535" s="110" t="s">
        <v>6062</v>
      </c>
    </row>
    <row r="536" spans="1:4" x14ac:dyDescent="0.2">
      <c r="C536" s="110" t="s">
        <v>4197</v>
      </c>
    </row>
    <row r="537" spans="1:4" x14ac:dyDescent="0.2">
      <c r="C537" s="110" t="s">
        <v>6063</v>
      </c>
    </row>
    <row r="538" spans="1:4" x14ac:dyDescent="0.2">
      <c r="C538" s="110" t="s">
        <v>4196</v>
      </c>
    </row>
    <row r="539" spans="1:4" x14ac:dyDescent="0.2">
      <c r="C539" s="110" t="s">
        <v>4195</v>
      </c>
    </row>
    <row r="540" spans="1:4" x14ac:dyDescent="0.2">
      <c r="D540" s="109" t="s">
        <v>5681</v>
      </c>
    </row>
    <row r="541" spans="1:4" x14ac:dyDescent="0.2">
      <c r="C541" s="110" t="s">
        <v>4194</v>
      </c>
    </row>
    <row r="542" spans="1:4" x14ac:dyDescent="0.2">
      <c r="C542" s="110" t="s">
        <v>4193</v>
      </c>
    </row>
    <row r="543" spans="1:4" x14ac:dyDescent="0.2">
      <c r="C543" s="110" t="s">
        <v>4192</v>
      </c>
    </row>
    <row r="544" spans="1:4" x14ac:dyDescent="0.2">
      <c r="C544" s="110" t="s">
        <v>4191</v>
      </c>
    </row>
    <row r="545" spans="1:4" x14ac:dyDescent="0.2">
      <c r="C545" s="110" t="s">
        <v>4190</v>
      </c>
    </row>
    <row r="546" spans="1:4" x14ac:dyDescent="0.2">
      <c r="C546" s="110" t="s">
        <v>4189</v>
      </c>
    </row>
    <row r="547" spans="1:4" x14ac:dyDescent="0.2">
      <c r="C547" s="110" t="s">
        <v>4188</v>
      </c>
    </row>
    <row r="548" spans="1:4" x14ac:dyDescent="0.2">
      <c r="C548" s="110" t="s">
        <v>4187</v>
      </c>
    </row>
    <row r="549" spans="1:4" x14ac:dyDescent="0.2">
      <c r="C549" s="110" t="s">
        <v>4186</v>
      </c>
    </row>
    <row r="550" spans="1:4" x14ac:dyDescent="0.2">
      <c r="C550" s="110" t="s">
        <v>4185</v>
      </c>
    </row>
    <row r="551" spans="1:4" x14ac:dyDescent="0.2">
      <c r="C551" s="110" t="s">
        <v>4184</v>
      </c>
    </row>
    <row r="552" spans="1:4" x14ac:dyDescent="0.2">
      <c r="D552" s="109" t="s">
        <v>4183</v>
      </c>
    </row>
    <row r="553" spans="1:4" x14ac:dyDescent="0.2">
      <c r="C553" s="110" t="s">
        <v>4182</v>
      </c>
    </row>
    <row r="554" spans="1:4" x14ac:dyDescent="0.2">
      <c r="C554" s="110" t="s">
        <v>4181</v>
      </c>
    </row>
    <row r="555" spans="1:4" x14ac:dyDescent="0.2">
      <c r="C555" s="110" t="s">
        <v>4180</v>
      </c>
    </row>
    <row r="556" spans="1:4" x14ac:dyDescent="0.2">
      <c r="C556" s="110" t="s">
        <v>4179</v>
      </c>
    </row>
    <row r="557" spans="1:4" x14ac:dyDescent="0.2">
      <c r="C557" s="110" t="s">
        <v>4178</v>
      </c>
    </row>
    <row r="559" spans="1:4" x14ac:dyDescent="0.2">
      <c r="A559" s="109" t="s">
        <v>5838</v>
      </c>
      <c r="B559" s="42" t="s">
        <v>5905</v>
      </c>
    </row>
    <row r="560" spans="1:4" x14ac:dyDescent="0.2">
      <c r="B560" s="109" t="s">
        <v>5689</v>
      </c>
      <c r="C560" s="110" t="s">
        <v>5906</v>
      </c>
    </row>
    <row r="561" spans="1:7" x14ac:dyDescent="0.2">
      <c r="B561" s="109" t="s">
        <v>5690</v>
      </c>
      <c r="C561" s="125">
        <v>30303</v>
      </c>
    </row>
    <row r="562" spans="1:7" x14ac:dyDescent="0.2">
      <c r="B562" s="109" t="s">
        <v>5907</v>
      </c>
      <c r="C562" s="102" t="s">
        <v>5908</v>
      </c>
    </row>
    <row r="563" spans="1:7" x14ac:dyDescent="0.2">
      <c r="B563" s="109" t="s">
        <v>5909</v>
      </c>
      <c r="C563" s="102" t="s">
        <v>5866</v>
      </c>
    </row>
    <row r="564" spans="1:7" x14ac:dyDescent="0.2">
      <c r="C564" s="102"/>
    </row>
    <row r="565" spans="1:7" x14ac:dyDescent="0.2">
      <c r="A565" s="109" t="s">
        <v>5888</v>
      </c>
      <c r="B565" s="42" t="s">
        <v>5874</v>
      </c>
    </row>
    <row r="566" spans="1:7" x14ac:dyDescent="0.2">
      <c r="B566" s="109" t="s">
        <v>5689</v>
      </c>
      <c r="C566" s="110" t="s">
        <v>5875</v>
      </c>
    </row>
    <row r="567" spans="1:7" x14ac:dyDescent="0.2">
      <c r="B567" s="109" t="s">
        <v>5690</v>
      </c>
      <c r="C567" s="120">
        <v>19618</v>
      </c>
    </row>
    <row r="568" spans="1:7" x14ac:dyDescent="0.2">
      <c r="B568" s="109" t="s">
        <v>5688</v>
      </c>
      <c r="C568" s="25" t="s">
        <v>5876</v>
      </c>
    </row>
    <row r="570" spans="1:7" x14ac:dyDescent="0.2">
      <c r="A570" s="109" t="s">
        <v>5895</v>
      </c>
      <c r="B570" s="42" t="s">
        <v>5877</v>
      </c>
    </row>
    <row r="571" spans="1:7" x14ac:dyDescent="0.2">
      <c r="B571" s="109" t="s">
        <v>5689</v>
      </c>
      <c r="C571" s="110" t="s">
        <v>5878</v>
      </c>
    </row>
    <row r="572" spans="1:7" x14ac:dyDescent="0.2">
      <c r="B572" s="109" t="s">
        <v>5690</v>
      </c>
      <c r="C572" s="120">
        <v>15123</v>
      </c>
    </row>
    <row r="573" spans="1:7" x14ac:dyDescent="0.2">
      <c r="B573" s="109" t="s">
        <v>5688</v>
      </c>
      <c r="C573" s="25" t="s">
        <v>5879</v>
      </c>
    </row>
    <row r="575" spans="1:7" x14ac:dyDescent="0.2">
      <c r="A575" s="183" t="s">
        <v>5901</v>
      </c>
      <c r="B575" s="42" t="s">
        <v>6871</v>
      </c>
    </row>
    <row r="576" spans="1:7" x14ac:dyDescent="0.2">
      <c r="A576" s="183"/>
      <c r="B576" s="183" t="s">
        <v>5689</v>
      </c>
      <c r="C576" s="202" t="s">
        <v>6872</v>
      </c>
      <c r="D576" s="183"/>
      <c r="E576" s="183"/>
      <c r="F576" s="183"/>
      <c r="G576" s="183"/>
    </row>
    <row r="577" spans="1:7" x14ac:dyDescent="0.2">
      <c r="A577" s="183"/>
      <c r="B577" s="183" t="s">
        <v>5690</v>
      </c>
      <c r="C577" s="206">
        <v>3864</v>
      </c>
      <c r="D577" s="183"/>
      <c r="E577" s="183"/>
      <c r="F577" s="183"/>
      <c r="G577" s="183"/>
    </row>
    <row r="578" spans="1:7" x14ac:dyDescent="0.2">
      <c r="B578" s="183" t="s">
        <v>5688</v>
      </c>
      <c r="C578" s="152" t="s">
        <v>6873</v>
      </c>
      <c r="D578" s="183"/>
      <c r="E578" s="183"/>
      <c r="F578" s="183"/>
      <c r="G578" s="183"/>
    </row>
    <row r="580" spans="1:7" x14ac:dyDescent="0.2">
      <c r="A580" s="183" t="s">
        <v>5910</v>
      </c>
      <c r="B580" s="42" t="s">
        <v>6945</v>
      </c>
    </row>
    <row r="581" spans="1:7" x14ac:dyDescent="0.2">
      <c r="B581" s="183" t="s">
        <v>5689</v>
      </c>
      <c r="C581" s="202" t="s">
        <v>6946</v>
      </c>
    </row>
    <row r="582" spans="1:7" x14ac:dyDescent="0.2">
      <c r="B582" s="183" t="s">
        <v>5690</v>
      </c>
      <c r="C582" s="206">
        <v>2903</v>
      </c>
    </row>
    <row r="583" spans="1:7" x14ac:dyDescent="0.2">
      <c r="B583" s="183" t="s">
        <v>5688</v>
      </c>
      <c r="C583" s="102" t="s">
        <v>6947</v>
      </c>
    </row>
    <row r="585" spans="1:7" x14ac:dyDescent="0.2">
      <c r="A585" s="183" t="s">
        <v>6197</v>
      </c>
      <c r="B585" s="42" t="s">
        <v>6903</v>
      </c>
    </row>
    <row r="586" spans="1:7" x14ac:dyDescent="0.2">
      <c r="B586" s="183" t="s">
        <v>5689</v>
      </c>
      <c r="C586" s="202" t="s">
        <v>6904</v>
      </c>
    </row>
    <row r="587" spans="1:7" x14ac:dyDescent="0.2">
      <c r="B587" s="183" t="s">
        <v>5690</v>
      </c>
      <c r="C587" s="206">
        <v>1436</v>
      </c>
    </row>
    <row r="588" spans="1:7" x14ac:dyDescent="0.2">
      <c r="B588" s="183" t="s">
        <v>5688</v>
      </c>
      <c r="C588" s="102" t="s">
        <v>6905</v>
      </c>
    </row>
    <row r="590" spans="1:7" x14ac:dyDescent="0.2">
      <c r="A590" s="183" t="s">
        <v>6874</v>
      </c>
      <c r="B590" s="42" t="s">
        <v>7701</v>
      </c>
    </row>
    <row r="591" spans="1:7" x14ac:dyDescent="0.2">
      <c r="B591" s="109" t="s">
        <v>5689</v>
      </c>
      <c r="C591" s="110" t="s">
        <v>5890</v>
      </c>
    </row>
    <row r="592" spans="1:7" x14ac:dyDescent="0.2">
      <c r="B592" s="109" t="s">
        <v>5690</v>
      </c>
      <c r="C592" s="123">
        <v>66</v>
      </c>
    </row>
    <row r="593" spans="1:13" x14ac:dyDescent="0.2">
      <c r="B593" s="109" t="s">
        <v>5688</v>
      </c>
      <c r="C593" s="25" t="s">
        <v>5889</v>
      </c>
    </row>
    <row r="594" spans="1:13" x14ac:dyDescent="0.2">
      <c r="C594" s="25"/>
    </row>
    <row r="595" spans="1:13" x14ac:dyDescent="0.2">
      <c r="A595" s="183" t="s">
        <v>6906</v>
      </c>
      <c r="B595" s="42" t="s">
        <v>5896</v>
      </c>
      <c r="C595" s="25"/>
    </row>
    <row r="596" spans="1:13" x14ac:dyDescent="0.2">
      <c r="B596" s="109" t="s">
        <v>5689</v>
      </c>
      <c r="C596" s="110" t="s">
        <v>5898</v>
      </c>
    </row>
    <row r="597" spans="1:13" x14ac:dyDescent="0.2">
      <c r="B597" s="109" t="s">
        <v>5690</v>
      </c>
      <c r="C597" s="123">
        <v>14</v>
      </c>
    </row>
    <row r="598" spans="1:13" x14ac:dyDescent="0.2">
      <c r="B598" s="109" t="s">
        <v>5688</v>
      </c>
      <c r="C598" s="25" t="s">
        <v>5897</v>
      </c>
    </row>
    <row r="599" spans="1:13" x14ac:dyDescent="0.2">
      <c r="C599" s="25"/>
    </row>
    <row r="600" spans="1:13" x14ac:dyDescent="0.2">
      <c r="A600" s="183" t="s">
        <v>6948</v>
      </c>
      <c r="B600" s="42" t="s">
        <v>6045</v>
      </c>
      <c r="C600" s="25"/>
      <c r="M600" s="241"/>
    </row>
    <row r="601" spans="1:13" x14ac:dyDescent="0.2">
      <c r="B601" s="109" t="s">
        <v>5689</v>
      </c>
      <c r="C601" s="110" t="s">
        <v>5900</v>
      </c>
    </row>
    <row r="602" spans="1:13" x14ac:dyDescent="0.2">
      <c r="B602" s="109" t="s">
        <v>5690</v>
      </c>
      <c r="C602" s="123">
        <v>5</v>
      </c>
    </row>
    <row r="603" spans="1:13" x14ac:dyDescent="0.2">
      <c r="B603" s="109" t="s">
        <v>5688</v>
      </c>
      <c r="C603" s="25" t="s">
        <v>5899</v>
      </c>
    </row>
    <row r="604" spans="1:13" x14ac:dyDescent="0.2">
      <c r="C604" s="25"/>
    </row>
    <row r="605" spans="1:13" x14ac:dyDescent="0.2">
      <c r="B605" s="42" t="s">
        <v>6043</v>
      </c>
    </row>
    <row r="606" spans="1:13" x14ac:dyDescent="0.2">
      <c r="B606" s="109" t="s">
        <v>5689</v>
      </c>
      <c r="C606" s="110" t="s">
        <v>6044</v>
      </c>
    </row>
    <row r="607" spans="1:13" x14ac:dyDescent="0.2">
      <c r="B607" s="109" t="s">
        <v>5690</v>
      </c>
    </row>
    <row r="608" spans="1:13" x14ac:dyDescent="0.2">
      <c r="B608" s="109" t="s">
        <v>5688</v>
      </c>
    </row>
    <row r="609" spans="1:6" x14ac:dyDescent="0.2">
      <c r="F609" s="110"/>
    </row>
    <row r="610" spans="1:6" x14ac:dyDescent="0.2">
      <c r="B610" s="42" t="s">
        <v>6065</v>
      </c>
      <c r="F610" s="110"/>
    </row>
    <row r="611" spans="1:6" x14ac:dyDescent="0.2">
      <c r="B611" s="109" t="s">
        <v>5689</v>
      </c>
      <c r="C611" s="110" t="s">
        <v>6064</v>
      </c>
      <c r="F611" s="110"/>
    </row>
    <row r="612" spans="1:6" x14ac:dyDescent="0.2">
      <c r="B612" s="109" t="s">
        <v>5690</v>
      </c>
      <c r="F612" s="110"/>
    </row>
    <row r="613" spans="1:6" x14ac:dyDescent="0.2">
      <c r="B613" s="109" t="s">
        <v>5688</v>
      </c>
      <c r="F613" s="110"/>
    </row>
    <row r="615" spans="1:6" x14ac:dyDescent="0.2">
      <c r="A615" s="109" t="s">
        <v>5684</v>
      </c>
      <c r="B615" s="42" t="s">
        <v>5691</v>
      </c>
    </row>
    <row r="616" spans="1:6" x14ac:dyDescent="0.2">
      <c r="B616" s="109" t="s">
        <v>5689</v>
      </c>
      <c r="C616" s="110" t="s">
        <v>5488</v>
      </c>
    </row>
    <row r="617" spans="1:6" x14ac:dyDescent="0.2">
      <c r="B617" s="109" t="s">
        <v>5690</v>
      </c>
      <c r="C617" s="125">
        <v>53562</v>
      </c>
    </row>
    <row r="618" spans="1:6" x14ac:dyDescent="0.2">
      <c r="B618" s="109" t="s">
        <v>5688</v>
      </c>
      <c r="C618" s="102" t="s">
        <v>5664</v>
      </c>
    </row>
    <row r="619" spans="1:6" x14ac:dyDescent="0.2">
      <c r="B619" s="109" t="s">
        <v>5688</v>
      </c>
      <c r="C619" s="102" t="s">
        <v>5946</v>
      </c>
    </row>
    <row r="620" spans="1:6" x14ac:dyDescent="0.2">
      <c r="B620" s="109" t="s">
        <v>4209</v>
      </c>
      <c r="C620" s="202" t="s">
        <v>6952</v>
      </c>
    </row>
    <row r="621" spans="1:6" x14ac:dyDescent="0.2">
      <c r="B621" s="25"/>
    </row>
    <row r="622" spans="1:6" x14ac:dyDescent="0.2">
      <c r="A622" s="109" t="s">
        <v>5685</v>
      </c>
      <c r="B622" s="42" t="s">
        <v>5621</v>
      </c>
    </row>
    <row r="623" spans="1:6" x14ac:dyDescent="0.2">
      <c r="B623" s="109" t="s">
        <v>5689</v>
      </c>
      <c r="C623" s="110" t="s">
        <v>5622</v>
      </c>
    </row>
    <row r="624" spans="1:6" x14ac:dyDescent="0.2">
      <c r="B624" s="109" t="s">
        <v>5690</v>
      </c>
      <c r="C624" s="124">
        <v>26946</v>
      </c>
    </row>
    <row r="625" spans="1:3" x14ac:dyDescent="0.2">
      <c r="B625" s="109" t="s">
        <v>5688</v>
      </c>
      <c r="C625" s="25" t="s">
        <v>5678</v>
      </c>
    </row>
    <row r="627" spans="1:3" x14ac:dyDescent="0.2">
      <c r="A627" s="109" t="s">
        <v>5686</v>
      </c>
      <c r="B627" s="42" t="s">
        <v>5476</v>
      </c>
    </row>
    <row r="628" spans="1:3" x14ac:dyDescent="0.2">
      <c r="B628" s="109" t="s">
        <v>5689</v>
      </c>
      <c r="C628" s="110" t="s">
        <v>5477</v>
      </c>
    </row>
    <row r="629" spans="1:3" x14ac:dyDescent="0.2">
      <c r="B629" s="109" t="s">
        <v>5690</v>
      </c>
      <c r="C629" s="126">
        <v>16402</v>
      </c>
    </row>
    <row r="630" spans="1:3" x14ac:dyDescent="0.2">
      <c r="B630" s="109" t="s">
        <v>5688</v>
      </c>
      <c r="C630" s="109"/>
    </row>
    <row r="632" spans="1:3" x14ac:dyDescent="0.2">
      <c r="A632" s="109" t="s">
        <v>5687</v>
      </c>
      <c r="B632" s="42" t="s">
        <v>6922</v>
      </c>
    </row>
    <row r="633" spans="1:3" x14ac:dyDescent="0.2">
      <c r="B633" s="183" t="s">
        <v>5689</v>
      </c>
      <c r="C633" s="202" t="s">
        <v>6923</v>
      </c>
    </row>
    <row r="634" spans="1:3" x14ac:dyDescent="0.2">
      <c r="B634" s="183" t="s">
        <v>5690</v>
      </c>
      <c r="C634" s="117">
        <v>8476</v>
      </c>
    </row>
    <row r="635" spans="1:3" x14ac:dyDescent="0.2">
      <c r="B635" s="109" t="s">
        <v>5688</v>
      </c>
      <c r="C635" s="25" t="s">
        <v>5679</v>
      </c>
    </row>
    <row r="636" spans="1:3" x14ac:dyDescent="0.2">
      <c r="B636" s="25"/>
    </row>
    <row r="637" spans="1:3" x14ac:dyDescent="0.2">
      <c r="A637" s="109" t="s">
        <v>5883</v>
      </c>
      <c r="B637" s="42" t="s">
        <v>6919</v>
      </c>
    </row>
    <row r="638" spans="1:3" x14ac:dyDescent="0.2">
      <c r="B638" s="183" t="s">
        <v>5689</v>
      </c>
      <c r="C638" s="202" t="s">
        <v>6920</v>
      </c>
    </row>
    <row r="639" spans="1:3" x14ac:dyDescent="0.2">
      <c r="B639" s="183" t="s">
        <v>5690</v>
      </c>
      <c r="C639" s="117">
        <v>7940</v>
      </c>
    </row>
    <row r="640" spans="1:3" x14ac:dyDescent="0.2">
      <c r="B640" s="183" t="s">
        <v>5688</v>
      </c>
      <c r="C640" s="102" t="s">
        <v>6921</v>
      </c>
    </row>
    <row r="642" spans="1:3" x14ac:dyDescent="0.2">
      <c r="A642" s="257" t="s">
        <v>7574</v>
      </c>
      <c r="B642" s="42" t="s">
        <v>7575</v>
      </c>
    </row>
    <row r="643" spans="1:3" x14ac:dyDescent="0.2">
      <c r="B643" s="257" t="s">
        <v>5689</v>
      </c>
      <c r="C643" s="258" t="s">
        <v>7576</v>
      </c>
    </row>
    <row r="644" spans="1:3" x14ac:dyDescent="0.2">
      <c r="B644" s="257" t="s">
        <v>5690</v>
      </c>
      <c r="C644" s="117">
        <v>5849</v>
      </c>
    </row>
    <row r="645" spans="1:3" x14ac:dyDescent="0.2">
      <c r="B645" s="257" t="s">
        <v>5688</v>
      </c>
      <c r="C645" s="102" t="s">
        <v>7577</v>
      </c>
    </row>
    <row r="647" spans="1:3" x14ac:dyDescent="0.2">
      <c r="A647" s="183" t="s">
        <v>6924</v>
      </c>
      <c r="B647" s="42" t="s">
        <v>6916</v>
      </c>
    </row>
    <row r="648" spans="1:3" x14ac:dyDescent="0.2">
      <c r="B648" s="183" t="s">
        <v>5689</v>
      </c>
      <c r="C648" s="202" t="s">
        <v>6917</v>
      </c>
    </row>
    <row r="649" spans="1:3" x14ac:dyDescent="0.2">
      <c r="B649" s="183" t="s">
        <v>5690</v>
      </c>
      <c r="C649" s="117">
        <v>3290</v>
      </c>
    </row>
    <row r="650" spans="1:3" ht="15" x14ac:dyDescent="0.25">
      <c r="B650" s="183" t="s">
        <v>5688</v>
      </c>
      <c r="C650" s="159" t="s">
        <v>6918</v>
      </c>
    </row>
    <row r="652" spans="1:3" x14ac:dyDescent="0.2">
      <c r="A652" s="183" t="s">
        <v>6925</v>
      </c>
      <c r="B652" s="42" t="s">
        <v>6975</v>
      </c>
    </row>
    <row r="653" spans="1:3" x14ac:dyDescent="0.2">
      <c r="B653" s="183" t="s">
        <v>5689</v>
      </c>
      <c r="C653" s="202" t="s">
        <v>6978</v>
      </c>
    </row>
    <row r="654" spans="1:3" x14ac:dyDescent="0.2">
      <c r="B654" s="183" t="s">
        <v>5690</v>
      </c>
      <c r="C654" s="117">
        <v>1505</v>
      </c>
    </row>
    <row r="655" spans="1:3" x14ac:dyDescent="0.2">
      <c r="B655" s="183" t="s">
        <v>5688</v>
      </c>
      <c r="C655" s="102" t="s">
        <v>6977</v>
      </c>
    </row>
    <row r="657" spans="1:6" x14ac:dyDescent="0.2">
      <c r="A657" s="183" t="s">
        <v>6928</v>
      </c>
      <c r="B657" s="42" t="s">
        <v>6976</v>
      </c>
    </row>
    <row r="658" spans="1:6" x14ac:dyDescent="0.2">
      <c r="B658" s="183" t="s">
        <v>5689</v>
      </c>
      <c r="C658" s="202" t="s">
        <v>6926</v>
      </c>
    </row>
    <row r="659" spans="1:6" x14ac:dyDescent="0.2">
      <c r="B659" s="183" t="s">
        <v>5690</v>
      </c>
      <c r="C659" s="117">
        <v>639</v>
      </c>
    </row>
    <row r="660" spans="1:6" x14ac:dyDescent="0.2">
      <c r="B660" s="183" t="s">
        <v>5688</v>
      </c>
      <c r="C660" s="102" t="s">
        <v>6927</v>
      </c>
    </row>
    <row r="662" spans="1:6" x14ac:dyDescent="0.2">
      <c r="A662" s="183" t="s">
        <v>6968</v>
      </c>
      <c r="B662" s="42" t="s">
        <v>6970</v>
      </c>
      <c r="C662" s="202"/>
      <c r="D662" s="183"/>
      <c r="E662" s="183"/>
      <c r="F662" s="183"/>
    </row>
    <row r="663" spans="1:6" x14ac:dyDescent="0.2">
      <c r="A663" s="183"/>
      <c r="B663" s="183" t="s">
        <v>5689</v>
      </c>
      <c r="C663" s="202" t="s">
        <v>6971</v>
      </c>
      <c r="D663" s="183"/>
      <c r="E663" s="183"/>
      <c r="F663" s="183"/>
    </row>
    <row r="664" spans="1:6" x14ac:dyDescent="0.2">
      <c r="A664" s="183"/>
      <c r="B664" s="183" t="s">
        <v>5690</v>
      </c>
      <c r="C664" s="205">
        <v>599</v>
      </c>
      <c r="D664" s="183"/>
      <c r="E664" s="183"/>
      <c r="F664" s="183"/>
    </row>
    <row r="665" spans="1:6" x14ac:dyDescent="0.2">
      <c r="A665" s="183"/>
      <c r="B665" s="183" t="s">
        <v>5688</v>
      </c>
      <c r="C665" s="102" t="s">
        <v>6969</v>
      </c>
      <c r="D665" s="183"/>
      <c r="E665" s="183"/>
      <c r="F665" s="183"/>
    </row>
    <row r="667" spans="1:6" x14ac:dyDescent="0.2">
      <c r="A667" s="183" t="s">
        <v>6979</v>
      </c>
      <c r="B667" s="42" t="s">
        <v>6465</v>
      </c>
    </row>
    <row r="668" spans="1:6" x14ac:dyDescent="0.2">
      <c r="B668" s="167" t="s">
        <v>5689</v>
      </c>
      <c r="C668" s="168" t="s">
        <v>6464</v>
      </c>
    </row>
    <row r="669" spans="1:6" x14ac:dyDescent="0.2">
      <c r="B669" s="167" t="s">
        <v>5690</v>
      </c>
      <c r="C669" s="117">
        <v>469</v>
      </c>
    </row>
    <row r="670" spans="1:6" ht="15" x14ac:dyDescent="0.25">
      <c r="B670" s="167" t="s">
        <v>5688</v>
      </c>
      <c r="C670" s="159" t="s">
        <v>6463</v>
      </c>
    </row>
    <row r="672" spans="1:6" x14ac:dyDescent="0.2">
      <c r="A672" s="109" t="s">
        <v>5683</v>
      </c>
      <c r="B672" s="42" t="s">
        <v>6189</v>
      </c>
    </row>
    <row r="673" spans="1:9" x14ac:dyDescent="0.2">
      <c r="B673" s="109" t="s">
        <v>5689</v>
      </c>
      <c r="C673" s="110" t="s">
        <v>6188</v>
      </c>
    </row>
    <row r="674" spans="1:9" x14ac:dyDescent="0.2">
      <c r="B674" s="109" t="s">
        <v>5690</v>
      </c>
      <c r="C674" s="122">
        <v>83673</v>
      </c>
    </row>
    <row r="675" spans="1:9" x14ac:dyDescent="0.2">
      <c r="B675" s="109" t="s">
        <v>5688</v>
      </c>
      <c r="C675" s="25" t="s">
        <v>5666</v>
      </c>
    </row>
    <row r="677" spans="1:9" x14ac:dyDescent="0.2">
      <c r="A677" s="109" t="s">
        <v>6068</v>
      </c>
      <c r="B677" s="42" t="s">
        <v>6157</v>
      </c>
    </row>
    <row r="678" spans="1:9" x14ac:dyDescent="0.2">
      <c r="B678" s="109" t="s">
        <v>5689</v>
      </c>
      <c r="C678" s="110" t="s">
        <v>6156</v>
      </c>
    </row>
    <row r="679" spans="1:9" x14ac:dyDescent="0.2">
      <c r="B679" s="109" t="s">
        <v>5690</v>
      </c>
      <c r="C679" s="124">
        <v>22849</v>
      </c>
    </row>
    <row r="680" spans="1:9" x14ac:dyDescent="0.2">
      <c r="B680" s="109" t="s">
        <v>5688</v>
      </c>
      <c r="C680" s="25" t="s">
        <v>5665</v>
      </c>
    </row>
    <row r="681" spans="1:9" x14ac:dyDescent="0.2">
      <c r="B681" s="109" t="s">
        <v>5688</v>
      </c>
      <c r="C681" s="102" t="s">
        <v>6159</v>
      </c>
    </row>
    <row r="682" spans="1:9" x14ac:dyDescent="0.2">
      <c r="B682" s="109" t="s">
        <v>6158</v>
      </c>
      <c r="C682" s="110" t="s">
        <v>4210</v>
      </c>
    </row>
    <row r="683" spans="1:9" x14ac:dyDescent="0.2">
      <c r="B683" s="109" t="s">
        <v>4209</v>
      </c>
      <c r="C683" s="202" t="s">
        <v>6953</v>
      </c>
    </row>
    <row r="684" spans="1:9" x14ac:dyDescent="0.2">
      <c r="B684" s="109" t="s">
        <v>6185</v>
      </c>
      <c r="C684" s="138">
        <v>45144</v>
      </c>
    </row>
    <row r="685" spans="1:9" x14ac:dyDescent="0.2">
      <c r="A685" s="183"/>
      <c r="B685" s="183"/>
      <c r="C685" s="202" t="s">
        <v>4208</v>
      </c>
      <c r="D685" s="183"/>
      <c r="E685" s="183"/>
      <c r="F685" s="183"/>
      <c r="G685" s="183"/>
      <c r="H685" s="183"/>
      <c r="I685" s="183"/>
    </row>
    <row r="686" spans="1:9" x14ac:dyDescent="0.2">
      <c r="A686" s="183"/>
      <c r="B686" s="183"/>
      <c r="C686" s="202" t="s">
        <v>4207</v>
      </c>
      <c r="D686" s="183"/>
      <c r="E686" s="183"/>
      <c r="F686" s="183"/>
      <c r="G686" s="183"/>
      <c r="H686" s="183"/>
      <c r="I686" s="183"/>
    </row>
    <row r="687" spans="1:9" x14ac:dyDescent="0.2">
      <c r="A687" s="183"/>
      <c r="B687" s="183"/>
      <c r="C687" s="202" t="s">
        <v>4206</v>
      </c>
      <c r="D687" s="183"/>
      <c r="E687" s="183"/>
      <c r="F687" s="183"/>
      <c r="G687" s="183"/>
      <c r="H687" s="183"/>
      <c r="I687" s="183"/>
    </row>
    <row r="688" spans="1:9" x14ac:dyDescent="0.2">
      <c r="A688" s="183"/>
      <c r="B688" s="183"/>
      <c r="C688" s="202" t="s">
        <v>4205</v>
      </c>
      <c r="D688" s="183"/>
      <c r="E688" s="183"/>
      <c r="F688" s="183"/>
      <c r="G688" s="183"/>
      <c r="H688" s="183"/>
      <c r="I688" s="183"/>
    </row>
    <row r="689" spans="1:9" x14ac:dyDescent="0.2">
      <c r="A689" s="183"/>
      <c r="B689" s="183"/>
      <c r="C689" s="202" t="s">
        <v>4204</v>
      </c>
      <c r="D689" s="183"/>
      <c r="E689" s="183"/>
      <c r="F689" s="183"/>
      <c r="G689" s="183"/>
      <c r="H689" s="183"/>
      <c r="I689" s="183"/>
    </row>
    <row r="690" spans="1:9" x14ac:dyDescent="0.2">
      <c r="A690" s="183"/>
      <c r="B690" s="183"/>
      <c r="C690" s="202" t="s">
        <v>4203</v>
      </c>
      <c r="D690" s="183"/>
      <c r="E690" s="183"/>
      <c r="F690" s="183"/>
      <c r="G690" s="183"/>
      <c r="H690" s="183"/>
      <c r="I690" s="183"/>
    </row>
    <row r="691" spans="1:9" x14ac:dyDescent="0.2">
      <c r="A691" s="183"/>
      <c r="B691" s="183"/>
      <c r="C691" s="202" t="s">
        <v>4202</v>
      </c>
      <c r="D691" s="183"/>
      <c r="E691" s="183"/>
      <c r="F691" s="183"/>
      <c r="G691" s="183"/>
      <c r="H691" s="183"/>
      <c r="I691" s="183"/>
    </row>
    <row r="692" spans="1:9" x14ac:dyDescent="0.2">
      <c r="A692" s="183"/>
      <c r="B692" s="183"/>
      <c r="C692" s="202" t="s">
        <v>4201</v>
      </c>
      <c r="D692" s="183"/>
      <c r="E692" s="183"/>
      <c r="F692" s="183"/>
      <c r="G692" s="183"/>
      <c r="H692" s="183"/>
      <c r="I692" s="183"/>
    </row>
    <row r="693" spans="1:9" x14ac:dyDescent="0.2">
      <c r="A693" s="183"/>
      <c r="B693" s="183"/>
      <c r="C693" s="202" t="s">
        <v>4200</v>
      </c>
      <c r="D693" s="183"/>
      <c r="E693" s="183"/>
      <c r="F693" s="183"/>
      <c r="G693" s="183"/>
      <c r="H693" s="183"/>
      <c r="I693" s="183"/>
    </row>
    <row r="694" spans="1:9" x14ac:dyDescent="0.2">
      <c r="A694" s="183"/>
      <c r="B694" s="183"/>
      <c r="C694" s="202" t="s">
        <v>4199</v>
      </c>
      <c r="D694" s="183"/>
      <c r="E694" s="183"/>
      <c r="F694" s="183"/>
      <c r="G694" s="183"/>
      <c r="H694" s="183"/>
      <c r="I694" s="183"/>
    </row>
    <row r="695" spans="1:9" x14ac:dyDescent="0.2">
      <c r="A695" s="183"/>
      <c r="B695" s="183"/>
      <c r="C695" s="202" t="s">
        <v>4198</v>
      </c>
      <c r="D695" s="183"/>
      <c r="E695" s="183"/>
      <c r="F695" s="183"/>
      <c r="G695" s="183"/>
      <c r="H695" s="183"/>
      <c r="I695" s="183"/>
    </row>
    <row r="696" spans="1:9" x14ac:dyDescent="0.2">
      <c r="A696" s="183"/>
      <c r="B696" s="183"/>
      <c r="C696" s="202"/>
      <c r="D696" s="183"/>
      <c r="E696" s="183"/>
      <c r="F696" s="183"/>
      <c r="G696" s="183"/>
      <c r="H696" s="183"/>
      <c r="I696" s="183"/>
    </row>
    <row r="697" spans="1:9" x14ac:dyDescent="0.2">
      <c r="A697" s="183" t="s">
        <v>6845</v>
      </c>
      <c r="B697" s="42" t="s">
        <v>6066</v>
      </c>
      <c r="C697" s="202"/>
      <c r="D697" s="202"/>
      <c r="E697" s="183"/>
      <c r="F697" s="183"/>
      <c r="G697" s="183"/>
      <c r="H697" s="183"/>
      <c r="I697" s="183"/>
    </row>
    <row r="698" spans="1:9" x14ac:dyDescent="0.2">
      <c r="A698" s="183"/>
      <c r="B698" s="183" t="s">
        <v>5689</v>
      </c>
      <c r="C698" s="202" t="s">
        <v>6067</v>
      </c>
      <c r="D698" s="202"/>
      <c r="E698" s="183"/>
      <c r="F698" s="183"/>
      <c r="G698" s="183"/>
      <c r="H698" s="183"/>
      <c r="I698" s="183"/>
    </row>
    <row r="699" spans="1:9" x14ac:dyDescent="0.2">
      <c r="A699" s="183"/>
      <c r="B699" s="183" t="s">
        <v>5690</v>
      </c>
      <c r="C699" s="206">
        <v>9412</v>
      </c>
      <c r="D699" s="202"/>
      <c r="E699" s="183"/>
      <c r="F699" s="183"/>
      <c r="G699" s="183"/>
      <c r="H699" s="183"/>
      <c r="I699" s="183"/>
    </row>
    <row r="700" spans="1:9" x14ac:dyDescent="0.2">
      <c r="A700" s="183"/>
      <c r="B700" s="183" t="s">
        <v>5688</v>
      </c>
      <c r="C700" s="102" t="s">
        <v>6842</v>
      </c>
      <c r="D700" s="202"/>
      <c r="E700" s="183"/>
      <c r="F700" s="183"/>
      <c r="G700" s="183"/>
      <c r="H700" s="183"/>
      <c r="I700" s="183"/>
    </row>
    <row r="701" spans="1:9" x14ac:dyDescent="0.2">
      <c r="A701" s="183"/>
      <c r="B701" s="183"/>
      <c r="C701" s="202"/>
      <c r="D701" s="202"/>
      <c r="E701" s="183"/>
      <c r="F701" s="183"/>
      <c r="G701" s="183"/>
      <c r="H701" s="183"/>
      <c r="I701" s="183"/>
    </row>
    <row r="702" spans="1:9" x14ac:dyDescent="0.2">
      <c r="A702" s="183" t="s">
        <v>6846</v>
      </c>
      <c r="B702" s="42" t="s">
        <v>6899</v>
      </c>
      <c r="C702" s="202"/>
      <c r="D702" s="202"/>
      <c r="E702" s="183"/>
      <c r="F702" s="183"/>
      <c r="G702" s="183"/>
      <c r="H702" s="183"/>
      <c r="I702" s="183"/>
    </row>
    <row r="703" spans="1:9" x14ac:dyDescent="0.2">
      <c r="A703" s="183"/>
      <c r="B703" s="183" t="s">
        <v>5689</v>
      </c>
      <c r="C703" s="202" t="s">
        <v>6900</v>
      </c>
      <c r="D703" s="202"/>
      <c r="E703" s="183"/>
      <c r="F703" s="183"/>
      <c r="G703" s="183"/>
      <c r="H703" s="183"/>
      <c r="I703" s="183"/>
    </row>
    <row r="704" spans="1:9" x14ac:dyDescent="0.2">
      <c r="A704" s="183"/>
      <c r="B704" s="183" t="s">
        <v>5690</v>
      </c>
      <c r="C704" s="206">
        <v>2251</v>
      </c>
      <c r="D704" s="202"/>
      <c r="E704" s="183"/>
      <c r="F704" s="183"/>
      <c r="G704" s="183"/>
      <c r="H704" s="183"/>
      <c r="I704" s="183"/>
    </row>
    <row r="705" spans="1:9" x14ac:dyDescent="0.2">
      <c r="A705" s="183"/>
      <c r="B705" s="183" t="s">
        <v>5688</v>
      </c>
      <c r="C705" s="102" t="s">
        <v>6901</v>
      </c>
      <c r="D705" s="202"/>
      <c r="E705" s="183"/>
      <c r="F705" s="183"/>
      <c r="G705" s="183"/>
      <c r="H705" s="183"/>
      <c r="I705" s="183"/>
    </row>
    <row r="706" spans="1:9" x14ac:dyDescent="0.2">
      <c r="A706" s="183"/>
      <c r="B706" s="183"/>
      <c r="C706" s="202"/>
      <c r="D706" s="202"/>
      <c r="E706" s="183"/>
      <c r="F706" s="183"/>
      <c r="G706" s="183"/>
      <c r="H706" s="183"/>
      <c r="I706" s="183"/>
    </row>
    <row r="707" spans="1:9" x14ac:dyDescent="0.2">
      <c r="A707" s="183" t="s">
        <v>6847</v>
      </c>
      <c r="B707" s="42" t="s">
        <v>6879</v>
      </c>
    </row>
    <row r="708" spans="1:9" x14ac:dyDescent="0.2">
      <c r="B708" s="183" t="s">
        <v>5689</v>
      </c>
      <c r="C708" s="202" t="s">
        <v>6880</v>
      </c>
    </row>
    <row r="709" spans="1:9" x14ac:dyDescent="0.2">
      <c r="B709" s="183" t="s">
        <v>5690</v>
      </c>
      <c r="C709" s="206">
        <v>1503</v>
      </c>
    </row>
    <row r="710" spans="1:9" x14ac:dyDescent="0.2">
      <c r="B710" s="183" t="s">
        <v>5688</v>
      </c>
      <c r="C710" s="102" t="s">
        <v>6881</v>
      </c>
    </row>
    <row r="712" spans="1:9" x14ac:dyDescent="0.2">
      <c r="A712" s="183" t="s">
        <v>6848</v>
      </c>
      <c r="B712" s="42" t="s">
        <v>6941</v>
      </c>
    </row>
    <row r="713" spans="1:9" x14ac:dyDescent="0.2">
      <c r="B713" s="183" t="s">
        <v>5689</v>
      </c>
      <c r="C713" s="202" t="s">
        <v>6942</v>
      </c>
    </row>
    <row r="714" spans="1:9" x14ac:dyDescent="0.2">
      <c r="B714" s="183" t="s">
        <v>5690</v>
      </c>
      <c r="C714" s="206">
        <v>1369</v>
      </c>
    </row>
    <row r="715" spans="1:9" x14ac:dyDescent="0.2">
      <c r="B715" s="183" t="s">
        <v>5688</v>
      </c>
      <c r="C715" s="102" t="s">
        <v>6943</v>
      </c>
    </row>
    <row r="717" spans="1:9" x14ac:dyDescent="0.2">
      <c r="A717" s="183" t="s">
        <v>6882</v>
      </c>
      <c r="B717" s="42" t="s">
        <v>5598</v>
      </c>
      <c r="C717" s="202"/>
      <c r="D717" s="183"/>
      <c r="E717" s="183"/>
      <c r="F717" s="183"/>
      <c r="G717" s="183"/>
      <c r="H717" s="183"/>
      <c r="I717" s="183"/>
    </row>
    <row r="718" spans="1:9" x14ac:dyDescent="0.2">
      <c r="A718" s="183"/>
      <c r="B718" s="183" t="s">
        <v>5689</v>
      </c>
      <c r="C718" s="202" t="s">
        <v>5599</v>
      </c>
      <c r="D718" s="183"/>
      <c r="E718" s="183"/>
      <c r="F718" s="183"/>
      <c r="G718" s="183"/>
      <c r="H718" s="183"/>
      <c r="I718" s="183"/>
    </row>
    <row r="719" spans="1:9" x14ac:dyDescent="0.2">
      <c r="A719" s="183"/>
      <c r="B719" s="183" t="s">
        <v>5690</v>
      </c>
      <c r="C719" s="206">
        <v>1345</v>
      </c>
      <c r="D719" s="183"/>
      <c r="E719" s="183"/>
      <c r="F719" s="183"/>
      <c r="G719" s="183"/>
      <c r="H719" s="183"/>
      <c r="I719" s="183"/>
    </row>
    <row r="720" spans="1:9" x14ac:dyDescent="0.2">
      <c r="A720" s="183"/>
      <c r="B720" s="183" t="s">
        <v>5688</v>
      </c>
      <c r="C720" s="25" t="s">
        <v>5677</v>
      </c>
      <c r="D720" s="202"/>
      <c r="E720" s="183"/>
      <c r="F720" s="183"/>
      <c r="G720" s="183"/>
      <c r="H720" s="183"/>
      <c r="I720" s="183"/>
    </row>
    <row r="721" spans="1:9" x14ac:dyDescent="0.2">
      <c r="A721" s="183"/>
      <c r="B721" s="183" t="s">
        <v>4209</v>
      </c>
      <c r="C721" s="202"/>
      <c r="D721" s="202"/>
      <c r="E721" s="183"/>
      <c r="F721" s="183"/>
      <c r="G721" s="183"/>
      <c r="H721" s="183"/>
      <c r="I721" s="183"/>
    </row>
    <row r="722" spans="1:9" x14ac:dyDescent="0.2">
      <c r="A722" s="183"/>
      <c r="B722" s="183"/>
      <c r="C722" s="202"/>
      <c r="D722" s="202"/>
      <c r="E722" s="183"/>
      <c r="F722" s="183"/>
      <c r="G722" s="183"/>
      <c r="H722" s="183"/>
      <c r="I722" s="183"/>
    </row>
    <row r="723" spans="1:9" x14ac:dyDescent="0.2">
      <c r="A723" s="183" t="s">
        <v>6890</v>
      </c>
      <c r="B723" s="42" t="s">
        <v>6963</v>
      </c>
      <c r="C723" s="202"/>
      <c r="D723" s="202"/>
      <c r="E723" s="183"/>
      <c r="F723" s="183"/>
      <c r="G723" s="183"/>
      <c r="H723" s="183"/>
      <c r="I723" s="183"/>
    </row>
    <row r="724" spans="1:9" x14ac:dyDescent="0.2">
      <c r="A724" s="183"/>
      <c r="B724" s="183" t="s">
        <v>5689</v>
      </c>
      <c r="C724" s="202" t="s">
        <v>6965</v>
      </c>
      <c r="D724" s="202"/>
      <c r="E724" s="183"/>
      <c r="F724" s="183"/>
      <c r="G724" s="183"/>
      <c r="H724" s="183"/>
      <c r="I724" s="183"/>
    </row>
    <row r="725" spans="1:9" x14ac:dyDescent="0.2">
      <c r="A725" s="183"/>
      <c r="B725" s="183" t="s">
        <v>5690</v>
      </c>
      <c r="C725" s="206">
        <v>1115</v>
      </c>
      <c r="D725" s="202"/>
      <c r="E725" s="183"/>
      <c r="F725" s="183"/>
      <c r="G725" s="183"/>
      <c r="H725" s="183"/>
      <c r="I725" s="183"/>
    </row>
    <row r="726" spans="1:9" x14ac:dyDescent="0.2">
      <c r="A726" s="183"/>
      <c r="B726" s="183" t="s">
        <v>5688</v>
      </c>
      <c r="C726" s="102" t="s">
        <v>6964</v>
      </c>
      <c r="D726" s="202"/>
      <c r="E726" s="183"/>
      <c r="F726" s="183"/>
      <c r="G726" s="183"/>
      <c r="H726" s="183"/>
      <c r="I726" s="183"/>
    </row>
    <row r="727" spans="1:9" x14ac:dyDescent="0.2">
      <c r="A727" s="183"/>
      <c r="B727" s="183"/>
      <c r="C727" s="202"/>
      <c r="D727" s="202"/>
      <c r="E727" s="183"/>
      <c r="F727" s="183"/>
      <c r="G727" s="183"/>
      <c r="H727" s="183"/>
      <c r="I727" s="183"/>
    </row>
    <row r="728" spans="1:9" x14ac:dyDescent="0.2">
      <c r="A728" s="183" t="s">
        <v>6987</v>
      </c>
      <c r="B728" s="42" t="s">
        <v>6984</v>
      </c>
      <c r="C728" s="202"/>
      <c r="D728" s="202"/>
      <c r="E728" s="183"/>
      <c r="F728" s="183"/>
      <c r="G728" s="183"/>
      <c r="H728" s="183"/>
      <c r="I728" s="183"/>
    </row>
    <row r="729" spans="1:9" x14ac:dyDescent="0.2">
      <c r="A729" s="183"/>
      <c r="B729" s="183" t="s">
        <v>5689</v>
      </c>
      <c r="C729" s="202" t="s">
        <v>6986</v>
      </c>
      <c r="D729" s="202"/>
      <c r="E729" s="183"/>
      <c r="F729" s="183"/>
      <c r="G729" s="183"/>
      <c r="H729" s="183"/>
      <c r="I729" s="183"/>
    </row>
    <row r="730" spans="1:9" x14ac:dyDescent="0.2">
      <c r="A730" s="183"/>
      <c r="B730" s="183" t="s">
        <v>5690</v>
      </c>
      <c r="C730" s="206">
        <v>750</v>
      </c>
      <c r="D730" s="202"/>
      <c r="E730" s="183"/>
      <c r="F730" s="183"/>
      <c r="G730" s="183"/>
      <c r="H730" s="183"/>
      <c r="I730" s="183"/>
    </row>
    <row r="731" spans="1:9" x14ac:dyDescent="0.2">
      <c r="A731" s="183"/>
      <c r="B731" s="183" t="s">
        <v>5688</v>
      </c>
      <c r="C731" s="102" t="s">
        <v>6985</v>
      </c>
      <c r="D731" s="202"/>
      <c r="E731" s="183"/>
      <c r="F731" s="183"/>
      <c r="G731" s="183"/>
      <c r="H731" s="183"/>
      <c r="I731" s="183"/>
    </row>
    <row r="732" spans="1:9" x14ac:dyDescent="0.2">
      <c r="A732" s="183"/>
      <c r="B732" s="183"/>
      <c r="C732" s="202"/>
      <c r="D732" s="202"/>
      <c r="E732" s="183"/>
      <c r="F732" s="183"/>
      <c r="G732" s="183"/>
      <c r="H732" s="183"/>
      <c r="I732" s="183"/>
    </row>
    <row r="733" spans="1:9" x14ac:dyDescent="0.2">
      <c r="A733" s="183" t="s">
        <v>6902</v>
      </c>
      <c r="B733" s="42" t="s">
        <v>5420</v>
      </c>
      <c r="C733" s="202"/>
      <c r="D733" s="183"/>
      <c r="E733" s="183"/>
      <c r="F733" s="183"/>
      <c r="G733" s="183"/>
      <c r="H733" s="183"/>
      <c r="I733" s="183"/>
    </row>
    <row r="734" spans="1:9" x14ac:dyDescent="0.2">
      <c r="A734" s="183"/>
      <c r="B734" s="183" t="s">
        <v>5689</v>
      </c>
      <c r="C734" s="202" t="s">
        <v>6048</v>
      </c>
      <c r="D734" s="183"/>
      <c r="E734" s="183"/>
      <c r="F734" s="183"/>
      <c r="G734" s="183"/>
      <c r="H734" s="183"/>
      <c r="I734" s="183"/>
    </row>
    <row r="735" spans="1:9" x14ac:dyDescent="0.2">
      <c r="A735" s="183"/>
      <c r="B735" s="183" t="s">
        <v>5690</v>
      </c>
      <c r="C735" s="206">
        <v>710</v>
      </c>
      <c r="D735" s="183"/>
      <c r="E735" s="183"/>
      <c r="F735" s="183"/>
      <c r="G735" s="183"/>
      <c r="H735" s="183"/>
      <c r="I735" s="183"/>
    </row>
    <row r="736" spans="1:9" x14ac:dyDescent="0.2">
      <c r="A736" s="183"/>
      <c r="B736" s="183" t="s">
        <v>5688</v>
      </c>
      <c r="C736" s="102" t="s">
        <v>6844</v>
      </c>
      <c r="D736" s="183"/>
      <c r="E736" s="183"/>
      <c r="F736" s="183"/>
      <c r="G736" s="183"/>
      <c r="H736" s="183"/>
      <c r="I736" s="183"/>
    </row>
    <row r="737" spans="1:9" x14ac:dyDescent="0.2">
      <c r="A737" s="183"/>
      <c r="B737" s="183"/>
      <c r="C737" s="202"/>
      <c r="D737" s="183"/>
      <c r="E737" s="183"/>
      <c r="F737" s="183"/>
      <c r="G737" s="183"/>
      <c r="H737" s="183"/>
      <c r="I737" s="183"/>
    </row>
    <row r="738" spans="1:9" x14ac:dyDescent="0.2">
      <c r="A738" s="183" t="s">
        <v>6936</v>
      </c>
      <c r="B738" s="42" t="s">
        <v>6888</v>
      </c>
      <c r="C738" s="202"/>
      <c r="D738" s="183"/>
      <c r="E738" s="183"/>
      <c r="F738" s="183"/>
      <c r="G738" s="183"/>
      <c r="H738" s="183"/>
      <c r="I738" s="183"/>
    </row>
    <row r="739" spans="1:9" x14ac:dyDescent="0.2">
      <c r="A739" s="183"/>
      <c r="B739" s="183" t="s">
        <v>5689</v>
      </c>
      <c r="C739" s="202" t="s">
        <v>6889</v>
      </c>
      <c r="D739" s="183"/>
      <c r="E739" s="183"/>
      <c r="F739" s="183"/>
      <c r="G739" s="183"/>
      <c r="H739" s="183"/>
      <c r="I739" s="183"/>
    </row>
    <row r="740" spans="1:9" x14ac:dyDescent="0.2">
      <c r="A740" s="183"/>
      <c r="B740" s="183" t="s">
        <v>5690</v>
      </c>
      <c r="C740" s="206">
        <v>427</v>
      </c>
      <c r="D740" s="183"/>
      <c r="E740" s="183"/>
      <c r="F740" s="183"/>
      <c r="G740" s="183"/>
      <c r="H740" s="183"/>
      <c r="I740" s="183"/>
    </row>
    <row r="741" spans="1:9" x14ac:dyDescent="0.2">
      <c r="A741" s="183"/>
      <c r="B741" s="183" t="s">
        <v>5688</v>
      </c>
      <c r="C741" s="25" t="s">
        <v>6887</v>
      </c>
      <c r="D741" s="183"/>
      <c r="E741" s="183"/>
      <c r="F741" s="183"/>
      <c r="G741" s="183"/>
      <c r="H741" s="183"/>
      <c r="I741" s="183"/>
    </row>
    <row r="742" spans="1:9" x14ac:dyDescent="0.2">
      <c r="A742" s="183"/>
      <c r="B742" s="183"/>
      <c r="C742" s="202"/>
      <c r="D742" s="183"/>
      <c r="E742" s="183"/>
      <c r="F742" s="183"/>
      <c r="G742" s="183"/>
      <c r="H742" s="183"/>
      <c r="I742" s="183"/>
    </row>
    <row r="743" spans="1:9" x14ac:dyDescent="0.2">
      <c r="A743" s="183" t="s">
        <v>6940</v>
      </c>
      <c r="B743" s="42" t="s">
        <v>6933</v>
      </c>
      <c r="C743" s="202"/>
      <c r="D743" s="183"/>
      <c r="E743" s="183"/>
      <c r="F743" s="183"/>
      <c r="G743" s="183"/>
      <c r="H743" s="183"/>
      <c r="I743" s="183"/>
    </row>
    <row r="744" spans="1:9" x14ac:dyDescent="0.2">
      <c r="A744" s="183"/>
      <c r="B744" s="183" t="s">
        <v>5689</v>
      </c>
      <c r="C744" s="202" t="s">
        <v>6935</v>
      </c>
      <c r="D744" s="183"/>
      <c r="E744" s="183"/>
      <c r="F744" s="183"/>
      <c r="G744" s="183"/>
      <c r="H744" s="183"/>
      <c r="I744" s="183"/>
    </row>
    <row r="745" spans="1:9" x14ac:dyDescent="0.2">
      <c r="A745" s="183"/>
      <c r="B745" s="183" t="s">
        <v>5690</v>
      </c>
      <c r="C745" s="206">
        <v>214</v>
      </c>
      <c r="D745" s="183"/>
      <c r="E745" s="183"/>
      <c r="F745" s="183"/>
      <c r="G745" s="183"/>
      <c r="H745" s="183"/>
      <c r="I745" s="183"/>
    </row>
    <row r="746" spans="1:9" ht="15" x14ac:dyDescent="0.25">
      <c r="A746" s="183"/>
      <c r="B746" s="183" t="s">
        <v>5688</v>
      </c>
      <c r="C746" s="159" t="s">
        <v>6934</v>
      </c>
      <c r="D746" s="183"/>
      <c r="E746" s="183"/>
      <c r="F746" s="183"/>
      <c r="G746" s="183"/>
      <c r="H746" s="183"/>
      <c r="I746" s="183"/>
    </row>
    <row r="747" spans="1:9" x14ac:dyDescent="0.2">
      <c r="A747" s="183"/>
      <c r="B747" s="183"/>
      <c r="C747" s="202"/>
      <c r="D747" s="183"/>
      <c r="E747" s="183"/>
      <c r="F747" s="183"/>
      <c r="G747" s="183"/>
      <c r="H747" s="183"/>
      <c r="I747" s="183"/>
    </row>
    <row r="748" spans="1:9" x14ac:dyDescent="0.2">
      <c r="A748" s="183" t="s">
        <v>6944</v>
      </c>
      <c r="B748" s="42" t="s">
        <v>6938</v>
      </c>
      <c r="C748" s="202"/>
      <c r="D748" s="183"/>
      <c r="E748" s="183"/>
      <c r="F748" s="183"/>
      <c r="G748" s="183"/>
      <c r="H748" s="183"/>
      <c r="I748" s="183"/>
    </row>
    <row r="749" spans="1:9" x14ac:dyDescent="0.2">
      <c r="A749" s="183"/>
      <c r="B749" s="183" t="s">
        <v>5689</v>
      </c>
      <c r="C749" s="202" t="s">
        <v>6939</v>
      </c>
      <c r="D749" s="183"/>
      <c r="E749" s="183"/>
      <c r="F749" s="183"/>
      <c r="G749" s="183"/>
      <c r="H749" s="183"/>
      <c r="I749" s="183"/>
    </row>
    <row r="750" spans="1:9" x14ac:dyDescent="0.2">
      <c r="A750" s="183"/>
      <c r="B750" s="183" t="s">
        <v>5690</v>
      </c>
      <c r="C750" s="206">
        <v>102</v>
      </c>
      <c r="D750" s="183"/>
      <c r="E750" s="183"/>
      <c r="F750" s="183"/>
      <c r="G750" s="183"/>
      <c r="H750" s="183"/>
      <c r="I750" s="183"/>
    </row>
    <row r="751" spans="1:9" x14ac:dyDescent="0.2">
      <c r="A751" s="183"/>
      <c r="B751" s="183" t="s">
        <v>5688</v>
      </c>
      <c r="C751" s="102" t="s">
        <v>6937</v>
      </c>
      <c r="D751" s="183"/>
      <c r="E751" s="183"/>
      <c r="F751" s="183"/>
      <c r="G751" s="183"/>
      <c r="H751" s="183"/>
      <c r="I751" s="183"/>
    </row>
    <row r="752" spans="1:9" x14ac:dyDescent="0.2">
      <c r="A752" s="183"/>
      <c r="B752" s="183"/>
      <c r="C752" s="202"/>
      <c r="D752" s="183"/>
      <c r="E752" s="183"/>
      <c r="F752" s="183"/>
      <c r="G752" s="183"/>
      <c r="H752" s="183"/>
      <c r="I752" s="183"/>
    </row>
    <row r="753" spans="1:9" x14ac:dyDescent="0.2">
      <c r="A753" s="183" t="s">
        <v>6966</v>
      </c>
      <c r="B753" s="42" t="s">
        <v>6052</v>
      </c>
      <c r="C753" s="202"/>
      <c r="D753" s="183"/>
      <c r="E753" s="183"/>
      <c r="F753" s="183"/>
      <c r="G753" s="183"/>
      <c r="H753" s="183"/>
      <c r="I753" s="183"/>
    </row>
    <row r="754" spans="1:9" x14ac:dyDescent="0.2">
      <c r="A754" s="183"/>
      <c r="B754" s="183" t="s">
        <v>5689</v>
      </c>
      <c r="C754" s="202" t="s">
        <v>6051</v>
      </c>
      <c r="D754" s="183"/>
      <c r="E754" s="183"/>
      <c r="F754" s="183"/>
      <c r="G754" s="183"/>
      <c r="H754" s="183"/>
      <c r="I754" s="183"/>
    </row>
    <row r="755" spans="1:9" x14ac:dyDescent="0.2">
      <c r="A755" s="183"/>
      <c r="B755" s="183" t="s">
        <v>5690</v>
      </c>
      <c r="C755" s="206">
        <v>49</v>
      </c>
      <c r="D755" s="183"/>
      <c r="E755" s="183"/>
      <c r="F755" s="183"/>
      <c r="G755" s="183"/>
      <c r="H755" s="183"/>
      <c r="I755" s="183"/>
    </row>
    <row r="756" spans="1:9" x14ac:dyDescent="0.2">
      <c r="A756" s="183"/>
      <c r="B756" s="183" t="s">
        <v>5688</v>
      </c>
      <c r="C756" s="102" t="s">
        <v>6843</v>
      </c>
      <c r="D756" s="183"/>
      <c r="E756" s="183"/>
      <c r="F756" s="183"/>
      <c r="G756" s="183"/>
      <c r="H756" s="183"/>
      <c r="I756" s="183"/>
    </row>
    <row r="758" spans="1:9" x14ac:dyDescent="0.2">
      <c r="A758" s="257" t="s">
        <v>7705</v>
      </c>
      <c r="B758" s="42" t="s">
        <v>7702</v>
      </c>
    </row>
    <row r="759" spans="1:9" x14ac:dyDescent="0.2">
      <c r="B759" s="257" t="s">
        <v>5689</v>
      </c>
      <c r="C759" s="258" t="s">
        <v>7703</v>
      </c>
    </row>
    <row r="760" spans="1:9" x14ac:dyDescent="0.2">
      <c r="B760" s="257" t="s">
        <v>5690</v>
      </c>
      <c r="C760" s="206">
        <v>34</v>
      </c>
    </row>
    <row r="761" spans="1:9" x14ac:dyDescent="0.2">
      <c r="B761" s="257" t="s">
        <v>5688</v>
      </c>
      <c r="C761" s="102" t="s">
        <v>7704</v>
      </c>
    </row>
    <row r="763" spans="1:9" x14ac:dyDescent="0.2">
      <c r="A763" s="183" t="s">
        <v>6837</v>
      </c>
      <c r="B763" s="42" t="s">
        <v>6046</v>
      </c>
    </row>
    <row r="764" spans="1:9" x14ac:dyDescent="0.2">
      <c r="B764" s="109" t="s">
        <v>5689</v>
      </c>
      <c r="C764" s="110" t="s">
        <v>6047</v>
      </c>
    </row>
    <row r="765" spans="1:9" x14ac:dyDescent="0.2">
      <c r="B765" s="109" t="s">
        <v>5690</v>
      </c>
      <c r="C765" s="122">
        <v>74060</v>
      </c>
    </row>
    <row r="766" spans="1:9" x14ac:dyDescent="0.2">
      <c r="B766" s="109" t="s">
        <v>5688</v>
      </c>
      <c r="C766" s="25" t="s">
        <v>5667</v>
      </c>
    </row>
    <row r="767" spans="1:9" x14ac:dyDescent="0.2">
      <c r="B767" s="109" t="s">
        <v>4209</v>
      </c>
      <c r="C767" s="183" t="s">
        <v>6993</v>
      </c>
    </row>
    <row r="768" spans="1:9" x14ac:dyDescent="0.2">
      <c r="C768" s="109" t="s">
        <v>5400</v>
      </c>
    </row>
    <row r="769" spans="3:3" x14ac:dyDescent="0.2">
      <c r="C769" s="183" t="s">
        <v>5402</v>
      </c>
    </row>
    <row r="770" spans="3:3" x14ac:dyDescent="0.2">
      <c r="C770" s="183" t="s">
        <v>6994</v>
      </c>
    </row>
    <row r="771" spans="3:3" x14ac:dyDescent="0.2">
      <c r="C771" s="109" t="s">
        <v>5403</v>
      </c>
    </row>
    <row r="772" spans="3:3" x14ac:dyDescent="0.2">
      <c r="C772" s="109" t="s">
        <v>5404</v>
      </c>
    </row>
    <row r="773" spans="3:3" x14ac:dyDescent="0.2">
      <c r="C773" s="109" t="s">
        <v>5405</v>
      </c>
    </row>
    <row r="774" spans="3:3" x14ac:dyDescent="0.2">
      <c r="C774" s="109" t="s">
        <v>5406</v>
      </c>
    </row>
    <row r="775" spans="3:3" x14ac:dyDescent="0.2">
      <c r="C775" s="109" t="s">
        <v>5407</v>
      </c>
    </row>
    <row r="776" spans="3:3" x14ac:dyDescent="0.2">
      <c r="C776" s="109" t="s">
        <v>5408</v>
      </c>
    </row>
    <row r="777" spans="3:3" x14ac:dyDescent="0.2">
      <c r="C777" s="109" t="s">
        <v>5409</v>
      </c>
    </row>
    <row r="778" spans="3:3" x14ac:dyDescent="0.2">
      <c r="C778" s="109" t="s">
        <v>5410</v>
      </c>
    </row>
    <row r="779" spans="3:3" x14ac:dyDescent="0.2">
      <c r="C779" s="109" t="s">
        <v>5411</v>
      </c>
    </row>
    <row r="780" spans="3:3" x14ac:dyDescent="0.2">
      <c r="C780" s="109" t="s">
        <v>5412</v>
      </c>
    </row>
    <row r="781" spans="3:3" x14ac:dyDescent="0.2">
      <c r="C781" s="109" t="s">
        <v>5413</v>
      </c>
    </row>
    <row r="782" spans="3:3" x14ac:dyDescent="0.2">
      <c r="C782" s="109" t="s">
        <v>5414</v>
      </c>
    </row>
    <row r="783" spans="3:3" x14ac:dyDescent="0.2">
      <c r="C783" s="109" t="s">
        <v>5415</v>
      </c>
    </row>
    <row r="784" spans="3:3" x14ac:dyDescent="0.2">
      <c r="C784" s="109" t="s">
        <v>5416</v>
      </c>
    </row>
    <row r="785" spans="1:3" x14ac:dyDescent="0.2">
      <c r="C785" s="109" t="s">
        <v>5417</v>
      </c>
    </row>
    <row r="786" spans="1:3" x14ac:dyDescent="0.2">
      <c r="C786" s="109" t="s">
        <v>5418</v>
      </c>
    </row>
    <row r="787" spans="1:3" x14ac:dyDescent="0.2">
      <c r="C787" s="109" t="s">
        <v>5419</v>
      </c>
    </row>
    <row r="789" spans="1:3" x14ac:dyDescent="0.2">
      <c r="A789" s="183" t="s">
        <v>6838</v>
      </c>
      <c r="B789" s="42" t="s">
        <v>5501</v>
      </c>
    </row>
    <row r="790" spans="1:3" x14ac:dyDescent="0.2">
      <c r="B790" s="109" t="s">
        <v>5689</v>
      </c>
      <c r="C790" s="110" t="s">
        <v>5502</v>
      </c>
    </row>
    <row r="791" spans="1:3" x14ac:dyDescent="0.2">
      <c r="B791" s="109" t="s">
        <v>5690</v>
      </c>
      <c r="C791" s="118">
        <v>62570</v>
      </c>
    </row>
    <row r="792" spans="1:3" x14ac:dyDescent="0.2">
      <c r="B792" s="109" t="s">
        <v>5688</v>
      </c>
      <c r="C792" s="25" t="s">
        <v>6992</v>
      </c>
    </row>
    <row r="794" spans="1:3" x14ac:dyDescent="0.2">
      <c r="A794" s="183" t="s">
        <v>6988</v>
      </c>
      <c r="B794" s="42" t="s">
        <v>6989</v>
      </c>
    </row>
    <row r="795" spans="1:3" x14ac:dyDescent="0.2">
      <c r="B795" s="183" t="s">
        <v>5689</v>
      </c>
      <c r="C795" s="202" t="s">
        <v>6991</v>
      </c>
    </row>
    <row r="796" spans="1:3" x14ac:dyDescent="0.2">
      <c r="B796" s="183" t="s">
        <v>5690</v>
      </c>
      <c r="C796" s="118">
        <v>13472</v>
      </c>
    </row>
    <row r="797" spans="1:3" x14ac:dyDescent="0.2">
      <c r="B797" s="183" t="s">
        <v>5688</v>
      </c>
      <c r="C797" s="102" t="s">
        <v>6990</v>
      </c>
    </row>
    <row r="800" spans="1:3" x14ac:dyDescent="0.2">
      <c r="A800" s="183" t="s">
        <v>6839</v>
      </c>
      <c r="B800" s="42" t="s">
        <v>5490</v>
      </c>
    </row>
    <row r="801" spans="1:3" x14ac:dyDescent="0.2">
      <c r="B801" s="109" t="s">
        <v>5689</v>
      </c>
      <c r="C801" s="110" t="s">
        <v>5489</v>
      </c>
    </row>
    <row r="802" spans="1:3" x14ac:dyDescent="0.2">
      <c r="B802" s="109" t="s">
        <v>5690</v>
      </c>
      <c r="C802" s="117">
        <v>5402</v>
      </c>
    </row>
    <row r="803" spans="1:3" x14ac:dyDescent="0.2">
      <c r="B803" s="109" t="s">
        <v>5688</v>
      </c>
      <c r="C803" s="25" t="s">
        <v>6995</v>
      </c>
    </row>
    <row r="805" spans="1:3" x14ac:dyDescent="0.2">
      <c r="A805" s="257" t="s">
        <v>7709</v>
      </c>
      <c r="B805" s="42" t="s">
        <v>7708</v>
      </c>
    </row>
    <row r="806" spans="1:3" x14ac:dyDescent="0.2">
      <c r="B806" s="257" t="s">
        <v>5689</v>
      </c>
      <c r="C806" s="258" t="s">
        <v>7707</v>
      </c>
    </row>
    <row r="807" spans="1:3" x14ac:dyDescent="0.2">
      <c r="B807" s="257" t="s">
        <v>5690</v>
      </c>
      <c r="C807" s="123">
        <v>4718</v>
      </c>
    </row>
    <row r="808" spans="1:3" x14ac:dyDescent="0.2">
      <c r="B808" s="257" t="s">
        <v>5688</v>
      </c>
      <c r="C808" s="102" t="s">
        <v>7710</v>
      </c>
    </row>
    <row r="810" spans="1:3" x14ac:dyDescent="0.2">
      <c r="A810" s="183" t="s">
        <v>6840</v>
      </c>
      <c r="B810" s="42" t="s">
        <v>6929</v>
      </c>
    </row>
    <row r="811" spans="1:3" x14ac:dyDescent="0.2">
      <c r="B811" s="183" t="s">
        <v>5689</v>
      </c>
      <c r="C811" s="202" t="s">
        <v>6931</v>
      </c>
    </row>
    <row r="812" spans="1:3" x14ac:dyDescent="0.2">
      <c r="B812" s="183" t="s">
        <v>5690</v>
      </c>
      <c r="C812" s="123">
        <v>3782</v>
      </c>
    </row>
    <row r="813" spans="1:3" x14ac:dyDescent="0.2">
      <c r="B813" s="183" t="s">
        <v>5688</v>
      </c>
      <c r="C813" s="102" t="s">
        <v>6930</v>
      </c>
    </row>
    <row r="815" spans="1:3" x14ac:dyDescent="0.2">
      <c r="A815" s="183" t="s">
        <v>6841</v>
      </c>
      <c r="B815" s="42" t="s">
        <v>6768</v>
      </c>
    </row>
    <row r="816" spans="1:3" x14ac:dyDescent="0.2">
      <c r="B816" s="109" t="s">
        <v>5689</v>
      </c>
      <c r="C816" s="110" t="s">
        <v>5478</v>
      </c>
    </row>
    <row r="817" spans="1:3" x14ac:dyDescent="0.2">
      <c r="B817" s="109" t="s">
        <v>5690</v>
      </c>
      <c r="C817" s="123">
        <v>3443</v>
      </c>
    </row>
    <row r="818" spans="1:3" x14ac:dyDescent="0.2">
      <c r="B818" s="109" t="s">
        <v>5688</v>
      </c>
      <c r="C818" s="25" t="s">
        <v>6769</v>
      </c>
    </row>
    <row r="820" spans="1:3" x14ac:dyDescent="0.2">
      <c r="A820" s="183" t="s">
        <v>6853</v>
      </c>
      <c r="B820" s="42" t="s">
        <v>6852</v>
      </c>
    </row>
    <row r="821" spans="1:3" x14ac:dyDescent="0.2">
      <c r="B821" s="183" t="s">
        <v>5689</v>
      </c>
      <c r="C821" s="202" t="s">
        <v>6850</v>
      </c>
    </row>
    <row r="822" spans="1:3" x14ac:dyDescent="0.2">
      <c r="B822" s="183" t="s">
        <v>5690</v>
      </c>
      <c r="C822" s="123">
        <v>1538</v>
      </c>
    </row>
    <row r="823" spans="1:3" x14ac:dyDescent="0.2">
      <c r="B823" s="183" t="s">
        <v>5688</v>
      </c>
      <c r="C823" s="102" t="s">
        <v>6851</v>
      </c>
    </row>
    <row r="825" spans="1:3" x14ac:dyDescent="0.2">
      <c r="A825" s="183" t="s">
        <v>6857</v>
      </c>
      <c r="B825" s="42" t="s">
        <v>6961</v>
      </c>
    </row>
    <row r="826" spans="1:3" x14ac:dyDescent="0.2">
      <c r="B826" s="183" t="s">
        <v>5689</v>
      </c>
      <c r="C826" s="202" t="s">
        <v>6960</v>
      </c>
    </row>
    <row r="827" spans="1:3" x14ac:dyDescent="0.2">
      <c r="B827" s="183" t="s">
        <v>5690</v>
      </c>
      <c r="C827" s="123">
        <v>553</v>
      </c>
    </row>
    <row r="828" spans="1:3" x14ac:dyDescent="0.2">
      <c r="B828" s="183" t="s">
        <v>5688</v>
      </c>
      <c r="C828" s="25" t="s">
        <v>6959</v>
      </c>
    </row>
    <row r="830" spans="1:3" x14ac:dyDescent="0.2">
      <c r="A830" s="183" t="s">
        <v>6894</v>
      </c>
      <c r="B830" s="42" t="s">
        <v>6912</v>
      </c>
    </row>
    <row r="831" spans="1:3" x14ac:dyDescent="0.2">
      <c r="B831" s="183" t="s">
        <v>5689</v>
      </c>
      <c r="C831" s="202" t="s">
        <v>6913</v>
      </c>
    </row>
    <row r="832" spans="1:3" x14ac:dyDescent="0.2">
      <c r="B832" s="183" t="s">
        <v>5690</v>
      </c>
      <c r="C832" s="123">
        <v>550</v>
      </c>
    </row>
    <row r="833" spans="1:3" ht="15" x14ac:dyDescent="0.25">
      <c r="B833" s="183" t="s">
        <v>5688</v>
      </c>
      <c r="C833" s="159" t="s">
        <v>6914</v>
      </c>
    </row>
    <row r="835" spans="1:3" x14ac:dyDescent="0.2">
      <c r="A835" s="183" t="s">
        <v>6915</v>
      </c>
      <c r="B835" s="42" t="s">
        <v>6893</v>
      </c>
    </row>
    <row r="836" spans="1:3" x14ac:dyDescent="0.2">
      <c r="B836" s="183" t="s">
        <v>5689</v>
      </c>
      <c r="C836" s="202" t="s">
        <v>6892</v>
      </c>
    </row>
    <row r="837" spans="1:3" x14ac:dyDescent="0.2">
      <c r="B837" s="183" t="s">
        <v>5690</v>
      </c>
      <c r="C837" s="123">
        <v>409</v>
      </c>
    </row>
    <row r="838" spans="1:3" x14ac:dyDescent="0.2">
      <c r="B838" s="183" t="s">
        <v>5688</v>
      </c>
      <c r="C838" s="25" t="s">
        <v>6891</v>
      </c>
    </row>
    <row r="840" spans="1:3" x14ac:dyDescent="0.2">
      <c r="A840" s="183" t="s">
        <v>6932</v>
      </c>
      <c r="B840" s="42" t="s">
        <v>6856</v>
      </c>
    </row>
    <row r="841" spans="1:3" x14ac:dyDescent="0.2">
      <c r="B841" s="183" t="s">
        <v>5689</v>
      </c>
      <c r="C841" s="202" t="s">
        <v>6855</v>
      </c>
    </row>
    <row r="842" spans="1:3" x14ac:dyDescent="0.2">
      <c r="B842" s="183" t="s">
        <v>5690</v>
      </c>
      <c r="C842" s="123">
        <v>339</v>
      </c>
    </row>
    <row r="843" spans="1:3" ht="15" x14ac:dyDescent="0.25">
      <c r="B843" s="183" t="s">
        <v>5688</v>
      </c>
      <c r="C843" s="159" t="s">
        <v>6854</v>
      </c>
    </row>
    <row r="845" spans="1:3" x14ac:dyDescent="0.2">
      <c r="A845" s="183" t="s">
        <v>6962</v>
      </c>
      <c r="B845" s="42" t="s">
        <v>6607</v>
      </c>
    </row>
    <row r="846" spans="1:3" x14ac:dyDescent="0.2">
      <c r="B846" s="167" t="s">
        <v>5689</v>
      </c>
      <c r="C846" s="168" t="s">
        <v>6552</v>
      </c>
    </row>
    <row r="847" spans="1:3" x14ac:dyDescent="0.2">
      <c r="B847" s="167" t="s">
        <v>5690</v>
      </c>
      <c r="C847" s="123">
        <v>241</v>
      </c>
    </row>
    <row r="848" spans="1:3" x14ac:dyDescent="0.2">
      <c r="B848" s="167" t="s">
        <v>5688</v>
      </c>
      <c r="C848" s="102" t="s">
        <v>6608</v>
      </c>
    </row>
    <row r="850" spans="1:3" x14ac:dyDescent="0.2">
      <c r="A850" s="183" t="s">
        <v>6772</v>
      </c>
      <c r="B850" s="42" t="s">
        <v>6610</v>
      </c>
    </row>
    <row r="851" spans="1:3" x14ac:dyDescent="0.2">
      <c r="B851" s="167" t="s">
        <v>5689</v>
      </c>
      <c r="C851" s="168" t="s">
        <v>6613</v>
      </c>
    </row>
    <row r="852" spans="1:3" x14ac:dyDescent="0.2">
      <c r="B852" s="167" t="s">
        <v>5690</v>
      </c>
      <c r="C852" s="118">
        <v>30753</v>
      </c>
    </row>
    <row r="853" spans="1:3" x14ac:dyDescent="0.2">
      <c r="B853" s="167" t="s">
        <v>5688</v>
      </c>
      <c r="C853" s="25" t="s">
        <v>6609</v>
      </c>
    </row>
    <row r="855" spans="1:3" x14ac:dyDescent="0.2">
      <c r="A855" s="183" t="s">
        <v>6798</v>
      </c>
      <c r="B855" s="42" t="s">
        <v>5504</v>
      </c>
    </row>
    <row r="856" spans="1:3" x14ac:dyDescent="0.2">
      <c r="B856" s="183" t="s">
        <v>5689</v>
      </c>
      <c r="C856" s="110" t="s">
        <v>5503</v>
      </c>
    </row>
    <row r="857" spans="1:3" x14ac:dyDescent="0.2">
      <c r="B857" s="183" t="s">
        <v>5690</v>
      </c>
      <c r="C857" s="120">
        <v>14017</v>
      </c>
    </row>
    <row r="858" spans="1:3" x14ac:dyDescent="0.2">
      <c r="B858" s="183" t="s">
        <v>5688</v>
      </c>
      <c r="C858" s="25" t="s">
        <v>6771</v>
      </c>
    </row>
    <row r="859" spans="1:3" s="183" customFormat="1" x14ac:dyDescent="0.2"/>
    <row r="860" spans="1:3" s="183" customFormat="1" x14ac:dyDescent="0.2">
      <c r="A860" s="183" t="s">
        <v>6799</v>
      </c>
      <c r="B860" s="42" t="s">
        <v>6504</v>
      </c>
      <c r="C860" s="202"/>
    </row>
    <row r="861" spans="1:3" s="183" customFormat="1" x14ac:dyDescent="0.2">
      <c r="B861" s="183" t="s">
        <v>5689</v>
      </c>
      <c r="C861" s="202" t="s">
        <v>5519</v>
      </c>
    </row>
    <row r="862" spans="1:3" s="183" customFormat="1" x14ac:dyDescent="0.2">
      <c r="B862" s="183" t="s">
        <v>5690</v>
      </c>
      <c r="C862" s="205">
        <v>9183</v>
      </c>
    </row>
    <row r="863" spans="1:3" s="183" customFormat="1" x14ac:dyDescent="0.2">
      <c r="B863" s="183" t="s">
        <v>5688</v>
      </c>
      <c r="C863" s="28" t="s">
        <v>6503</v>
      </c>
    </row>
    <row r="864" spans="1:3" s="183" customFormat="1" x14ac:dyDescent="0.2">
      <c r="C864" s="202"/>
    </row>
    <row r="865" spans="1:3" s="183" customFormat="1" x14ac:dyDescent="0.2">
      <c r="A865" s="183" t="s">
        <v>6800</v>
      </c>
      <c r="B865" s="42" t="s">
        <v>6531</v>
      </c>
      <c r="C865" s="202"/>
    </row>
    <row r="866" spans="1:3" s="183" customFormat="1" x14ac:dyDescent="0.2">
      <c r="B866" s="183" t="s">
        <v>5689</v>
      </c>
      <c r="C866" s="202" t="s">
        <v>6518</v>
      </c>
    </row>
    <row r="867" spans="1:3" s="183" customFormat="1" x14ac:dyDescent="0.2">
      <c r="B867" s="183" t="s">
        <v>5690</v>
      </c>
      <c r="C867" s="205">
        <v>8373</v>
      </c>
    </row>
    <row r="868" spans="1:3" s="183" customFormat="1" x14ac:dyDescent="0.2">
      <c r="B868" s="183" t="s">
        <v>5688</v>
      </c>
      <c r="C868" s="152" t="s">
        <v>6519</v>
      </c>
    </row>
    <row r="869" spans="1:3" s="183" customFormat="1" x14ac:dyDescent="0.2">
      <c r="C869" s="152"/>
    </row>
    <row r="870" spans="1:3" s="183" customFormat="1" x14ac:dyDescent="0.2">
      <c r="A870" s="183" t="s">
        <v>6801</v>
      </c>
      <c r="B870" s="42" t="s">
        <v>6070</v>
      </c>
      <c r="C870" s="202"/>
    </row>
    <row r="871" spans="1:3" s="183" customFormat="1" x14ac:dyDescent="0.2">
      <c r="B871" s="183" t="s">
        <v>5689</v>
      </c>
      <c r="C871" s="216" t="s">
        <v>6069</v>
      </c>
    </row>
    <row r="872" spans="1:3" s="183" customFormat="1" x14ac:dyDescent="0.2">
      <c r="B872" s="183" t="s">
        <v>5690</v>
      </c>
      <c r="C872" s="206">
        <v>3259</v>
      </c>
    </row>
    <row r="873" spans="1:3" s="183" customFormat="1" x14ac:dyDescent="0.2">
      <c r="B873" s="183" t="s">
        <v>5688</v>
      </c>
      <c r="C873" s="25" t="s">
        <v>6770</v>
      </c>
    </row>
    <row r="874" spans="1:3" s="183" customFormat="1" x14ac:dyDescent="0.2">
      <c r="C874" s="202"/>
    </row>
    <row r="875" spans="1:3" s="183" customFormat="1" x14ac:dyDescent="0.2">
      <c r="A875" s="183" t="s">
        <v>6802</v>
      </c>
      <c r="B875" s="42" t="s">
        <v>6502</v>
      </c>
      <c r="C875" s="202"/>
    </row>
    <row r="876" spans="1:3" s="183" customFormat="1" x14ac:dyDescent="0.2">
      <c r="B876" s="183" t="s">
        <v>5689</v>
      </c>
      <c r="C876" s="202" t="s">
        <v>6074</v>
      </c>
    </row>
    <row r="877" spans="1:3" s="183" customFormat="1" x14ac:dyDescent="0.2">
      <c r="B877" s="183" t="s">
        <v>5690</v>
      </c>
      <c r="C877" s="206">
        <v>1330</v>
      </c>
    </row>
    <row r="878" spans="1:3" s="183" customFormat="1" x14ac:dyDescent="0.2">
      <c r="B878" s="183" t="s">
        <v>5688</v>
      </c>
      <c r="C878" s="152" t="s">
        <v>6501</v>
      </c>
    </row>
    <row r="879" spans="1:3" s="183" customFormat="1" x14ac:dyDescent="0.2">
      <c r="C879" s="152"/>
    </row>
    <row r="880" spans="1:3" x14ac:dyDescent="0.2">
      <c r="A880" s="183" t="s">
        <v>6803</v>
      </c>
      <c r="B880" s="42" t="s">
        <v>6505</v>
      </c>
    </row>
    <row r="881" spans="1:3" x14ac:dyDescent="0.2">
      <c r="B881" s="109" t="s">
        <v>5689</v>
      </c>
      <c r="C881" s="110" t="s">
        <v>5474</v>
      </c>
    </row>
    <row r="882" spans="1:3" x14ac:dyDescent="0.2">
      <c r="B882" s="109" t="s">
        <v>5690</v>
      </c>
      <c r="C882" s="123">
        <v>1302</v>
      </c>
    </row>
    <row r="883" spans="1:3" x14ac:dyDescent="0.2">
      <c r="B883" s="109" t="s">
        <v>5688</v>
      </c>
      <c r="C883" s="109"/>
    </row>
    <row r="884" spans="1:3" x14ac:dyDescent="0.2">
      <c r="B884" s="109" t="s">
        <v>4209</v>
      </c>
      <c r="C884" s="109" t="s">
        <v>6049</v>
      </c>
    </row>
    <row r="885" spans="1:3" x14ac:dyDescent="0.2">
      <c r="C885" s="109" t="s">
        <v>5479</v>
      </c>
    </row>
    <row r="886" spans="1:3" x14ac:dyDescent="0.2">
      <c r="C886" s="109" t="s">
        <v>5480</v>
      </c>
    </row>
    <row r="887" spans="1:3" x14ac:dyDescent="0.2">
      <c r="C887" s="109" t="s">
        <v>5481</v>
      </c>
    </row>
    <row r="888" spans="1:3" x14ac:dyDescent="0.2">
      <c r="C888" s="109" t="s">
        <v>5482</v>
      </c>
    </row>
    <row r="889" spans="1:3" x14ac:dyDescent="0.2">
      <c r="C889" s="109"/>
    </row>
    <row r="890" spans="1:3" s="183" customFormat="1" x14ac:dyDescent="0.2">
      <c r="A890" s="183" t="s">
        <v>6804</v>
      </c>
      <c r="B890" s="42" t="s">
        <v>6532</v>
      </c>
      <c r="C890" s="202"/>
    </row>
    <row r="891" spans="1:3" s="183" customFormat="1" x14ac:dyDescent="0.2">
      <c r="B891" s="183" t="s">
        <v>5689</v>
      </c>
      <c r="C891" s="202" t="s">
        <v>6048</v>
      </c>
    </row>
    <row r="892" spans="1:3" s="183" customFormat="1" x14ac:dyDescent="0.2">
      <c r="B892" s="183" t="s">
        <v>5690</v>
      </c>
      <c r="C892" s="206">
        <v>681</v>
      </c>
    </row>
    <row r="893" spans="1:3" s="183" customFormat="1" x14ac:dyDescent="0.2">
      <c r="B893" s="183" t="s">
        <v>5688</v>
      </c>
      <c r="C893" s="102" t="s">
        <v>6774</v>
      </c>
    </row>
    <row r="894" spans="1:3" s="183" customFormat="1" x14ac:dyDescent="0.2">
      <c r="C894" s="202"/>
    </row>
    <row r="895" spans="1:3" s="183" customFormat="1" x14ac:dyDescent="0.2">
      <c r="A895" s="183" t="s">
        <v>6805</v>
      </c>
      <c r="B895" s="42" t="s">
        <v>6377</v>
      </c>
      <c r="C895" s="202"/>
    </row>
    <row r="896" spans="1:3" s="183" customFormat="1" x14ac:dyDescent="0.2">
      <c r="B896" s="183" t="s">
        <v>5689</v>
      </c>
      <c r="C896" s="202" t="s">
        <v>6376</v>
      </c>
    </row>
    <row r="897" spans="1:3" x14ac:dyDescent="0.2">
      <c r="B897" s="109" t="s">
        <v>5690</v>
      </c>
      <c r="C897" s="206">
        <v>341</v>
      </c>
    </row>
    <row r="898" spans="1:3" ht="15" x14ac:dyDescent="0.25">
      <c r="B898" s="109" t="s">
        <v>5688</v>
      </c>
      <c r="C898" s="159" t="s">
        <v>6378</v>
      </c>
    </row>
    <row r="900" spans="1:3" x14ac:dyDescent="0.2">
      <c r="A900" s="257" t="s">
        <v>7689</v>
      </c>
      <c r="B900" s="42" t="s">
        <v>7690</v>
      </c>
    </row>
    <row r="901" spans="1:3" x14ac:dyDescent="0.2">
      <c r="B901" s="257" t="s">
        <v>5689</v>
      </c>
      <c r="C901" s="258" t="s">
        <v>7691</v>
      </c>
    </row>
    <row r="902" spans="1:3" x14ac:dyDescent="0.2">
      <c r="B902" s="257" t="s">
        <v>5690</v>
      </c>
      <c r="C902" s="206">
        <v>4000</v>
      </c>
    </row>
    <row r="903" spans="1:3" x14ac:dyDescent="0.2">
      <c r="B903" s="257" t="s">
        <v>5688</v>
      </c>
      <c r="C903" s="25" t="s">
        <v>7692</v>
      </c>
    </row>
    <row r="904" spans="1:3" x14ac:dyDescent="0.2">
      <c r="B904" s="257" t="s">
        <v>4209</v>
      </c>
      <c r="C904" s="268" t="s">
        <v>7706</v>
      </c>
    </row>
    <row r="906" spans="1:3" x14ac:dyDescent="0.2">
      <c r="A906" s="183" t="s">
        <v>6796</v>
      </c>
      <c r="B906" s="42" t="s">
        <v>6498</v>
      </c>
    </row>
    <row r="907" spans="1:3" x14ac:dyDescent="0.2">
      <c r="B907" s="167" t="s">
        <v>5689</v>
      </c>
      <c r="C907" s="168" t="s">
        <v>6499</v>
      </c>
    </row>
    <row r="908" spans="1:3" x14ac:dyDescent="0.2">
      <c r="B908" s="167" t="s">
        <v>5690</v>
      </c>
      <c r="C908" s="206">
        <v>226</v>
      </c>
    </row>
    <row r="909" spans="1:3" ht="15" x14ac:dyDescent="0.25">
      <c r="B909" s="167" t="s">
        <v>5688</v>
      </c>
      <c r="C909" s="159" t="s">
        <v>6500</v>
      </c>
    </row>
    <row r="911" spans="1:3" x14ac:dyDescent="0.2">
      <c r="A911" s="183" t="s">
        <v>6797</v>
      </c>
      <c r="B911" s="42" t="s">
        <v>6506</v>
      </c>
      <c r="C911" s="109"/>
    </row>
    <row r="912" spans="1:3" x14ac:dyDescent="0.2">
      <c r="B912" s="167" t="s">
        <v>5689</v>
      </c>
      <c r="C912" s="167" t="s">
        <v>6507</v>
      </c>
    </row>
    <row r="913" spans="1:3" x14ac:dyDescent="0.2">
      <c r="B913" s="167" t="s">
        <v>5690</v>
      </c>
      <c r="C913" s="206">
        <v>46</v>
      </c>
    </row>
    <row r="914" spans="1:3" ht="15" x14ac:dyDescent="0.25">
      <c r="B914" s="167" t="s">
        <v>5688</v>
      </c>
      <c r="C914" s="44" t="s">
        <v>6508</v>
      </c>
    </row>
    <row r="916" spans="1:3" x14ac:dyDescent="0.2">
      <c r="A916" s="183" t="s">
        <v>6807</v>
      </c>
      <c r="B916" s="42" t="s">
        <v>6494</v>
      </c>
    </row>
    <row r="917" spans="1:3" x14ac:dyDescent="0.2">
      <c r="B917" s="167" t="s">
        <v>5755</v>
      </c>
      <c r="C917" s="168" t="s">
        <v>4511</v>
      </c>
    </row>
    <row r="918" spans="1:3" x14ac:dyDescent="0.2">
      <c r="B918" s="167" t="s">
        <v>5690</v>
      </c>
      <c r="C918" s="117">
        <v>5145</v>
      </c>
    </row>
    <row r="919" spans="1:3" ht="15" x14ac:dyDescent="0.25">
      <c r="B919" s="167" t="s">
        <v>5688</v>
      </c>
      <c r="C919" s="44" t="s">
        <v>6495</v>
      </c>
    </row>
    <row r="920" spans="1:3" x14ac:dyDescent="0.2">
      <c r="C920" s="258"/>
    </row>
    <row r="921" spans="1:3" x14ac:dyDescent="0.2">
      <c r="A921" s="183" t="s">
        <v>6806</v>
      </c>
      <c r="B921" s="42" t="s">
        <v>6497</v>
      </c>
      <c r="C921" s="258"/>
    </row>
    <row r="922" spans="1:3" x14ac:dyDescent="0.2">
      <c r="B922" s="167" t="s">
        <v>5689</v>
      </c>
      <c r="C922" s="258" t="s">
        <v>5508</v>
      </c>
    </row>
    <row r="923" spans="1:3" x14ac:dyDescent="0.2">
      <c r="B923" s="167" t="s">
        <v>5690</v>
      </c>
      <c r="C923" s="267">
        <v>2033</v>
      </c>
    </row>
    <row r="924" spans="1:3" x14ac:dyDescent="0.2">
      <c r="B924" s="167" t="s">
        <v>5688</v>
      </c>
      <c r="C924" s="25" t="s">
        <v>6496</v>
      </c>
    </row>
    <row r="925" spans="1:3" x14ac:dyDescent="0.2">
      <c r="C925" s="258"/>
    </row>
    <row r="926" spans="1:3" x14ac:dyDescent="0.2">
      <c r="A926" s="183" t="s">
        <v>6808</v>
      </c>
      <c r="B926" s="42" t="s">
        <v>6472</v>
      </c>
      <c r="C926" s="258"/>
    </row>
    <row r="927" spans="1:3" x14ac:dyDescent="0.2">
      <c r="B927" s="167" t="s">
        <v>5689</v>
      </c>
      <c r="C927" s="258" t="s">
        <v>5595</v>
      </c>
    </row>
    <row r="928" spans="1:3" x14ac:dyDescent="0.2">
      <c r="B928" s="167" t="s">
        <v>5690</v>
      </c>
      <c r="C928" s="267">
        <v>806</v>
      </c>
    </row>
    <row r="929" spans="1:3" x14ac:dyDescent="0.2">
      <c r="B929" s="168" t="s">
        <v>5688</v>
      </c>
      <c r="C929" s="102" t="s">
        <v>6473</v>
      </c>
    </row>
    <row r="930" spans="1:3" x14ac:dyDescent="0.2">
      <c r="B930" s="168"/>
      <c r="C930" s="258"/>
    </row>
    <row r="931" spans="1:3" x14ac:dyDescent="0.2">
      <c r="A931" s="257" t="s">
        <v>7685</v>
      </c>
      <c r="B931" s="111" t="s">
        <v>7688</v>
      </c>
      <c r="C931" s="258"/>
    </row>
    <row r="932" spans="1:3" x14ac:dyDescent="0.2">
      <c r="B932" s="258" t="s">
        <v>5689</v>
      </c>
      <c r="C932" s="258" t="s">
        <v>7687</v>
      </c>
    </row>
    <row r="933" spans="1:3" x14ac:dyDescent="0.2">
      <c r="B933" s="258" t="s">
        <v>5690</v>
      </c>
      <c r="C933" s="267">
        <v>300</v>
      </c>
    </row>
    <row r="934" spans="1:3" x14ac:dyDescent="0.2">
      <c r="B934" s="258" t="s">
        <v>5688</v>
      </c>
      <c r="C934" s="102" t="s">
        <v>7686</v>
      </c>
    </row>
    <row r="935" spans="1:3" x14ac:dyDescent="0.2">
      <c r="B935" s="258" t="s">
        <v>4209</v>
      </c>
    </row>
    <row r="936" spans="1:3" x14ac:dyDescent="0.2">
      <c r="B936" s="168"/>
    </row>
    <row r="937" spans="1:3" x14ac:dyDescent="0.2">
      <c r="A937" s="257" t="s">
        <v>7697</v>
      </c>
      <c r="B937" s="111" t="s">
        <v>7698</v>
      </c>
    </row>
    <row r="938" spans="1:3" x14ac:dyDescent="0.2">
      <c r="B938" s="258" t="s">
        <v>5689</v>
      </c>
      <c r="C938" s="258" t="s">
        <v>7699</v>
      </c>
    </row>
    <row r="939" spans="1:3" x14ac:dyDescent="0.2">
      <c r="B939" s="258" t="s">
        <v>5690</v>
      </c>
      <c r="C939" s="267">
        <v>113</v>
      </c>
    </row>
    <row r="940" spans="1:3" x14ac:dyDescent="0.2">
      <c r="B940" s="258" t="s">
        <v>5688</v>
      </c>
      <c r="C940" s="102" t="s">
        <v>7700</v>
      </c>
    </row>
    <row r="941" spans="1:3" x14ac:dyDescent="0.2">
      <c r="B941" s="168"/>
    </row>
    <row r="942" spans="1:3" x14ac:dyDescent="0.2">
      <c r="A942" s="183" t="s">
        <v>6809</v>
      </c>
      <c r="B942" s="42" t="s">
        <v>6533</v>
      </c>
      <c r="C942" s="258"/>
    </row>
    <row r="943" spans="1:3" x14ac:dyDescent="0.2">
      <c r="B943" s="167" t="s">
        <v>5689</v>
      </c>
      <c r="C943" s="258" t="s">
        <v>6534</v>
      </c>
    </row>
    <row r="944" spans="1:3" x14ac:dyDescent="0.2">
      <c r="B944" s="167" t="s">
        <v>5690</v>
      </c>
      <c r="C944" s="267">
        <v>54</v>
      </c>
    </row>
    <row r="945" spans="1:3" x14ac:dyDescent="0.2">
      <c r="B945" s="167" t="s">
        <v>5688</v>
      </c>
      <c r="C945" s="152" t="s">
        <v>6535</v>
      </c>
    </row>
    <row r="946" spans="1:3" x14ac:dyDescent="0.2">
      <c r="C946" s="258"/>
    </row>
    <row r="947" spans="1:3" x14ac:dyDescent="0.2">
      <c r="A947" s="183" t="s">
        <v>6810</v>
      </c>
      <c r="B947" s="42" t="s">
        <v>6475</v>
      </c>
      <c r="C947" s="258"/>
    </row>
    <row r="948" spans="1:3" x14ac:dyDescent="0.2">
      <c r="B948" s="109" t="s">
        <v>5689</v>
      </c>
      <c r="C948" s="258" t="s">
        <v>6370</v>
      </c>
    </row>
    <row r="949" spans="1:3" x14ac:dyDescent="0.2">
      <c r="B949" s="109" t="s">
        <v>5690</v>
      </c>
      <c r="C949" s="267">
        <v>44</v>
      </c>
    </row>
    <row r="950" spans="1:3" x14ac:dyDescent="0.2">
      <c r="B950" s="109" t="s">
        <v>5688</v>
      </c>
      <c r="C950" s="152" t="s">
        <v>6369</v>
      </c>
    </row>
    <row r="951" spans="1:3" x14ac:dyDescent="0.2">
      <c r="C951" s="258"/>
    </row>
    <row r="952" spans="1:3" x14ac:dyDescent="0.2">
      <c r="A952" s="183" t="s">
        <v>6811</v>
      </c>
      <c r="B952" s="111" t="s">
        <v>6491</v>
      </c>
      <c r="C952" s="258"/>
    </row>
    <row r="953" spans="1:3" x14ac:dyDescent="0.2">
      <c r="B953" s="168" t="s">
        <v>5689</v>
      </c>
      <c r="C953" s="258" t="s">
        <v>6492</v>
      </c>
    </row>
    <row r="954" spans="1:3" x14ac:dyDescent="0.2">
      <c r="B954" s="168" t="s">
        <v>5690</v>
      </c>
      <c r="C954" s="267">
        <v>8</v>
      </c>
    </row>
    <row r="955" spans="1:3" x14ac:dyDescent="0.2">
      <c r="B955" s="168" t="s">
        <v>5688</v>
      </c>
      <c r="C955" s="152" t="s">
        <v>6493</v>
      </c>
    </row>
    <row r="956" spans="1:3" x14ac:dyDescent="0.2">
      <c r="B956" s="168"/>
      <c r="C956" s="258"/>
    </row>
    <row r="957" spans="1:3" x14ac:dyDescent="0.2">
      <c r="A957" s="183" t="s">
        <v>6814</v>
      </c>
      <c r="B957" s="42" t="s">
        <v>6538</v>
      </c>
      <c r="C957" s="258"/>
    </row>
    <row r="958" spans="1:3" x14ac:dyDescent="0.2">
      <c r="B958" s="167" t="s">
        <v>5689</v>
      </c>
      <c r="C958" s="168" t="s">
        <v>6539</v>
      </c>
    </row>
    <row r="959" spans="1:3" x14ac:dyDescent="0.2">
      <c r="B959" s="167" t="s">
        <v>5690</v>
      </c>
      <c r="C959" s="123">
        <v>1812</v>
      </c>
    </row>
    <row r="960" spans="1:3" ht="15" x14ac:dyDescent="0.25">
      <c r="B960" s="167" t="s">
        <v>5688</v>
      </c>
      <c r="C960" s="159" t="s">
        <v>6540</v>
      </c>
    </row>
    <row r="962" spans="1:9" x14ac:dyDescent="0.2">
      <c r="A962" s="183" t="s">
        <v>6815</v>
      </c>
      <c r="B962" s="42" t="s">
        <v>6474</v>
      </c>
    </row>
    <row r="963" spans="1:9" x14ac:dyDescent="0.2">
      <c r="B963" s="167" t="s">
        <v>5689</v>
      </c>
      <c r="C963" s="168" t="s">
        <v>6471</v>
      </c>
    </row>
    <row r="964" spans="1:9" x14ac:dyDescent="0.2">
      <c r="B964" s="167" t="s">
        <v>5690</v>
      </c>
      <c r="C964" s="123">
        <v>1259</v>
      </c>
    </row>
    <row r="965" spans="1:9" x14ac:dyDescent="0.2">
      <c r="B965" s="168" t="s">
        <v>5688</v>
      </c>
      <c r="C965" s="102" t="s">
        <v>6812</v>
      </c>
    </row>
    <row r="966" spans="1:9" x14ac:dyDescent="0.2">
      <c r="B966" s="168"/>
    </row>
    <row r="967" spans="1:9" x14ac:dyDescent="0.2">
      <c r="A967" s="183" t="s">
        <v>6816</v>
      </c>
      <c r="B967" s="111" t="s">
        <v>6466</v>
      </c>
      <c r="C967" s="168"/>
      <c r="D967" s="167"/>
      <c r="E967" s="167"/>
      <c r="F967" s="167"/>
      <c r="G967" s="167"/>
      <c r="H967" s="167"/>
      <c r="I967" s="167"/>
    </row>
    <row r="968" spans="1:9" x14ac:dyDescent="0.2">
      <c r="A968" s="167"/>
      <c r="B968" s="168" t="s">
        <v>5689</v>
      </c>
      <c r="C968" s="168" t="s">
        <v>6467</v>
      </c>
      <c r="D968" s="167"/>
      <c r="E968" s="167"/>
      <c r="F968" s="167"/>
      <c r="G968" s="167"/>
      <c r="H968" s="167"/>
      <c r="I968" s="167"/>
    </row>
    <row r="969" spans="1:9" x14ac:dyDescent="0.2">
      <c r="A969" s="167"/>
      <c r="B969" s="168" t="s">
        <v>5690</v>
      </c>
      <c r="C969" s="123">
        <v>398</v>
      </c>
      <c r="D969" s="167"/>
      <c r="E969" s="167"/>
      <c r="F969" s="167"/>
      <c r="G969" s="167"/>
      <c r="H969" s="167"/>
      <c r="I969" s="167"/>
    </row>
    <row r="970" spans="1:9" x14ac:dyDescent="0.2">
      <c r="A970" s="167"/>
      <c r="B970" s="168" t="s">
        <v>5688</v>
      </c>
      <c r="C970" s="152" t="s">
        <v>6468</v>
      </c>
      <c r="D970" s="167"/>
      <c r="E970" s="167"/>
      <c r="F970" s="167"/>
      <c r="G970" s="167"/>
      <c r="H970" s="167"/>
      <c r="I970" s="167"/>
    </row>
    <row r="971" spans="1:9" x14ac:dyDescent="0.2">
      <c r="A971" s="167"/>
      <c r="B971" s="168"/>
      <c r="C971" s="152"/>
      <c r="D971" s="167"/>
      <c r="E971" s="167"/>
      <c r="F971" s="167"/>
      <c r="G971" s="167"/>
      <c r="H971" s="167"/>
      <c r="I971" s="167"/>
    </row>
    <row r="972" spans="1:9" x14ac:dyDescent="0.2">
      <c r="A972" s="183" t="s">
        <v>6817</v>
      </c>
      <c r="B972" s="111" t="s">
        <v>6813</v>
      </c>
      <c r="C972" s="168"/>
      <c r="D972" s="167"/>
      <c r="E972" s="167"/>
      <c r="F972" s="167"/>
      <c r="G972" s="167"/>
      <c r="H972" s="167"/>
      <c r="I972" s="167"/>
    </row>
    <row r="973" spans="1:9" x14ac:dyDescent="0.2">
      <c r="A973" s="167"/>
      <c r="B973" s="168" t="s">
        <v>5689</v>
      </c>
      <c r="C973" s="168" t="s">
        <v>6553</v>
      </c>
      <c r="D973" s="167"/>
      <c r="E973" s="167"/>
      <c r="F973" s="167"/>
      <c r="G973" s="167"/>
      <c r="H973" s="167"/>
      <c r="I973" s="167"/>
    </row>
    <row r="974" spans="1:9" x14ac:dyDescent="0.2">
      <c r="A974" s="167"/>
      <c r="B974" s="168" t="s">
        <v>5690</v>
      </c>
      <c r="C974" s="123">
        <v>185</v>
      </c>
      <c r="D974" s="167"/>
      <c r="E974" s="167"/>
      <c r="F974" s="167"/>
      <c r="G974" s="167"/>
      <c r="H974" s="167"/>
      <c r="I974" s="167"/>
    </row>
    <row r="975" spans="1:9" ht="15" x14ac:dyDescent="0.25">
      <c r="A975" s="167"/>
      <c r="B975" s="168" t="s">
        <v>5688</v>
      </c>
      <c r="C975" s="159" t="s">
        <v>6554</v>
      </c>
      <c r="D975" s="167"/>
      <c r="E975" s="167"/>
      <c r="F975" s="167"/>
      <c r="G975" s="167"/>
      <c r="H975" s="167"/>
      <c r="I975" s="167"/>
    </row>
    <row r="976" spans="1:9" x14ac:dyDescent="0.2">
      <c r="A976" s="167"/>
      <c r="B976" s="168"/>
      <c r="C976" s="168"/>
      <c r="D976" s="167"/>
      <c r="E976" s="167"/>
      <c r="F976" s="167"/>
      <c r="G976" s="167"/>
      <c r="H976" s="167"/>
      <c r="I976" s="167"/>
    </row>
    <row r="977" spans="1:9" x14ac:dyDescent="0.2">
      <c r="A977" s="183" t="s">
        <v>6818</v>
      </c>
      <c r="B977" s="111" t="s">
        <v>6517</v>
      </c>
      <c r="C977" s="152"/>
      <c r="D977" s="167"/>
      <c r="E977" s="167"/>
      <c r="F977" s="167"/>
      <c r="G977" s="167"/>
      <c r="H977" s="167"/>
      <c r="I977" s="167"/>
    </row>
    <row r="978" spans="1:9" x14ac:dyDescent="0.2">
      <c r="A978" s="167"/>
      <c r="B978" s="168" t="s">
        <v>5689</v>
      </c>
      <c r="C978" s="168" t="s">
        <v>6515</v>
      </c>
      <c r="D978" s="167"/>
      <c r="E978" s="167"/>
      <c r="F978" s="167"/>
      <c r="G978" s="167"/>
      <c r="H978" s="167"/>
      <c r="I978" s="167"/>
    </row>
    <row r="979" spans="1:9" x14ac:dyDescent="0.2">
      <c r="A979" s="167"/>
      <c r="B979" s="168" t="s">
        <v>5690</v>
      </c>
      <c r="C979" s="123">
        <v>169</v>
      </c>
      <c r="D979" s="167"/>
      <c r="E979" s="167"/>
      <c r="F979" s="167"/>
      <c r="G979" s="167"/>
      <c r="H979" s="167"/>
      <c r="I979" s="167"/>
    </row>
    <row r="980" spans="1:9" x14ac:dyDescent="0.2">
      <c r="A980" s="167"/>
      <c r="B980" s="168" t="s">
        <v>5688</v>
      </c>
      <c r="C980" s="152" t="s">
        <v>6516</v>
      </c>
      <c r="D980" s="167"/>
      <c r="E980" s="167"/>
      <c r="F980" s="167"/>
      <c r="G980" s="167"/>
      <c r="H980" s="167"/>
      <c r="I980" s="167"/>
    </row>
    <row r="981" spans="1:9" x14ac:dyDescent="0.2">
      <c r="A981" s="167"/>
      <c r="B981" s="168"/>
      <c r="C981" s="168"/>
      <c r="D981" s="167"/>
      <c r="E981" s="167"/>
      <c r="F981" s="167"/>
      <c r="G981" s="167"/>
      <c r="H981" s="167"/>
      <c r="I981" s="167"/>
    </row>
    <row r="982" spans="1:9" x14ac:dyDescent="0.2">
      <c r="A982" s="183" t="s">
        <v>6819</v>
      </c>
      <c r="B982" s="111" t="s">
        <v>6373</v>
      </c>
      <c r="C982" s="168"/>
      <c r="D982" s="167"/>
      <c r="E982" s="167"/>
      <c r="F982" s="167"/>
      <c r="G982" s="167"/>
      <c r="H982" s="167"/>
      <c r="I982" s="167"/>
    </row>
    <row r="983" spans="1:9" x14ac:dyDescent="0.2">
      <c r="A983" s="167"/>
      <c r="B983" s="168" t="s">
        <v>5689</v>
      </c>
      <c r="C983" s="168" t="s">
        <v>6372</v>
      </c>
      <c r="D983" s="167"/>
      <c r="E983" s="167"/>
      <c r="F983" s="167"/>
      <c r="G983" s="167"/>
      <c r="H983" s="167"/>
      <c r="I983" s="167"/>
    </row>
    <row r="984" spans="1:9" x14ac:dyDescent="0.2">
      <c r="A984" s="167"/>
      <c r="B984" s="168" t="s">
        <v>5690</v>
      </c>
      <c r="C984" s="123">
        <v>123</v>
      </c>
      <c r="D984" s="167"/>
      <c r="E984" s="167"/>
      <c r="F984" s="167"/>
      <c r="G984" s="167"/>
      <c r="H984" s="167"/>
      <c r="I984" s="167"/>
    </row>
    <row r="985" spans="1:9" x14ac:dyDescent="0.2">
      <c r="A985" s="167"/>
      <c r="B985" s="168" t="s">
        <v>5688</v>
      </c>
      <c r="C985" s="152" t="s">
        <v>6371</v>
      </c>
      <c r="D985" s="167"/>
      <c r="E985" s="167"/>
      <c r="F985" s="167"/>
      <c r="G985" s="167"/>
      <c r="H985" s="167"/>
      <c r="I985" s="167"/>
    </row>
    <row r="986" spans="1:9" x14ac:dyDescent="0.2">
      <c r="A986" s="167"/>
      <c r="B986" s="168"/>
      <c r="C986" s="168"/>
      <c r="D986" s="167"/>
      <c r="E986" s="167"/>
      <c r="F986" s="167"/>
      <c r="G986" s="167"/>
      <c r="H986" s="167"/>
      <c r="I986" s="167"/>
    </row>
    <row r="987" spans="1:9" x14ac:dyDescent="0.2">
      <c r="A987" s="183" t="s">
        <v>6820</v>
      </c>
      <c r="B987" s="42" t="s">
        <v>6605</v>
      </c>
      <c r="C987" s="168"/>
      <c r="D987" s="167"/>
      <c r="E987" s="167"/>
      <c r="F987" s="167"/>
      <c r="G987" s="167"/>
      <c r="H987" s="167"/>
    </row>
    <row r="988" spans="1:9" x14ac:dyDescent="0.2">
      <c r="B988" s="167" t="s">
        <v>5689</v>
      </c>
      <c r="C988" s="168" t="s">
        <v>6604</v>
      </c>
      <c r="D988" s="167"/>
      <c r="E988" s="167"/>
      <c r="F988" s="167"/>
      <c r="G988" s="167"/>
      <c r="H988" s="167"/>
    </row>
    <row r="989" spans="1:9" x14ac:dyDescent="0.2">
      <c r="B989" s="167" t="s">
        <v>5690</v>
      </c>
      <c r="C989" s="123">
        <v>75</v>
      </c>
      <c r="D989" s="167"/>
      <c r="E989" s="167"/>
      <c r="F989" s="167"/>
      <c r="G989" s="167"/>
      <c r="H989" s="167"/>
    </row>
    <row r="990" spans="1:9" x14ac:dyDescent="0.2">
      <c r="B990" s="167" t="s">
        <v>5688</v>
      </c>
      <c r="C990" s="102" t="s">
        <v>6603</v>
      </c>
      <c r="D990" s="167"/>
      <c r="E990" s="167"/>
      <c r="F990" s="167"/>
      <c r="G990" s="167"/>
      <c r="H990" s="167"/>
    </row>
    <row r="991" spans="1:9" x14ac:dyDescent="0.2">
      <c r="B991" s="110"/>
    </row>
    <row r="992" spans="1:9" x14ac:dyDescent="0.2">
      <c r="A992" s="183" t="s">
        <v>6821</v>
      </c>
      <c r="B992" s="42" t="s">
        <v>6490</v>
      </c>
    </row>
    <row r="993" spans="1:9" x14ac:dyDescent="0.2">
      <c r="B993" s="109" t="s">
        <v>5689</v>
      </c>
      <c r="C993" s="110" t="s">
        <v>4139</v>
      </c>
    </row>
    <row r="994" spans="1:9" x14ac:dyDescent="0.2">
      <c r="B994" s="109" t="s">
        <v>5690</v>
      </c>
      <c r="C994" s="123">
        <v>66</v>
      </c>
    </row>
    <row r="995" spans="1:9" x14ac:dyDescent="0.2">
      <c r="B995" s="109" t="s">
        <v>5688</v>
      </c>
      <c r="C995" s="106" t="s">
        <v>6032</v>
      </c>
    </row>
    <row r="997" spans="1:9" x14ac:dyDescent="0.2">
      <c r="A997" s="183" t="s">
        <v>6822</v>
      </c>
      <c r="B997" s="42" t="s">
        <v>6487</v>
      </c>
      <c r="C997" s="168"/>
      <c r="D997" s="167"/>
      <c r="E997" s="167"/>
      <c r="F997" s="167"/>
      <c r="G997" s="167"/>
      <c r="H997" s="167"/>
      <c r="I997" s="167"/>
    </row>
    <row r="998" spans="1:9" x14ac:dyDescent="0.2">
      <c r="A998" s="167"/>
      <c r="B998" s="167" t="s">
        <v>5689</v>
      </c>
      <c r="C998" s="168" t="s">
        <v>6486</v>
      </c>
      <c r="D998" s="167"/>
      <c r="E998" s="167"/>
      <c r="F998" s="167"/>
      <c r="G998" s="167"/>
      <c r="H998" s="167"/>
      <c r="I998" s="167"/>
    </row>
    <row r="999" spans="1:9" x14ac:dyDescent="0.2">
      <c r="A999" s="167"/>
      <c r="B999" s="167" t="s">
        <v>5690</v>
      </c>
      <c r="C999" s="123">
        <v>29</v>
      </c>
      <c r="D999" s="167"/>
      <c r="E999" s="167"/>
      <c r="F999" s="167"/>
      <c r="G999" s="167"/>
      <c r="H999" s="167"/>
      <c r="I999" s="167"/>
    </row>
    <row r="1000" spans="1:9" x14ac:dyDescent="0.2">
      <c r="A1000" s="167"/>
      <c r="B1000" s="167" t="s">
        <v>5688</v>
      </c>
      <c r="C1000" s="152" t="s">
        <v>6488</v>
      </c>
      <c r="D1000" s="167"/>
      <c r="E1000" s="167"/>
      <c r="F1000" s="167"/>
      <c r="G1000" s="167"/>
      <c r="H1000" s="167"/>
      <c r="I1000" s="167"/>
    </row>
    <row r="1001" spans="1:9" x14ac:dyDescent="0.2">
      <c r="A1001" s="167"/>
      <c r="B1001" s="167"/>
      <c r="C1001" s="168"/>
      <c r="D1001" s="167"/>
      <c r="E1001" s="167"/>
      <c r="F1001" s="167"/>
      <c r="G1001" s="167"/>
      <c r="H1001" s="167"/>
      <c r="I1001" s="167"/>
    </row>
    <row r="1002" spans="1:9" x14ac:dyDescent="0.2">
      <c r="A1002" s="183" t="s">
        <v>6823</v>
      </c>
      <c r="B1002" s="111" t="s">
        <v>6469</v>
      </c>
    </row>
    <row r="1003" spans="1:9" x14ac:dyDescent="0.2">
      <c r="B1003" s="110" t="s">
        <v>5689</v>
      </c>
      <c r="C1003" s="110" t="s">
        <v>6374</v>
      </c>
    </row>
    <row r="1004" spans="1:9" x14ac:dyDescent="0.2">
      <c r="B1004" s="110" t="s">
        <v>5690</v>
      </c>
      <c r="C1004" s="123">
        <v>6</v>
      </c>
    </row>
    <row r="1005" spans="1:9" ht="15" x14ac:dyDescent="0.25">
      <c r="B1005" s="110" t="s">
        <v>5688</v>
      </c>
      <c r="C1005" s="159" t="s">
        <v>6470</v>
      </c>
    </row>
    <row r="1006" spans="1:9" x14ac:dyDescent="0.2">
      <c r="B1006" s="110"/>
    </row>
    <row r="1007" spans="1:9" x14ac:dyDescent="0.2">
      <c r="A1007" s="183" t="s">
        <v>6825</v>
      </c>
      <c r="B1007" s="111" t="s">
        <v>6546</v>
      </c>
      <c r="C1007" s="168"/>
      <c r="D1007" s="167"/>
      <c r="E1007" s="167"/>
      <c r="F1007" s="167"/>
      <c r="G1007" s="167"/>
      <c r="H1007" s="167"/>
      <c r="I1007" s="167"/>
    </row>
    <row r="1008" spans="1:9" x14ac:dyDescent="0.2">
      <c r="A1008" s="167"/>
      <c r="B1008" s="168" t="s">
        <v>5689</v>
      </c>
      <c r="C1008" s="168" t="s">
        <v>6548</v>
      </c>
      <c r="D1008" s="167"/>
      <c r="E1008" s="167"/>
      <c r="F1008" s="167"/>
      <c r="G1008" s="167"/>
      <c r="H1008" s="167"/>
      <c r="I1008" s="167"/>
    </row>
    <row r="1009" spans="1:9" x14ac:dyDescent="0.2">
      <c r="A1009" s="167"/>
      <c r="B1009" s="168" t="s">
        <v>5690</v>
      </c>
      <c r="C1009" s="123">
        <v>878</v>
      </c>
      <c r="D1009" s="167"/>
      <c r="E1009" s="167"/>
      <c r="F1009" s="167"/>
      <c r="G1009" s="167"/>
      <c r="H1009" s="167"/>
      <c r="I1009" s="167"/>
    </row>
    <row r="1010" spans="1:9" ht="15" x14ac:dyDescent="0.25">
      <c r="A1010" s="167"/>
      <c r="B1010" s="168" t="s">
        <v>5688</v>
      </c>
      <c r="C1010" s="159" t="s">
        <v>6547</v>
      </c>
      <c r="D1010" s="167"/>
      <c r="E1010" s="167"/>
      <c r="F1010" s="167"/>
      <c r="G1010" s="167"/>
      <c r="H1010" s="167"/>
      <c r="I1010" s="167"/>
    </row>
    <row r="1011" spans="1:9" x14ac:dyDescent="0.2">
      <c r="A1011" s="167"/>
      <c r="B1011" s="168"/>
      <c r="C1011" s="168"/>
      <c r="D1011" s="167"/>
      <c r="E1011" s="167"/>
      <c r="F1011" s="167"/>
      <c r="G1011" s="167"/>
      <c r="H1011" s="167"/>
      <c r="I1011" s="167"/>
    </row>
    <row r="1012" spans="1:9" x14ac:dyDescent="0.2">
      <c r="A1012" s="183" t="s">
        <v>6826</v>
      </c>
      <c r="B1012" s="42" t="s">
        <v>6453</v>
      </c>
      <c r="C1012" s="168"/>
      <c r="D1012" s="167"/>
      <c r="E1012" s="167"/>
      <c r="F1012" s="167"/>
      <c r="G1012" s="167"/>
      <c r="H1012" s="167"/>
      <c r="I1012" s="167"/>
    </row>
    <row r="1013" spans="1:9" x14ac:dyDescent="0.2">
      <c r="A1013" s="167"/>
      <c r="B1013" s="167" t="s">
        <v>5689</v>
      </c>
      <c r="C1013" s="168" t="s">
        <v>6072</v>
      </c>
      <c r="D1013" s="167"/>
      <c r="E1013" s="167"/>
      <c r="F1013" s="167"/>
      <c r="G1013" s="167"/>
      <c r="H1013" s="167"/>
      <c r="I1013" s="167"/>
    </row>
    <row r="1014" spans="1:9" x14ac:dyDescent="0.2">
      <c r="A1014" s="167"/>
      <c r="B1014" s="167" t="s">
        <v>5690</v>
      </c>
      <c r="C1014" s="123">
        <v>501</v>
      </c>
      <c r="D1014" s="167"/>
      <c r="E1014" s="167"/>
      <c r="F1014" s="167"/>
      <c r="G1014" s="167"/>
      <c r="H1014" s="167"/>
      <c r="I1014" s="167"/>
    </row>
    <row r="1015" spans="1:9" x14ac:dyDescent="0.2">
      <c r="A1015" s="167"/>
      <c r="B1015" s="167" t="s">
        <v>5688</v>
      </c>
      <c r="C1015" s="152" t="s">
        <v>6452</v>
      </c>
      <c r="D1015" s="167"/>
      <c r="E1015" s="167"/>
      <c r="F1015" s="167"/>
      <c r="G1015" s="167"/>
      <c r="H1015" s="167"/>
      <c r="I1015" s="167"/>
    </row>
    <row r="1016" spans="1:9" x14ac:dyDescent="0.2">
      <c r="A1016" s="167"/>
      <c r="B1016" s="167"/>
      <c r="C1016" s="152"/>
      <c r="D1016" s="167"/>
      <c r="E1016" s="167"/>
      <c r="F1016" s="167"/>
      <c r="G1016" s="167"/>
      <c r="H1016" s="167"/>
      <c r="I1016" s="167"/>
    </row>
    <row r="1017" spans="1:9" x14ac:dyDescent="0.2">
      <c r="A1017" s="167"/>
      <c r="B1017" s="111" t="s">
        <v>6545</v>
      </c>
      <c r="C1017" s="168"/>
      <c r="D1017" s="167"/>
      <c r="E1017" s="167"/>
      <c r="F1017" s="167"/>
      <c r="G1017" s="167"/>
      <c r="H1017" s="167"/>
      <c r="I1017" s="167"/>
    </row>
    <row r="1018" spans="1:9" x14ac:dyDescent="0.2">
      <c r="A1018" s="167"/>
      <c r="B1018" s="168" t="s">
        <v>5689</v>
      </c>
      <c r="C1018" s="168" t="s">
        <v>6520</v>
      </c>
      <c r="D1018" s="167"/>
      <c r="E1018" s="167"/>
      <c r="F1018" s="167"/>
      <c r="G1018" s="167"/>
      <c r="H1018" s="167"/>
      <c r="I1018" s="167"/>
    </row>
    <row r="1019" spans="1:9" x14ac:dyDescent="0.2">
      <c r="A1019" s="167"/>
      <c r="B1019" s="168" t="s">
        <v>5690</v>
      </c>
      <c r="C1019" s="123">
        <v>75</v>
      </c>
      <c r="D1019" s="167"/>
      <c r="E1019" s="167"/>
      <c r="F1019" s="167"/>
      <c r="G1019" s="167"/>
      <c r="H1019" s="167"/>
      <c r="I1019" s="167"/>
    </row>
    <row r="1020" spans="1:9" ht="15" x14ac:dyDescent="0.25">
      <c r="A1020" s="167"/>
      <c r="B1020" s="168" t="s">
        <v>5688</v>
      </c>
      <c r="C1020" s="159" t="s">
        <v>6521</v>
      </c>
      <c r="D1020" s="167"/>
      <c r="E1020" s="167"/>
      <c r="F1020" s="167"/>
      <c r="G1020" s="167"/>
      <c r="H1020" s="167"/>
      <c r="I1020" s="167"/>
    </row>
    <row r="1021" spans="1:9" x14ac:dyDescent="0.2">
      <c r="A1021" s="167"/>
      <c r="B1021" s="168"/>
      <c r="C1021" s="168"/>
      <c r="D1021" s="167"/>
      <c r="E1021" s="167"/>
      <c r="F1021" s="167"/>
      <c r="G1021" s="167"/>
      <c r="H1021" s="167"/>
      <c r="I1021" s="167"/>
    </row>
    <row r="1022" spans="1:9" x14ac:dyDescent="0.2">
      <c r="A1022" s="167"/>
      <c r="B1022" s="42" t="s">
        <v>6380</v>
      </c>
      <c r="C1022" s="168"/>
      <c r="D1022" s="167"/>
      <c r="E1022" s="167"/>
      <c r="F1022" s="167"/>
      <c r="G1022" s="167"/>
      <c r="H1022" s="167"/>
      <c r="I1022" s="167"/>
    </row>
    <row r="1023" spans="1:9" x14ac:dyDescent="0.2">
      <c r="A1023" s="167"/>
      <c r="B1023" s="167" t="s">
        <v>5689</v>
      </c>
      <c r="C1023" s="168" t="s">
        <v>6359</v>
      </c>
      <c r="D1023" s="167"/>
      <c r="E1023" s="167"/>
      <c r="F1023" s="167"/>
      <c r="G1023" s="167"/>
      <c r="H1023" s="167"/>
      <c r="I1023" s="167"/>
    </row>
    <row r="1024" spans="1:9" x14ac:dyDescent="0.2">
      <c r="A1024" s="167"/>
      <c r="B1024" s="167" t="s">
        <v>5690</v>
      </c>
      <c r="C1024" s="206" t="s">
        <v>1</v>
      </c>
      <c r="D1024" s="167"/>
      <c r="E1024" s="167"/>
      <c r="F1024" s="167"/>
      <c r="G1024" s="167"/>
      <c r="H1024" s="167"/>
      <c r="I1024" s="167"/>
    </row>
    <row r="1025" spans="1:9" x14ac:dyDescent="0.2">
      <c r="A1025" s="167"/>
      <c r="B1025" s="167" t="s">
        <v>5688</v>
      </c>
      <c r="C1025" s="152" t="s">
        <v>6379</v>
      </c>
      <c r="D1025" s="167"/>
      <c r="E1025" s="167"/>
      <c r="F1025" s="167"/>
      <c r="G1025" s="167"/>
      <c r="H1025" s="167"/>
      <c r="I1025" s="167"/>
    </row>
    <row r="1026" spans="1:9" x14ac:dyDescent="0.2">
      <c r="A1026" s="167"/>
      <c r="B1026" s="167"/>
      <c r="C1026" s="168"/>
      <c r="D1026" s="167"/>
      <c r="E1026" s="167"/>
      <c r="F1026" s="167"/>
      <c r="G1026" s="167"/>
      <c r="H1026" s="167"/>
      <c r="I1026" s="167"/>
    </row>
    <row r="1027" spans="1:9" x14ac:dyDescent="0.2">
      <c r="A1027" s="167"/>
      <c r="B1027" s="42" t="s">
        <v>6536</v>
      </c>
      <c r="C1027" s="168"/>
      <c r="D1027" s="167"/>
      <c r="E1027" s="167"/>
      <c r="F1027" s="167"/>
      <c r="G1027" s="167"/>
      <c r="H1027" s="167"/>
      <c r="I1027" s="167"/>
    </row>
    <row r="1028" spans="1:9" x14ac:dyDescent="0.2">
      <c r="A1028" s="167"/>
      <c r="B1028" s="167" t="s">
        <v>5689</v>
      </c>
      <c r="C1028" s="168" t="s">
        <v>0</v>
      </c>
      <c r="D1028" s="167"/>
      <c r="E1028" s="167"/>
      <c r="F1028" s="167"/>
      <c r="G1028" s="167"/>
      <c r="H1028" s="167"/>
      <c r="I1028" s="167"/>
    </row>
    <row r="1029" spans="1:9" x14ac:dyDescent="0.2">
      <c r="A1029" s="167"/>
      <c r="B1029" s="167" t="s">
        <v>5690</v>
      </c>
      <c r="C1029" s="206" t="s">
        <v>1</v>
      </c>
      <c r="D1029" s="167"/>
      <c r="E1029" s="167"/>
      <c r="F1029" s="167"/>
      <c r="G1029" s="167"/>
      <c r="H1029" s="167"/>
      <c r="I1029" s="167"/>
    </row>
    <row r="1030" spans="1:9" ht="15" x14ac:dyDescent="0.25">
      <c r="A1030" s="167"/>
      <c r="B1030" s="167" t="s">
        <v>5688</v>
      </c>
      <c r="C1030" s="159" t="s">
        <v>6537</v>
      </c>
      <c r="D1030" s="168"/>
      <c r="E1030" s="167"/>
      <c r="F1030" s="167"/>
      <c r="G1030" s="167"/>
      <c r="H1030" s="167"/>
      <c r="I1030" s="167"/>
    </row>
    <row r="1031" spans="1:9" x14ac:dyDescent="0.2">
      <c r="A1031" s="167"/>
      <c r="B1031" s="167"/>
      <c r="C1031" s="168"/>
      <c r="D1031" s="167"/>
      <c r="E1031" s="167"/>
      <c r="F1031" s="167"/>
      <c r="G1031" s="167"/>
      <c r="H1031" s="167"/>
      <c r="I1031" s="167"/>
    </row>
    <row r="1032" spans="1:9" x14ac:dyDescent="0.2">
      <c r="A1032" s="167"/>
      <c r="B1032" s="42" t="s">
        <v>6558</v>
      </c>
      <c r="C1032" s="168"/>
      <c r="D1032" s="167"/>
      <c r="E1032" s="167"/>
      <c r="F1032" s="167"/>
      <c r="G1032" s="167"/>
      <c r="H1032" s="167"/>
      <c r="I1032" s="167"/>
    </row>
    <row r="1033" spans="1:9" x14ac:dyDescent="0.2">
      <c r="A1033" s="167"/>
      <c r="B1033" s="167" t="s">
        <v>5689</v>
      </c>
      <c r="C1033" s="168" t="s">
        <v>6559</v>
      </c>
      <c r="D1033" s="167"/>
      <c r="E1033" s="167"/>
      <c r="F1033" s="167"/>
      <c r="G1033" s="167"/>
      <c r="H1033" s="167"/>
      <c r="I1033" s="167"/>
    </row>
    <row r="1034" spans="1:9" x14ac:dyDescent="0.2">
      <c r="A1034" s="167"/>
      <c r="B1034" s="167" t="s">
        <v>5690</v>
      </c>
      <c r="C1034" s="123">
        <v>29</v>
      </c>
      <c r="D1034" s="167"/>
      <c r="E1034" s="167"/>
      <c r="F1034" s="167"/>
      <c r="G1034" s="167"/>
      <c r="H1034" s="167"/>
      <c r="I1034" s="167"/>
    </row>
    <row r="1035" spans="1:9" ht="15" x14ac:dyDescent="0.25">
      <c r="A1035" s="167"/>
      <c r="B1035" s="167" t="s">
        <v>5688</v>
      </c>
      <c r="C1035" s="159" t="s">
        <v>6560</v>
      </c>
      <c r="D1035" s="167"/>
      <c r="E1035" s="167"/>
      <c r="F1035" s="167"/>
      <c r="G1035" s="167"/>
      <c r="H1035" s="167"/>
      <c r="I1035" s="167"/>
    </row>
    <row r="1036" spans="1:9" x14ac:dyDescent="0.2">
      <c r="A1036" s="167"/>
      <c r="B1036" s="167"/>
      <c r="C1036" s="168"/>
      <c r="D1036" s="167"/>
      <c r="E1036" s="167"/>
      <c r="F1036" s="167"/>
      <c r="G1036" s="167"/>
      <c r="H1036" s="167"/>
      <c r="I1036" s="167"/>
    </row>
    <row r="1037" spans="1:9" x14ac:dyDescent="0.2">
      <c r="B1037" s="111" t="s">
        <v>6543</v>
      </c>
    </row>
    <row r="1038" spans="1:9" x14ac:dyDescent="0.2">
      <c r="B1038" s="168" t="s">
        <v>5689</v>
      </c>
      <c r="C1038" s="168" t="s">
        <v>6541</v>
      </c>
    </row>
    <row r="1039" spans="1:9" x14ac:dyDescent="0.2">
      <c r="B1039" s="168" t="s">
        <v>5690</v>
      </c>
      <c r="C1039" s="123">
        <v>93</v>
      </c>
    </row>
    <row r="1040" spans="1:9" ht="15" x14ac:dyDescent="0.25">
      <c r="B1040" s="168" t="s">
        <v>5688</v>
      </c>
      <c r="C1040" s="159" t="s">
        <v>6542</v>
      </c>
    </row>
    <row r="1041" spans="1:9" x14ac:dyDescent="0.2">
      <c r="A1041" s="167"/>
      <c r="B1041" s="167"/>
      <c r="C1041" s="168"/>
      <c r="D1041" s="167"/>
      <c r="E1041" s="167"/>
      <c r="F1041" s="167"/>
      <c r="G1041" s="167"/>
      <c r="H1041" s="167"/>
      <c r="I1041" s="167"/>
    </row>
    <row r="1042" spans="1:9" x14ac:dyDescent="0.2">
      <c r="A1042" s="167"/>
      <c r="B1042" s="42" t="s">
        <v>6509</v>
      </c>
      <c r="C1042" s="168"/>
      <c r="D1042" s="167"/>
      <c r="E1042" s="167"/>
      <c r="F1042" s="167"/>
      <c r="G1042" s="167"/>
      <c r="H1042" s="167"/>
      <c r="I1042" s="167"/>
    </row>
    <row r="1043" spans="1:9" x14ac:dyDescent="0.2">
      <c r="A1043" s="167"/>
      <c r="B1043" s="167" t="s">
        <v>5689</v>
      </c>
      <c r="C1043" s="168" t="s">
        <v>6511</v>
      </c>
      <c r="D1043" s="167"/>
      <c r="E1043" s="167"/>
      <c r="F1043" s="167"/>
      <c r="G1043" s="167"/>
      <c r="H1043" s="167"/>
      <c r="I1043" s="167"/>
    </row>
    <row r="1044" spans="1:9" x14ac:dyDescent="0.2">
      <c r="A1044" s="167"/>
      <c r="B1044" s="167" t="s">
        <v>5690</v>
      </c>
      <c r="C1044" s="123">
        <v>35</v>
      </c>
      <c r="D1044" s="167"/>
      <c r="E1044" s="167"/>
      <c r="F1044" s="167"/>
      <c r="G1044" s="167"/>
      <c r="H1044" s="167"/>
      <c r="I1044" s="167"/>
    </row>
    <row r="1045" spans="1:9" x14ac:dyDescent="0.2">
      <c r="A1045" s="167"/>
      <c r="B1045" s="167" t="s">
        <v>5688</v>
      </c>
      <c r="C1045" s="152" t="s">
        <v>6512</v>
      </c>
      <c r="D1045" s="167"/>
      <c r="E1045" s="167"/>
      <c r="F1045" s="167"/>
      <c r="G1045" s="167"/>
      <c r="H1045" s="167"/>
      <c r="I1045" s="167"/>
    </row>
    <row r="1046" spans="1:9" x14ac:dyDescent="0.2">
      <c r="A1046" s="167"/>
      <c r="B1046" s="167"/>
      <c r="C1046" s="168"/>
      <c r="D1046" s="167"/>
      <c r="E1046" s="167"/>
      <c r="F1046" s="167"/>
      <c r="G1046" s="167"/>
      <c r="H1046" s="167"/>
      <c r="I1046" s="167"/>
    </row>
    <row r="1047" spans="1:9" x14ac:dyDescent="0.2">
      <c r="A1047" s="167"/>
      <c r="B1047" s="42" t="s">
        <v>6555</v>
      </c>
      <c r="C1047" s="168"/>
      <c r="D1047" s="167"/>
      <c r="E1047" s="167"/>
      <c r="F1047" s="167"/>
      <c r="G1047" s="167"/>
      <c r="H1047" s="167"/>
      <c r="I1047" s="167"/>
    </row>
    <row r="1048" spans="1:9" x14ac:dyDescent="0.2">
      <c r="A1048" s="167"/>
      <c r="B1048" s="167" t="s">
        <v>5689</v>
      </c>
      <c r="C1048" s="168" t="s">
        <v>6557</v>
      </c>
      <c r="D1048" s="167"/>
      <c r="E1048" s="167"/>
      <c r="F1048" s="167"/>
      <c r="G1048" s="167"/>
      <c r="H1048" s="167"/>
      <c r="I1048" s="167"/>
    </row>
    <row r="1049" spans="1:9" x14ac:dyDescent="0.2">
      <c r="A1049" s="167"/>
      <c r="B1049" s="167" t="s">
        <v>5690</v>
      </c>
      <c r="C1049" s="123">
        <v>20</v>
      </c>
      <c r="D1049" s="167"/>
      <c r="E1049" s="167"/>
      <c r="F1049" s="167"/>
      <c r="G1049" s="167"/>
      <c r="H1049" s="167"/>
      <c r="I1049" s="167"/>
    </row>
    <row r="1050" spans="1:9" ht="15" x14ac:dyDescent="0.25">
      <c r="A1050" s="167"/>
      <c r="B1050" s="167" t="s">
        <v>5688</v>
      </c>
      <c r="C1050" s="159" t="s">
        <v>6556</v>
      </c>
      <c r="D1050" s="167"/>
      <c r="E1050" s="167"/>
      <c r="F1050" s="167"/>
      <c r="G1050" s="167"/>
      <c r="H1050" s="167"/>
      <c r="I1050" s="167"/>
    </row>
    <row r="1051" spans="1:9" x14ac:dyDescent="0.2">
      <c r="A1051" s="167"/>
      <c r="B1051" s="167"/>
      <c r="C1051" s="168"/>
      <c r="D1051" s="167"/>
      <c r="E1051" s="167"/>
      <c r="F1051" s="167"/>
      <c r="G1051" s="167"/>
      <c r="H1051" s="167"/>
      <c r="I1051" s="167"/>
    </row>
    <row r="1052" spans="1:9" x14ac:dyDescent="0.2">
      <c r="A1052" s="167"/>
      <c r="B1052" s="42" t="s">
        <v>6510</v>
      </c>
      <c r="C1052" s="168"/>
      <c r="D1052" s="167"/>
      <c r="E1052" s="167"/>
      <c r="F1052" s="167"/>
      <c r="G1052" s="167"/>
      <c r="H1052" s="167"/>
      <c r="I1052" s="167"/>
    </row>
    <row r="1053" spans="1:9" x14ac:dyDescent="0.2">
      <c r="A1053" s="167"/>
      <c r="B1053" s="167" t="s">
        <v>5689</v>
      </c>
      <c r="C1053" s="168" t="s">
        <v>6447</v>
      </c>
      <c r="D1053" s="167"/>
      <c r="E1053" s="167"/>
      <c r="F1053" s="167"/>
      <c r="G1053" s="167"/>
      <c r="H1053" s="167"/>
      <c r="I1053" s="167"/>
    </row>
    <row r="1054" spans="1:9" x14ac:dyDescent="0.2">
      <c r="A1054" s="167"/>
      <c r="B1054" s="167" t="s">
        <v>5690</v>
      </c>
      <c r="C1054" s="123">
        <v>2</v>
      </c>
      <c r="D1054" s="167"/>
      <c r="E1054" s="167"/>
      <c r="F1054" s="167"/>
      <c r="G1054" s="167"/>
      <c r="H1054" s="167"/>
      <c r="I1054" s="167"/>
    </row>
    <row r="1055" spans="1:9" x14ac:dyDescent="0.2">
      <c r="A1055" s="167"/>
      <c r="B1055" s="167" t="s">
        <v>5688</v>
      </c>
      <c r="C1055" s="152" t="s">
        <v>6455</v>
      </c>
      <c r="D1055" s="167"/>
      <c r="E1055" s="167"/>
      <c r="F1055" s="167"/>
      <c r="G1055" s="167"/>
      <c r="H1055" s="167"/>
      <c r="I1055" s="167"/>
    </row>
    <row r="1056" spans="1:9" x14ac:dyDescent="0.2">
      <c r="A1056" s="167"/>
      <c r="B1056" s="167"/>
      <c r="C1056" s="168"/>
      <c r="D1056" s="167"/>
      <c r="E1056" s="167"/>
      <c r="F1056" s="167"/>
      <c r="G1056" s="167"/>
      <c r="H1056" s="167"/>
      <c r="I1056" s="167"/>
    </row>
    <row r="1057" spans="1:9" x14ac:dyDescent="0.2">
      <c r="A1057" s="167"/>
      <c r="B1057" s="42" t="s">
        <v>6456</v>
      </c>
      <c r="C1057" s="168"/>
      <c r="D1057" s="167"/>
      <c r="E1057" s="167"/>
      <c r="F1057" s="167"/>
      <c r="G1057" s="167"/>
      <c r="H1057" s="167"/>
      <c r="I1057" s="167"/>
    </row>
    <row r="1058" spans="1:9" x14ac:dyDescent="0.2">
      <c r="A1058" s="167"/>
      <c r="B1058" s="167" t="s">
        <v>5689</v>
      </c>
      <c r="C1058" s="168" t="s">
        <v>6447</v>
      </c>
      <c r="D1058" s="167"/>
      <c r="E1058" s="167"/>
      <c r="F1058" s="167"/>
      <c r="G1058" s="167"/>
      <c r="H1058" s="167"/>
      <c r="I1058" s="167"/>
    </row>
    <row r="1059" spans="1:9" x14ac:dyDescent="0.2">
      <c r="A1059" s="167"/>
      <c r="B1059" s="167" t="s">
        <v>5690</v>
      </c>
      <c r="C1059" s="123">
        <v>1</v>
      </c>
      <c r="D1059" s="167"/>
      <c r="E1059" s="167"/>
      <c r="F1059" s="167"/>
      <c r="G1059" s="167"/>
      <c r="H1059" s="167"/>
      <c r="I1059" s="167"/>
    </row>
    <row r="1060" spans="1:9" x14ac:dyDescent="0.2">
      <c r="A1060" s="167"/>
      <c r="B1060" s="167" t="s">
        <v>5688</v>
      </c>
      <c r="C1060" s="152" t="s">
        <v>6457</v>
      </c>
      <c r="D1060" s="167"/>
      <c r="E1060" s="167"/>
      <c r="F1060" s="167"/>
      <c r="G1060" s="167"/>
      <c r="H1060" s="167"/>
      <c r="I1060" s="167"/>
    </row>
    <row r="1061" spans="1:9" x14ac:dyDescent="0.2">
      <c r="A1061" s="167"/>
      <c r="B1061" s="167"/>
      <c r="C1061" s="168"/>
      <c r="D1061" s="167"/>
      <c r="E1061" s="167"/>
      <c r="F1061" s="167"/>
      <c r="G1061" s="167"/>
      <c r="H1061" s="167"/>
      <c r="I1061" s="167"/>
    </row>
    <row r="1062" spans="1:9" x14ac:dyDescent="0.2">
      <c r="A1062" s="167"/>
      <c r="B1062" s="111" t="s">
        <v>6828</v>
      </c>
      <c r="C1062" s="168"/>
      <c r="D1062" s="167"/>
      <c r="E1062" s="167"/>
      <c r="F1062" s="167"/>
      <c r="G1062" s="167"/>
      <c r="H1062" s="167"/>
      <c r="I1062" s="167"/>
    </row>
    <row r="1063" spans="1:9" x14ac:dyDescent="0.2">
      <c r="A1063" s="167"/>
      <c r="B1063" s="168" t="s">
        <v>5689</v>
      </c>
      <c r="C1063" s="168" t="s">
        <v>6361</v>
      </c>
      <c r="D1063" s="167"/>
      <c r="E1063" s="167"/>
      <c r="F1063" s="167"/>
      <c r="G1063" s="167"/>
      <c r="H1063" s="167"/>
      <c r="I1063" s="167"/>
    </row>
    <row r="1064" spans="1:9" x14ac:dyDescent="0.2">
      <c r="A1064" s="167"/>
      <c r="B1064" s="168" t="s">
        <v>5690</v>
      </c>
      <c r="C1064" s="123">
        <v>5</v>
      </c>
      <c r="D1064" s="167"/>
      <c r="E1064" s="167"/>
      <c r="F1064" s="167"/>
      <c r="G1064" s="167"/>
      <c r="H1064" s="167"/>
      <c r="I1064" s="167"/>
    </row>
    <row r="1065" spans="1:9" x14ac:dyDescent="0.2">
      <c r="A1065" s="167"/>
      <c r="B1065" s="168" t="s">
        <v>5688</v>
      </c>
      <c r="C1065" s="102" t="s">
        <v>6365</v>
      </c>
      <c r="D1065" s="167"/>
      <c r="E1065" s="167"/>
      <c r="F1065" s="167"/>
      <c r="G1065" s="167"/>
      <c r="H1065" s="167"/>
      <c r="I1065" s="167"/>
    </row>
    <row r="1066" spans="1:9" x14ac:dyDescent="0.2">
      <c r="A1066" s="167"/>
      <c r="B1066" s="168"/>
      <c r="C1066" s="102"/>
      <c r="D1066" s="167"/>
      <c r="E1066" s="167"/>
      <c r="F1066" s="167"/>
      <c r="G1066" s="167"/>
      <c r="H1066" s="167"/>
      <c r="I1066" s="167"/>
    </row>
    <row r="1067" spans="1:9" x14ac:dyDescent="0.2">
      <c r="A1067" s="167"/>
      <c r="B1067" s="111" t="s">
        <v>6829</v>
      </c>
      <c r="C1067" s="102"/>
      <c r="D1067" s="167"/>
      <c r="E1067" s="167"/>
      <c r="F1067" s="167"/>
      <c r="G1067" s="167"/>
      <c r="H1067" s="167"/>
      <c r="I1067" s="167"/>
    </row>
    <row r="1068" spans="1:9" x14ac:dyDescent="0.2">
      <c r="A1068" s="167"/>
      <c r="B1068" s="202" t="s">
        <v>5689</v>
      </c>
      <c r="C1068" s="202" t="s">
        <v>6553</v>
      </c>
      <c r="D1068" s="167"/>
      <c r="E1068" s="167"/>
      <c r="F1068" s="167"/>
      <c r="G1068" s="167"/>
      <c r="H1068" s="167"/>
      <c r="I1068" s="167"/>
    </row>
    <row r="1069" spans="1:9" x14ac:dyDescent="0.2">
      <c r="A1069" s="167"/>
      <c r="B1069" s="202" t="s">
        <v>5690</v>
      </c>
      <c r="C1069" s="102"/>
      <c r="D1069" s="167"/>
      <c r="E1069" s="167"/>
      <c r="F1069" s="167"/>
      <c r="G1069" s="167"/>
      <c r="H1069" s="167"/>
      <c r="I1069" s="167"/>
    </row>
    <row r="1070" spans="1:9" ht="15" x14ac:dyDescent="0.25">
      <c r="A1070" s="167"/>
      <c r="B1070" s="202" t="s">
        <v>5688</v>
      </c>
      <c r="C1070" s="159" t="s">
        <v>6830</v>
      </c>
      <c r="D1070" s="167"/>
      <c r="E1070" s="167"/>
      <c r="F1070" s="167"/>
      <c r="G1070" s="167"/>
      <c r="H1070" s="167"/>
      <c r="I1070" s="167"/>
    </row>
    <row r="1071" spans="1:9" x14ac:dyDescent="0.2">
      <c r="A1071" s="167"/>
      <c r="B1071" s="168"/>
      <c r="C1071" s="168"/>
      <c r="D1071" s="167"/>
      <c r="E1071" s="167"/>
      <c r="F1071" s="167"/>
      <c r="G1071" s="167"/>
      <c r="H1071" s="167"/>
      <c r="I1071" s="167"/>
    </row>
    <row r="1072" spans="1:9" x14ac:dyDescent="0.2">
      <c r="A1072" s="167" t="s">
        <v>6366</v>
      </c>
      <c r="B1072" s="111" t="s">
        <v>6362</v>
      </c>
      <c r="C1072" s="168"/>
      <c r="D1072" s="167"/>
      <c r="E1072" s="167"/>
      <c r="F1072" s="167"/>
      <c r="G1072" s="167"/>
      <c r="H1072" s="167"/>
      <c r="I1072" s="167"/>
    </row>
    <row r="1073" spans="1:9" x14ac:dyDescent="0.2">
      <c r="A1073" s="167"/>
      <c r="B1073" s="168" t="s">
        <v>5689</v>
      </c>
      <c r="C1073" s="168" t="s">
        <v>6363</v>
      </c>
      <c r="D1073" s="167"/>
      <c r="E1073" s="167"/>
      <c r="F1073" s="167"/>
      <c r="G1073" s="167"/>
      <c r="H1073" s="167"/>
      <c r="I1073" s="167"/>
    </row>
    <row r="1074" spans="1:9" x14ac:dyDescent="0.2">
      <c r="A1074" s="167"/>
      <c r="B1074" s="168" t="s">
        <v>5690</v>
      </c>
      <c r="C1074" s="123">
        <v>84</v>
      </c>
      <c r="D1074" s="167"/>
      <c r="E1074" s="167"/>
      <c r="F1074" s="167"/>
      <c r="G1074" s="167"/>
      <c r="H1074" s="167"/>
      <c r="I1074" s="167"/>
    </row>
    <row r="1075" spans="1:9" x14ac:dyDescent="0.2">
      <c r="A1075" s="167"/>
      <c r="B1075" s="168" t="s">
        <v>5688</v>
      </c>
      <c r="C1075" s="102" t="s">
        <v>6364</v>
      </c>
      <c r="D1075" s="167"/>
      <c r="E1075" s="167"/>
      <c r="F1075" s="167"/>
      <c r="G1075" s="167"/>
      <c r="H1075" s="167"/>
      <c r="I1075" s="167"/>
    </row>
    <row r="1076" spans="1:9" x14ac:dyDescent="0.2">
      <c r="A1076" s="167"/>
      <c r="B1076" s="168"/>
      <c r="C1076" s="168"/>
      <c r="D1076" s="167"/>
      <c r="E1076" s="167"/>
      <c r="F1076" s="167"/>
      <c r="G1076" s="167"/>
      <c r="H1076" s="167"/>
      <c r="I1076" s="167"/>
    </row>
    <row r="1077" spans="1:9" x14ac:dyDescent="0.2">
      <c r="A1077" s="167"/>
      <c r="B1077" s="42" t="s">
        <v>6827</v>
      </c>
      <c r="C1077" s="168"/>
      <c r="D1077" s="167"/>
      <c r="E1077" s="167"/>
      <c r="F1077" s="167"/>
      <c r="G1077" s="167"/>
      <c r="H1077" s="167"/>
      <c r="I1077" s="167"/>
    </row>
    <row r="1078" spans="1:9" x14ac:dyDescent="0.2">
      <c r="A1078" s="167"/>
      <c r="B1078" s="167" t="s">
        <v>5689</v>
      </c>
      <c r="C1078" s="168" t="s">
        <v>6073</v>
      </c>
      <c r="D1078" s="167"/>
      <c r="E1078" s="167"/>
      <c r="F1078" s="167"/>
      <c r="G1078" s="167"/>
      <c r="H1078" s="167"/>
      <c r="I1078" s="167"/>
    </row>
    <row r="1079" spans="1:9" x14ac:dyDescent="0.2">
      <c r="A1079" s="167"/>
      <c r="B1079" s="167" t="s">
        <v>5690</v>
      </c>
      <c r="C1079" s="123">
        <v>53</v>
      </c>
      <c r="D1079" s="167"/>
      <c r="E1079" s="167"/>
      <c r="F1079" s="167"/>
      <c r="G1079" s="167"/>
      <c r="H1079" s="167"/>
      <c r="I1079" s="167"/>
    </row>
    <row r="1080" spans="1:9" x14ac:dyDescent="0.2">
      <c r="A1080" s="167"/>
      <c r="B1080" s="167" t="s">
        <v>5688</v>
      </c>
      <c r="C1080" s="102" t="s">
        <v>6451</v>
      </c>
      <c r="D1080" s="167"/>
      <c r="E1080" s="167"/>
      <c r="F1080" s="167"/>
      <c r="G1080" s="167"/>
      <c r="H1080" s="167"/>
      <c r="I1080" s="167"/>
    </row>
    <row r="1081" spans="1:9" x14ac:dyDescent="0.2">
      <c r="A1081" s="167"/>
      <c r="B1081" s="167"/>
      <c r="C1081" s="102"/>
      <c r="D1081" s="167"/>
      <c r="E1081" s="167"/>
      <c r="F1081" s="167"/>
      <c r="G1081" s="167"/>
      <c r="H1081" s="167"/>
      <c r="I1081" s="167"/>
    </row>
    <row r="1082" spans="1:9" x14ac:dyDescent="0.2">
      <c r="A1082" s="167"/>
      <c r="B1082" s="42" t="s">
        <v>6564</v>
      </c>
      <c r="C1082" s="152"/>
      <c r="D1082" s="167"/>
      <c r="E1082" s="167"/>
      <c r="F1082" s="167"/>
      <c r="G1082" s="167"/>
      <c r="H1082" s="167"/>
      <c r="I1082" s="167"/>
    </row>
    <row r="1083" spans="1:9" x14ac:dyDescent="0.2">
      <c r="A1083" s="167"/>
      <c r="B1083" s="167" t="s">
        <v>5689</v>
      </c>
      <c r="C1083" s="167" t="s">
        <v>6588</v>
      </c>
      <c r="D1083" s="167"/>
      <c r="E1083" s="167"/>
      <c r="F1083" s="167"/>
      <c r="G1083" s="167"/>
      <c r="H1083" s="167"/>
      <c r="I1083" s="167"/>
    </row>
    <row r="1084" spans="1:9" x14ac:dyDescent="0.2">
      <c r="A1084" s="167"/>
      <c r="B1084" s="167" t="s">
        <v>5690</v>
      </c>
      <c r="C1084" s="172">
        <v>35</v>
      </c>
      <c r="D1084" s="167"/>
      <c r="E1084" s="167"/>
      <c r="F1084" s="167"/>
      <c r="G1084" s="167"/>
      <c r="H1084" s="167"/>
      <c r="I1084" s="167"/>
    </row>
    <row r="1085" spans="1:9" x14ac:dyDescent="0.2">
      <c r="A1085" s="167"/>
      <c r="B1085" s="167" t="s">
        <v>5688</v>
      </c>
      <c r="C1085" s="102" t="s">
        <v>6565</v>
      </c>
      <c r="D1085" s="167"/>
      <c r="E1085" s="167"/>
      <c r="F1085" s="167"/>
      <c r="G1085" s="167"/>
      <c r="H1085" s="167"/>
      <c r="I1085" s="167"/>
    </row>
    <row r="1086" spans="1:9" x14ac:dyDescent="0.2">
      <c r="A1086" s="167"/>
      <c r="B1086" s="167" t="s">
        <v>4209</v>
      </c>
      <c r="C1086" s="167" t="s">
        <v>6606</v>
      </c>
      <c r="D1086" s="167"/>
      <c r="E1086" s="167"/>
      <c r="F1086" s="167"/>
      <c r="G1086" s="167"/>
      <c r="H1086" s="167"/>
      <c r="I1086" s="167"/>
    </row>
    <row r="1087" spans="1:9" x14ac:dyDescent="0.2">
      <c r="C1087" s="168"/>
      <c r="D1087" s="167"/>
      <c r="E1087" s="167"/>
      <c r="F1087" s="167"/>
    </row>
    <row r="1088" spans="1:9" x14ac:dyDescent="0.2">
      <c r="B1088" s="42" t="s">
        <v>6481</v>
      </c>
      <c r="C1088" s="168"/>
      <c r="D1088" s="167"/>
      <c r="E1088" s="167"/>
      <c r="F1088" s="167"/>
    </row>
    <row r="1089" spans="2:6" x14ac:dyDescent="0.2">
      <c r="B1089" s="167" t="s">
        <v>5689</v>
      </c>
      <c r="C1089" s="168" t="s">
        <v>6482</v>
      </c>
      <c r="D1089" s="167"/>
      <c r="E1089" s="167"/>
      <c r="F1089" s="167"/>
    </row>
    <row r="1090" spans="2:6" x14ac:dyDescent="0.2">
      <c r="B1090" s="167" t="s">
        <v>5690</v>
      </c>
      <c r="C1090" s="172">
        <v>12</v>
      </c>
      <c r="D1090" s="167"/>
      <c r="E1090" s="167"/>
      <c r="F1090" s="167"/>
    </row>
    <row r="1091" spans="2:6" x14ac:dyDescent="0.2">
      <c r="B1091" s="167" t="s">
        <v>5688</v>
      </c>
      <c r="C1091" s="168" t="s">
        <v>6483</v>
      </c>
      <c r="D1091" s="167"/>
      <c r="E1091" s="167"/>
      <c r="F1091" s="167"/>
    </row>
    <row r="1092" spans="2:6" x14ac:dyDescent="0.2">
      <c r="C1092" s="168"/>
      <c r="D1092" s="167"/>
      <c r="E1092" s="167"/>
      <c r="F1092" s="167"/>
    </row>
    <row r="1093" spans="2:6" x14ac:dyDescent="0.2">
      <c r="B1093" s="42" t="s">
        <v>6476</v>
      </c>
      <c r="C1093" s="168"/>
      <c r="D1093" s="167"/>
      <c r="E1093" s="167"/>
      <c r="F1093" s="167"/>
    </row>
    <row r="1094" spans="2:6" x14ac:dyDescent="0.2">
      <c r="B1094" s="167" t="s">
        <v>5689</v>
      </c>
      <c r="C1094" s="168" t="s">
        <v>6477</v>
      </c>
      <c r="D1094" s="167"/>
      <c r="E1094" s="167"/>
      <c r="F1094" s="167"/>
    </row>
    <row r="1095" spans="2:6" x14ac:dyDescent="0.2">
      <c r="B1095" s="167" t="s">
        <v>5690</v>
      </c>
      <c r="C1095" s="172">
        <v>6</v>
      </c>
      <c r="D1095" s="167"/>
      <c r="E1095" s="167"/>
      <c r="F1095" s="167"/>
    </row>
    <row r="1096" spans="2:6" x14ac:dyDescent="0.2">
      <c r="B1096" s="167" t="s">
        <v>5688</v>
      </c>
      <c r="C1096" s="110" t="s">
        <v>6478</v>
      </c>
    </row>
    <row r="1098" spans="2:6" x14ac:dyDescent="0.2">
      <c r="B1098" s="111" t="s">
        <v>6527</v>
      </c>
      <c r="C1098" s="168"/>
      <c r="D1098" s="167"/>
      <c r="E1098" s="167"/>
      <c r="F1098" s="167"/>
    </row>
    <row r="1099" spans="2:6" x14ac:dyDescent="0.2">
      <c r="B1099" s="168" t="s">
        <v>5689</v>
      </c>
      <c r="C1099" s="168" t="s">
        <v>6526</v>
      </c>
      <c r="D1099" s="167"/>
      <c r="E1099" s="167"/>
      <c r="F1099" s="167"/>
    </row>
    <row r="1100" spans="2:6" x14ac:dyDescent="0.2">
      <c r="B1100" s="167" t="s">
        <v>5690</v>
      </c>
      <c r="C1100" s="206" t="s">
        <v>1</v>
      </c>
      <c r="D1100" s="167"/>
      <c r="E1100" s="167"/>
      <c r="F1100" s="167"/>
    </row>
    <row r="1101" spans="2:6" x14ac:dyDescent="0.2">
      <c r="B1101" s="167" t="s">
        <v>5688</v>
      </c>
      <c r="C1101" s="152" t="s">
        <v>6368</v>
      </c>
      <c r="D1101" s="167"/>
      <c r="E1101" s="167"/>
      <c r="F1101" s="167"/>
    </row>
    <row r="1102" spans="2:6" x14ac:dyDescent="0.2">
      <c r="B1102" s="167"/>
      <c r="C1102" s="168"/>
      <c r="D1102" s="167"/>
      <c r="E1102" s="167"/>
      <c r="F1102" s="167"/>
    </row>
    <row r="1103" spans="2:6" x14ac:dyDescent="0.2">
      <c r="B1103" s="42" t="s">
        <v>6549</v>
      </c>
    </row>
    <row r="1104" spans="2:6" x14ac:dyDescent="0.2">
      <c r="B1104" s="167" t="s">
        <v>5689</v>
      </c>
      <c r="C1104" s="168" t="s">
        <v>6550</v>
      </c>
    </row>
    <row r="1105" spans="2:3" x14ac:dyDescent="0.2">
      <c r="B1105" s="167" t="s">
        <v>5690</v>
      </c>
      <c r="C1105" s="123">
        <v>17</v>
      </c>
    </row>
    <row r="1106" spans="2:3" ht="15" x14ac:dyDescent="0.25">
      <c r="B1106" s="167" t="s">
        <v>5688</v>
      </c>
      <c r="C1106" s="159" t="s">
        <v>6551</v>
      </c>
    </row>
    <row r="1108" spans="2:3" x14ac:dyDescent="0.2">
      <c r="B1108" s="42" t="s">
        <v>6450</v>
      </c>
    </row>
    <row r="1109" spans="2:3" x14ac:dyDescent="0.2">
      <c r="B1109" s="167" t="s">
        <v>5689</v>
      </c>
      <c r="C1109" s="168" t="s">
        <v>6448</v>
      </c>
    </row>
    <row r="1110" spans="2:3" x14ac:dyDescent="0.2">
      <c r="B1110" s="167" t="s">
        <v>5690</v>
      </c>
      <c r="C1110" s="123">
        <v>0</v>
      </c>
    </row>
    <row r="1111" spans="2:3" ht="15" x14ac:dyDescent="0.25">
      <c r="B1111" s="167" t="s">
        <v>5688</v>
      </c>
      <c r="C1111" s="44" t="s">
        <v>6449</v>
      </c>
    </row>
    <row r="1113" spans="2:3" x14ac:dyDescent="0.2">
      <c r="B1113" s="42" t="s">
        <v>7599</v>
      </c>
    </row>
    <row r="1114" spans="2:3" x14ac:dyDescent="0.2">
      <c r="B1114" s="257" t="s">
        <v>5689</v>
      </c>
      <c r="C1114" s="258" t="s">
        <v>7600</v>
      </c>
    </row>
    <row r="1115" spans="2:3" x14ac:dyDescent="0.2">
      <c r="B1115" s="257" t="s">
        <v>5690</v>
      </c>
    </row>
    <row r="1116" spans="2:3" x14ac:dyDescent="0.2">
      <c r="B1116" s="257" t="s">
        <v>5688</v>
      </c>
      <c r="C1116" s="102" t="s">
        <v>7601</v>
      </c>
    </row>
    <row r="1118" spans="2:3" x14ac:dyDescent="0.2">
      <c r="B1118" s="42" t="s">
        <v>6824</v>
      </c>
    </row>
    <row r="1119" spans="2:3" x14ac:dyDescent="0.2">
      <c r="B1119" s="109" t="s">
        <v>5689</v>
      </c>
      <c r="C1119" s="110" t="s">
        <v>6071</v>
      </c>
    </row>
    <row r="1120" spans="2:3" x14ac:dyDescent="0.2">
      <c r="B1120" s="109" t="s">
        <v>5690</v>
      </c>
      <c r="C1120" s="123">
        <v>1</v>
      </c>
    </row>
    <row r="1121" spans="2:4" ht="15" x14ac:dyDescent="0.25">
      <c r="B1121" s="109" t="s">
        <v>5688</v>
      </c>
      <c r="C1121" s="159" t="s">
        <v>6454</v>
      </c>
    </row>
    <row r="1123" spans="2:4" x14ac:dyDescent="0.2">
      <c r="B1123" s="42" t="s">
        <v>6459</v>
      </c>
      <c r="C1123" s="168"/>
      <c r="D1123" s="167"/>
    </row>
    <row r="1124" spans="2:4" x14ac:dyDescent="0.2">
      <c r="B1124" s="167" t="s">
        <v>5689</v>
      </c>
      <c r="C1124" s="168" t="s">
        <v>6447</v>
      </c>
      <c r="D1124" s="167"/>
    </row>
    <row r="1125" spans="2:4" x14ac:dyDescent="0.2">
      <c r="B1125" s="167" t="s">
        <v>5690</v>
      </c>
      <c r="C1125" s="123">
        <v>0</v>
      </c>
      <c r="D1125" s="167"/>
    </row>
    <row r="1126" spans="2:4" x14ac:dyDescent="0.2">
      <c r="B1126" s="167" t="s">
        <v>5688</v>
      </c>
      <c r="C1126" s="152" t="s">
        <v>6446</v>
      </c>
      <c r="D1126" s="167"/>
    </row>
    <row r="1128" spans="2:4" x14ac:dyDescent="0.2">
      <c r="B1128" s="42" t="s">
        <v>6458</v>
      </c>
    </row>
    <row r="1129" spans="2:4" x14ac:dyDescent="0.2">
      <c r="B1129" s="167" t="s">
        <v>5689</v>
      </c>
      <c r="C1129" s="168" t="s">
        <v>6460</v>
      </c>
    </row>
    <row r="1130" spans="2:4" x14ac:dyDescent="0.2">
      <c r="B1130" s="167" t="s">
        <v>5690</v>
      </c>
      <c r="C1130" s="206" t="s">
        <v>1</v>
      </c>
    </row>
    <row r="1131" spans="2:4" ht="15" x14ac:dyDescent="0.25">
      <c r="B1131" s="167" t="s">
        <v>5688</v>
      </c>
      <c r="C1131" s="159" t="s">
        <v>6461</v>
      </c>
    </row>
    <row r="1133" spans="2:4" x14ac:dyDescent="0.2">
      <c r="B1133" s="42" t="s">
        <v>6561</v>
      </c>
    </row>
    <row r="1134" spans="2:4" x14ac:dyDescent="0.2">
      <c r="B1134" s="167" t="s">
        <v>5689</v>
      </c>
      <c r="C1134" s="168" t="s">
        <v>6562</v>
      </c>
    </row>
    <row r="1135" spans="2:4" x14ac:dyDescent="0.2">
      <c r="B1135" s="167" t="s">
        <v>5690</v>
      </c>
      <c r="C1135" s="123">
        <v>30</v>
      </c>
    </row>
    <row r="1136" spans="2:4" ht="15" x14ac:dyDescent="0.25">
      <c r="B1136" s="167" t="s">
        <v>5688</v>
      </c>
      <c r="C1136" s="159" t="s">
        <v>6563</v>
      </c>
    </row>
    <row r="1138" spans="1:6" x14ac:dyDescent="0.2">
      <c r="B1138" s="42" t="s">
        <v>7672</v>
      </c>
    </row>
    <row r="1139" spans="1:6" x14ac:dyDescent="0.2">
      <c r="B1139" s="257" t="s">
        <v>5689</v>
      </c>
      <c r="C1139" s="258" t="s">
        <v>7673</v>
      </c>
    </row>
    <row r="1140" spans="1:6" x14ac:dyDescent="0.2">
      <c r="B1140" s="257" t="s">
        <v>5690</v>
      </c>
      <c r="C1140" s="123">
        <v>2</v>
      </c>
    </row>
    <row r="1141" spans="1:6" x14ac:dyDescent="0.2">
      <c r="B1141" s="257" t="s">
        <v>5688</v>
      </c>
      <c r="C1141" s="102" t="s">
        <v>7674</v>
      </c>
    </row>
    <row r="1143" spans="1:6" x14ac:dyDescent="0.2">
      <c r="B1143" s="42" t="s">
        <v>6522</v>
      </c>
      <c r="C1143" s="168"/>
      <c r="D1143" s="167"/>
      <c r="E1143" s="167"/>
      <c r="F1143" s="167"/>
    </row>
    <row r="1144" spans="1:6" x14ac:dyDescent="0.2">
      <c r="B1144" s="167" t="s">
        <v>5689</v>
      </c>
      <c r="C1144" s="168" t="s">
        <v>6524</v>
      </c>
      <c r="D1144" s="167"/>
      <c r="E1144" s="167"/>
      <c r="F1144" s="167"/>
    </row>
    <row r="1145" spans="1:6" x14ac:dyDescent="0.2">
      <c r="B1145" s="167" t="s">
        <v>5690</v>
      </c>
      <c r="C1145" s="123">
        <v>11</v>
      </c>
      <c r="D1145" s="167"/>
      <c r="E1145" s="167"/>
      <c r="F1145" s="167"/>
    </row>
    <row r="1146" spans="1:6" x14ac:dyDescent="0.2">
      <c r="B1146" s="167" t="s">
        <v>5688</v>
      </c>
      <c r="C1146" s="152" t="s">
        <v>6525</v>
      </c>
      <c r="D1146" s="167"/>
      <c r="E1146" s="167"/>
      <c r="F1146" s="167"/>
    </row>
    <row r="1147" spans="1:6" x14ac:dyDescent="0.2">
      <c r="B1147" s="167"/>
      <c r="C1147" s="168"/>
      <c r="D1147" s="167"/>
      <c r="E1147" s="167"/>
      <c r="F1147" s="167"/>
    </row>
    <row r="1148" spans="1:6" x14ac:dyDescent="0.2">
      <c r="A1148" s="109" t="s">
        <v>6367</v>
      </c>
      <c r="B1148" s="42" t="s">
        <v>6523</v>
      </c>
      <c r="C1148" s="168"/>
      <c r="D1148" s="167"/>
      <c r="E1148" s="167"/>
      <c r="F1148" s="167"/>
    </row>
    <row r="1149" spans="1:6" x14ac:dyDescent="0.2">
      <c r="B1149" s="167" t="s">
        <v>5689</v>
      </c>
      <c r="C1149" s="168" t="s">
        <v>6359</v>
      </c>
      <c r="D1149" s="167"/>
      <c r="E1149" s="167"/>
      <c r="F1149" s="167"/>
    </row>
    <row r="1150" spans="1:6" x14ac:dyDescent="0.2">
      <c r="B1150" s="167" t="s">
        <v>5690</v>
      </c>
      <c r="C1150" s="123">
        <v>3</v>
      </c>
      <c r="D1150" s="167"/>
      <c r="E1150" s="167"/>
      <c r="F1150" s="167"/>
    </row>
    <row r="1151" spans="1:6" x14ac:dyDescent="0.2">
      <c r="B1151" s="167" t="s">
        <v>5688</v>
      </c>
      <c r="C1151" s="102" t="s">
        <v>6360</v>
      </c>
      <c r="D1151" s="167"/>
      <c r="E1151" s="167"/>
      <c r="F1151" s="167"/>
    </row>
    <row r="1152" spans="1:6" x14ac:dyDescent="0.2">
      <c r="B1152" s="167" t="s">
        <v>4209</v>
      </c>
      <c r="C1152" s="168" t="s">
        <v>6375</v>
      </c>
      <c r="D1152" s="167"/>
      <c r="E1152" s="167"/>
      <c r="F1152" s="167"/>
    </row>
    <row r="1153" spans="2:8" x14ac:dyDescent="0.2">
      <c r="B1153" s="167" t="s">
        <v>6185</v>
      </c>
      <c r="C1153" s="171">
        <v>45149</v>
      </c>
      <c r="D1153" s="167"/>
      <c r="E1153" s="167"/>
      <c r="F1153" s="167"/>
    </row>
    <row r="1154" spans="2:8" x14ac:dyDescent="0.2">
      <c r="B1154" s="167"/>
      <c r="C1154" s="168"/>
      <c r="D1154" s="167"/>
      <c r="E1154" s="167"/>
      <c r="F1154" s="167"/>
    </row>
    <row r="1155" spans="2:8" x14ac:dyDescent="0.2">
      <c r="B1155" s="42" t="s">
        <v>6528</v>
      </c>
      <c r="C1155" s="168"/>
      <c r="D1155" s="167"/>
      <c r="E1155" s="167"/>
      <c r="F1155" s="167"/>
    </row>
    <row r="1156" spans="2:8" x14ac:dyDescent="0.2">
      <c r="B1156" s="167" t="s">
        <v>5689</v>
      </c>
      <c r="C1156" s="168" t="s">
        <v>6530</v>
      </c>
      <c r="D1156" s="167"/>
      <c r="E1156" s="167"/>
      <c r="F1156" s="167"/>
    </row>
    <row r="1157" spans="2:8" x14ac:dyDescent="0.2">
      <c r="B1157" s="167" t="s">
        <v>5690</v>
      </c>
      <c r="C1157" s="123">
        <v>0</v>
      </c>
      <c r="D1157" s="167"/>
      <c r="E1157" s="167"/>
      <c r="F1157" s="167"/>
    </row>
    <row r="1158" spans="2:8" x14ac:dyDescent="0.2">
      <c r="B1158" s="167" t="s">
        <v>5688</v>
      </c>
      <c r="C1158" s="152" t="s">
        <v>6529</v>
      </c>
      <c r="D1158" s="167"/>
      <c r="E1158" s="167"/>
      <c r="F1158" s="167"/>
    </row>
    <row r="1159" spans="2:8" x14ac:dyDescent="0.2">
      <c r="B1159" s="167"/>
      <c r="C1159" s="168"/>
      <c r="D1159" s="167"/>
      <c r="E1159" s="167"/>
      <c r="F1159" s="167"/>
    </row>
    <row r="1161" spans="2:8" x14ac:dyDescent="0.2">
      <c r="B1161" s="136" t="s">
        <v>4222</v>
      </c>
      <c r="H1161" s="136" t="s">
        <v>5486</v>
      </c>
    </row>
    <row r="1162" spans="2:8" x14ac:dyDescent="0.2">
      <c r="B1162" s="109" t="s">
        <v>4221</v>
      </c>
      <c r="H1162" s="214" t="s">
        <v>7251</v>
      </c>
    </row>
    <row r="1163" spans="2:8" x14ac:dyDescent="0.2">
      <c r="B1163" s="109" t="s">
        <v>5401</v>
      </c>
      <c r="H1163" s="221" t="s">
        <v>7258</v>
      </c>
    </row>
    <row r="1164" spans="2:8" x14ac:dyDescent="0.2">
      <c r="B1164" s="214" t="s">
        <v>7252</v>
      </c>
      <c r="H1164" s="221" t="s">
        <v>7257</v>
      </c>
    </row>
    <row r="1165" spans="2:8" x14ac:dyDescent="0.2">
      <c r="B1165" s="109" t="s">
        <v>4220</v>
      </c>
      <c r="H1165" s="183" t="s">
        <v>6967</v>
      </c>
    </row>
    <row r="1166" spans="2:8" x14ac:dyDescent="0.2">
      <c r="B1166" s="214" t="s">
        <v>7254</v>
      </c>
      <c r="H1166" s="214" t="s">
        <v>7250</v>
      </c>
    </row>
    <row r="1167" spans="2:8" x14ac:dyDescent="0.2">
      <c r="B1167" s="109" t="s">
        <v>5399</v>
      </c>
      <c r="H1167" s="183" t="s">
        <v>6866</v>
      </c>
    </row>
    <row r="1168" spans="2:8" x14ac:dyDescent="0.2">
      <c r="B1168" s="214" t="s">
        <v>7253</v>
      </c>
      <c r="H1168" s="183" t="s">
        <v>6849</v>
      </c>
    </row>
    <row r="1169" spans="2:8" x14ac:dyDescent="0.2">
      <c r="B1169" s="109" t="s">
        <v>4219</v>
      </c>
      <c r="H1169" s="109" t="s">
        <v>6056</v>
      </c>
    </row>
    <row r="1170" spans="2:8" x14ac:dyDescent="0.2">
      <c r="B1170" s="109" t="s">
        <v>4218</v>
      </c>
      <c r="H1170" s="183" t="s">
        <v>6958</v>
      </c>
    </row>
    <row r="1171" spans="2:8" x14ac:dyDescent="0.2">
      <c r="B1171" s="221" t="s">
        <v>7256</v>
      </c>
      <c r="H1171" s="214" t="s">
        <v>7249</v>
      </c>
    </row>
    <row r="1172" spans="2:8" x14ac:dyDescent="0.2">
      <c r="B1172" s="109" t="s">
        <v>4217</v>
      </c>
      <c r="H1172" s="183" t="s">
        <v>6907</v>
      </c>
    </row>
    <row r="1173" spans="2:8" x14ac:dyDescent="0.2">
      <c r="B1173" s="109" t="s">
        <v>4216</v>
      </c>
      <c r="H1173" s="109" t="s">
        <v>6055</v>
      </c>
    </row>
    <row r="1174" spans="2:8" x14ac:dyDescent="0.2">
      <c r="B1174" s="109" t="s">
        <v>5487</v>
      </c>
      <c r="H1174" s="221" t="s">
        <v>7255</v>
      </c>
    </row>
    <row r="1175" spans="2:8" x14ac:dyDescent="0.2">
      <c r="B1175" s="109" t="s">
        <v>4215</v>
      </c>
    </row>
    <row r="1176" spans="2:8" x14ac:dyDescent="0.2">
      <c r="B1176" s="109" t="s">
        <v>4214</v>
      </c>
    </row>
    <row r="1177" spans="2:8" x14ac:dyDescent="0.2">
      <c r="B1177" s="109" t="s">
        <v>4213</v>
      </c>
    </row>
    <row r="1178" spans="2:8" x14ac:dyDescent="0.2">
      <c r="B1178" s="109" t="s">
        <v>4212</v>
      </c>
    </row>
  </sheetData>
  <hyperlinks>
    <hyperlink ref="A1" location="Main!A1" display="Main" xr:uid="{E842F38B-5DE4-E24B-BEAF-BDFBEBBEE4FE}"/>
    <hyperlink ref="C618" r:id="rId1" xr:uid="{B75F404B-6235-EC4F-B4CB-47F1D95CDD95}"/>
    <hyperlink ref="C680" r:id="rId2" xr:uid="{A96765DE-1CA0-FF43-9E3D-E6F3583423F1}"/>
    <hyperlink ref="C766" r:id="rId3" xr:uid="{97D9EB99-5E8D-0147-A720-B7B4A2CB8FB7}"/>
    <hyperlink ref="C720" r:id="rId4" xr:uid="{8160E1DD-EAC7-A94A-B1CD-CF0E6DD5FDC0}"/>
    <hyperlink ref="C534" r:id="rId5" xr:uid="{CD4B76E0-629B-BA4C-81D0-4C0E232400D7}"/>
    <hyperlink ref="C82" r:id="rId6" xr:uid="{0E3CA59B-3CF2-774C-A37A-B064DE74507E}"/>
    <hyperlink ref="C89" r:id="rId7" xr:uid="{26DC947B-93F7-4449-9246-BB5C716BA6D7}"/>
    <hyperlink ref="C94" r:id="rId8" xr:uid="{8ACB4DAE-CC7D-F541-9F25-C0F6CA31EFD6}"/>
    <hyperlink ref="C119" r:id="rId9" xr:uid="{CBFD3F32-3BB7-B545-9073-2BF4A3435DA6}"/>
    <hyperlink ref="C129" r:id="rId10" xr:uid="{FC141C75-C4F5-264C-A92A-7115FAAB29EA}"/>
    <hyperlink ref="C143" r:id="rId11" xr:uid="{9D369350-DB69-8E46-94F6-5055E6B54C76}"/>
    <hyperlink ref="C148" r:id="rId12" xr:uid="{DB28B0AE-FF8B-A840-AAA4-380994F3B22D}"/>
    <hyperlink ref="C156" r:id="rId13" xr:uid="{0F252224-46DD-7745-A25E-3B5D45494B63}"/>
    <hyperlink ref="C161" r:id="rId14" xr:uid="{D2711D8A-EA21-864A-BBB1-3E82857A18B4}"/>
    <hyperlink ref="C166" r:id="rId15" xr:uid="{53BA60B9-119C-3A49-B8D2-7392EB0454F6}"/>
    <hyperlink ref="C173" r:id="rId16" xr:uid="{4921A460-AAB3-F449-B2F9-594CC863FCBE}"/>
    <hyperlink ref="C188" r:id="rId17" xr:uid="{55C7BB2C-E7B9-9542-A7BE-4CD1CA2F9D97}"/>
    <hyperlink ref="C193" r:id="rId18" xr:uid="{001AFC96-6836-AC48-BE1B-015F7EF6F2AA}"/>
    <hyperlink ref="C203" r:id="rId19" xr:uid="{84FA73E1-8BBB-8F4A-814B-3941956AA976}"/>
    <hyperlink ref="C213" r:id="rId20" xr:uid="{D62C7EDC-4D15-8E4C-B505-24DE858A0EBF}"/>
    <hyperlink ref="C227" r:id="rId21" xr:uid="{71E545A1-8F52-E542-8968-83E137108761}"/>
    <hyperlink ref="C232" r:id="rId22" xr:uid="{BE4DEE62-4C1F-B547-AE60-5230CF8A687E}"/>
    <hyperlink ref="C237" r:id="rId23" xr:uid="{DEF1A8DB-22CC-FD4A-9493-1285B6E1C9B1}"/>
    <hyperlink ref="C246" r:id="rId24" xr:uid="{64D9C310-A77D-D64B-A936-ABBD8230951C}"/>
    <hyperlink ref="C251" r:id="rId25" xr:uid="{97DA62D7-453B-5749-A28E-982D47ECABD6}"/>
    <hyperlink ref="C261" r:id="rId26" xr:uid="{A3106F92-9575-6749-B74E-46E6FB6EAFBB}"/>
    <hyperlink ref="C272" r:id="rId27" xr:uid="{9B4D9D80-1ABC-A546-923D-41B609CDA3F9}"/>
    <hyperlink ref="C298" r:id="rId28" xr:uid="{CA873526-34CA-E541-86CE-1B6475ADA85D}"/>
    <hyperlink ref="C303" r:id="rId29" xr:uid="{624C364F-59C4-744F-BD02-99D301C468A2}"/>
    <hyperlink ref="C308" r:id="rId30" xr:uid="{441A96A4-8C43-D049-A0AD-16158FFFE185}"/>
    <hyperlink ref="C328" r:id="rId31" xr:uid="{490DA465-0DCD-4E4B-94F5-631E9ADE0F3D}"/>
    <hyperlink ref="C343" r:id="rId32" xr:uid="{DB323438-D249-5A49-B731-2378BC9FA88E}"/>
    <hyperlink ref="C373" r:id="rId33" xr:uid="{74118A2A-EDC6-B74D-9779-622F05AD974E}"/>
    <hyperlink ref="C378" r:id="rId34" xr:uid="{C0754A95-0EDA-3F47-9998-BD644EA24E7E}"/>
    <hyperlink ref="C383" r:id="rId35" xr:uid="{234E3B29-1FB2-D145-B370-86FA4B7C7E10}"/>
    <hyperlink ref="C393" r:id="rId36" xr:uid="{107BD621-960A-004C-9E7C-DB7C80EF2543}"/>
    <hyperlink ref="C427" r:id="rId37" xr:uid="{F64A3319-9323-194C-911B-8AFDE0437185}"/>
    <hyperlink ref="C439" r:id="rId38" xr:uid="{64E00EB1-1578-554B-8D05-504C6536257A}"/>
    <hyperlink ref="C454" r:id="rId39" xr:uid="{151CB9DC-88A2-E84B-8E47-E5887DD69482}"/>
    <hyperlink ref="C459" r:id="rId40" xr:uid="{145A48B6-0C94-0C4D-9CB3-17002EF9F7C2}"/>
    <hyperlink ref="C464" r:id="rId41" xr:uid="{F9BD52B9-2FF8-4A4A-836F-A2F9EC890C8C}"/>
    <hyperlink ref="C469" r:id="rId42" xr:uid="{4AC01902-6873-8341-892F-A9F03DAC0CE1}"/>
    <hyperlink ref="C474" r:id="rId43" xr:uid="{CE408303-9F2B-BC4E-954E-D4E27A248A4C}"/>
    <hyperlink ref="C484" r:id="rId44" xr:uid="{B4B82F8B-77CB-EC49-9449-AF7D11C7D77A}"/>
    <hyperlink ref="C489" r:id="rId45" xr:uid="{6238C12B-3D0F-A247-A429-1BD98C1C999E}"/>
    <hyperlink ref="C494" r:id="rId46" xr:uid="{E8CF55BE-13BD-9448-8666-B8C5BF4315AD}"/>
    <hyperlink ref="C504" r:id="rId47" xr:uid="{07C2808B-0F71-4446-A5E7-3606CBAF8A60}"/>
    <hyperlink ref="C509" r:id="rId48" xr:uid="{87B97A29-9C24-B54B-B795-B305FC927103}"/>
    <hyperlink ref="C519" r:id="rId49" xr:uid="{E62E0618-EF10-C94C-9C18-0B341434295F}"/>
    <hyperlink ref="C568" r:id="rId50" xr:uid="{B9A8F326-BE8F-7348-B604-61F073E9C465}"/>
    <hyperlink ref="C573" r:id="rId51" xr:uid="{FABCD6E5-E5ED-F34E-B936-6F8623DD6A44}"/>
    <hyperlink ref="C625" r:id="rId52" xr:uid="{67BB5F40-92B8-7D45-8557-B58D5BA61AE8}"/>
    <hyperlink ref="C635" r:id="rId53" xr:uid="{55CA27B6-10BD-A043-A850-26A299DE8E0D}"/>
    <hyperlink ref="C449" r:id="rId54" xr:uid="{D12565CB-7450-9445-B520-EA7B0BF91F55}"/>
    <hyperlink ref="C593" r:id="rId55" xr:uid="{917EA985-93AC-0B48-898D-D402E3914EC2}"/>
    <hyperlink ref="C524" r:id="rId56" xr:uid="{4FD52FAC-536C-7F48-B970-915B92D1F5C1}"/>
    <hyperlink ref="C598" r:id="rId57" xr:uid="{4526F574-931F-6140-9B5C-6BBC4A8B81BB}"/>
    <hyperlink ref="C603" r:id="rId58" xr:uid="{A6430DA0-F65C-484F-88F8-BF763E4D1F91}"/>
    <hyperlink ref="C363" r:id="rId59" xr:uid="{3723AF2D-6B65-1E49-BC66-2B4923DFCD40}"/>
    <hyperlink ref="C562" r:id="rId60" xr:uid="{536FB5F1-D47B-ED49-862E-0121BBD8B45F}"/>
    <hyperlink ref="C563" r:id="rId61" xr:uid="{DA687346-3813-0B4E-A1D3-C2B3CFAB989F}"/>
    <hyperlink ref="C619" r:id="rId62" xr:uid="{1A13592D-1DA4-A646-A6FC-0B096797BBCD}"/>
    <hyperlink ref="C178" r:id="rId63" xr:uid="{291AB511-09AF-A644-B835-BE4CCBBC1715}"/>
    <hyperlink ref="C198" r:id="rId64" xr:uid="{DEA3FBE9-E6D4-2647-806E-CF3FB75D17AD}"/>
    <hyperlink ref="C995" r:id="rId65" xr:uid="{E00505D5-F40E-4DBD-AB73-7F6F159AA4ED}"/>
    <hyperlink ref="C31" r:id="rId66" xr:uid="{89F08FFE-DE20-4AF2-A218-7743BED737C2}"/>
    <hyperlink ref="C77" r:id="rId67" xr:uid="{CA671E33-CF5A-4115-A427-35A362FCCD24}"/>
    <hyperlink ref="C323" r:id="rId68" xr:uid="{7024F25A-C120-43B5-ACA3-7F263295CF0C}"/>
    <hyperlink ref="C428" r:id="rId69" xr:uid="{EA8AC199-90F7-42FB-89BF-4DE6127D41D4}"/>
    <hyperlink ref="C429" r:id="rId70" xr:uid="{65AB148F-63E1-4735-8071-D70EAD1DA258}"/>
    <hyperlink ref="C256" r:id="rId71" xr:uid="{5A3C4F96-1629-48E0-9131-1BC5086704AF}"/>
    <hyperlink ref="C681" r:id="rId72" xr:uid="{6811CAE8-3DC0-491E-930C-2FBFC6DC667E}"/>
    <hyperlink ref="C422" r:id="rId73" xr:uid="{11488EAE-F7CE-4AEE-AA70-68A286350988}"/>
    <hyperlink ref="C444" r:id="rId74" xr:uid="{05604071-EB76-484B-A569-38D4F6A39C67}"/>
    <hyperlink ref="C338" r:id="rId75" xr:uid="{32FA19B3-4BD1-4921-891C-BFBEF07E18A5}"/>
    <hyperlink ref="C277" r:id="rId76" xr:uid="{ADADCFB8-1208-9744-962C-82C8A9A7377A}"/>
    <hyperlink ref="C278" r:id="rId77" xr:uid="{CBC4AD32-B586-1F4F-86F9-6A31D20D8381}"/>
    <hyperlink ref="C134" r:id="rId78" xr:uid="{639ED53F-F913-EC4D-9DB7-770CF9661CC0}"/>
    <hyperlink ref="C675" r:id="rId79" xr:uid="{223C24C1-8518-EE48-AC6A-288F7E1B83E0}"/>
    <hyperlink ref="C318" r:id="rId80" xr:uid="{DE7EC465-D657-4E41-A5CC-93D0BCA95324}"/>
    <hyperlink ref="C529" r:id="rId81" xr:uid="{ED366585-3A3D-7346-A65E-A9B3D02834A8}"/>
    <hyperlink ref="C434" r:id="rId82" xr:uid="{18654478-0D0C-8842-BE0E-437CBF8AFD77}"/>
    <hyperlink ref="C353" r:id="rId83" xr:uid="{CD1244A2-804C-B944-A1B0-0C69F62D6108}"/>
    <hyperlink ref="C407" r:id="rId84" xr:uid="{F1B57C5A-C8A9-A04F-AE55-4D347484E7EB}"/>
    <hyperlink ref="C417" r:id="rId85" xr:uid="{1F2FE78E-63B6-7C4E-BB5C-4EAB4AF77990}"/>
    <hyperlink ref="C208" r:id="rId86" xr:uid="{82C06C91-90FF-9F41-9336-936407792C93}"/>
    <hyperlink ref="C283" r:id="rId87" xr:uid="{DD1F29DF-462A-A742-BF7D-15BEAAB17914}"/>
    <hyperlink ref="C388" r:id="rId88" xr:uid="{C5BFB832-F8B6-BB43-9A0A-A8F8B5A11382}"/>
    <hyperlink ref="C348" r:id="rId89" xr:uid="{53AD7263-0A0D-054E-8CC6-76D5FEE38853}"/>
    <hyperlink ref="C124" r:id="rId90" xr:uid="{5E8CF3C7-A434-D442-B2AB-4A08239FE60F}"/>
    <hyperlink ref="C1151" r:id="rId91" xr:uid="{FD3A88B9-DCDA-DE46-823F-1C8C4FA63047}"/>
    <hyperlink ref="C1075" r:id="rId92" xr:uid="{6B8CE6ED-0CF5-274B-9202-E5DE0FDDF19F}"/>
    <hyperlink ref="C1065" r:id="rId93" xr:uid="{D4229FD7-D012-F445-BEAE-0E9830BBAE3C}"/>
    <hyperlink ref="C1101" r:id="rId94" xr:uid="{848943F4-B5B0-254B-8526-9B8024478CD4}"/>
    <hyperlink ref="C950" r:id="rId95" xr:uid="{8364F52D-63E0-5D4D-AC64-F23BDC88A271}"/>
    <hyperlink ref="C985" r:id="rId96" xr:uid="{F4579EE8-FBB1-994E-9CE0-694DA8BA1467}"/>
    <hyperlink ref="C898" r:id="rId97" xr:uid="{A8315BA0-DA63-0447-A866-D629B6FF396D}"/>
    <hyperlink ref="C1025" r:id="rId98" display="https://www.researchgate.net/publication/369233842_It_Takes_One_to_Tango_but_More_Make_Trouble_In-Context_Training_with_Different_Number_of_Demonstrations/fulltext/64113655a1b72772e4fad48c/It-Takes-One-to-Tango-but-More-Make-Trouble-In-Context-Training-with-Different-Number-of-Demonstrations.pdf" xr:uid="{2E82D625-D6CD-CB49-A502-988B8A9F2146}"/>
    <hyperlink ref="C1126" r:id="rId99" xr:uid="{459C5803-8A3E-0248-9040-073A526ADCB5}"/>
    <hyperlink ref="C1111" r:id="rId100" xr:uid="{6DBE0C48-C83E-3247-A142-2AD22FC2B571}"/>
    <hyperlink ref="C1080" r:id="rId101" xr:uid="{6346ED4F-C020-8F4F-9240-42870E4CC312}"/>
    <hyperlink ref="C1015" r:id="rId102" xr:uid="{B8CBDEC6-78EF-CC40-A230-504D56DF37EF}"/>
    <hyperlink ref="C1121" r:id="rId103" xr:uid="{D44B7B09-1E9E-F943-A454-FB76278C19A1}"/>
    <hyperlink ref="C1055" r:id="rId104" xr:uid="{3437F2CA-3229-3A41-A172-155769FA8B9B}"/>
    <hyperlink ref="C1060" r:id="rId105" xr:uid="{A07B1319-1110-104C-B6AC-BEB3D9CFB59B}"/>
    <hyperlink ref="C1131" r:id="rId106" xr:uid="{FBE0AFCB-98D4-F244-BF2A-52D26821FDA2}"/>
    <hyperlink ref="C670" r:id="rId107" xr:uid="{C1AB0838-840B-EB49-897B-672317863763}"/>
    <hyperlink ref="C970" r:id="rId108" xr:uid="{5AC661D7-40AC-CD4A-B2CA-66D593B08369}"/>
    <hyperlink ref="C1005" r:id="rId109" xr:uid="{0F31D9BA-EBE8-764B-89B2-D7795DBE12B5}"/>
    <hyperlink ref="C929" r:id="rId110" xr:uid="{A28D4F07-2086-8740-9EA9-F36012461027}"/>
    <hyperlink ref="C1000" r:id="rId111" xr:uid="{1BB8A6E5-880E-FC40-82F9-96418351263C}"/>
    <hyperlink ref="C955" r:id="rId112" xr:uid="{4710B20A-B72D-014B-9C36-A29AAB374F99}"/>
    <hyperlink ref="C919" r:id="rId113" xr:uid="{398C5A1B-5016-F841-96C3-A007F235A204}"/>
    <hyperlink ref="C924" r:id="rId114" xr:uid="{D5EA6BA0-00E2-CA46-84B0-1BA2676A5577}"/>
    <hyperlink ref="C909" r:id="rId115" xr:uid="{24B38ADB-2F1D-6041-8EFD-171C81721B89}"/>
    <hyperlink ref="C878" r:id="rId116" xr:uid="{C48F5C24-6186-4B44-87F5-44704A9A47F8}"/>
    <hyperlink ref="C863" r:id="rId117" xr:uid="{ED91056C-FC46-8F4D-A37F-F4D146E21FB6}"/>
    <hyperlink ref="C914" r:id="rId118" xr:uid="{E45377B3-F7CC-954F-ABBA-56BA64B5F00A}"/>
    <hyperlink ref="C1045" r:id="rId119" xr:uid="{4D488C27-ABC3-5C43-98D9-F258CEE285DD}"/>
    <hyperlink ref="C980" r:id="rId120" xr:uid="{B49ECAEC-1371-4C44-842A-883BA8FD979B}"/>
    <hyperlink ref="C868" r:id="rId121" xr:uid="{B70D436A-91F9-7F4C-9FB5-97B56F762046}"/>
    <hyperlink ref="C1020" r:id="rId122" xr:uid="{3EA52B20-EB32-1F44-85BF-7ACA5503940A}"/>
    <hyperlink ref="C1146" r:id="rId123" xr:uid="{2BC94F57-CB8B-394C-81A2-FD1F5C5BB1ED}"/>
    <hyperlink ref="C1158" r:id="rId124" xr:uid="{94BD3665-0A67-9E47-9AB0-0105F746D88B}"/>
    <hyperlink ref="C945" r:id="rId125" xr:uid="{687CDDCB-B9C2-244D-9919-61B2AF29A13C}"/>
    <hyperlink ref="C1030" r:id="rId126" xr:uid="{30B2DE27-E41B-C940-AE01-A926134BB4EE}"/>
    <hyperlink ref="C960" r:id="rId127" xr:uid="{1CA3892F-EF26-8740-B4B4-62E365669BBE}"/>
    <hyperlink ref="C1040" r:id="rId128" xr:uid="{C117FE5E-2A01-2444-8D1F-35D90924DE9E}"/>
    <hyperlink ref="C1010" r:id="rId129" xr:uid="{F77B7F2B-2C51-944C-813A-B2DA6A20792E}"/>
    <hyperlink ref="C1106" r:id="rId130" xr:uid="{11C1F7AD-4FDB-744A-ABA8-B018C8906111}"/>
    <hyperlink ref="C848" r:id="rId131" xr:uid="{B15520CA-4185-CB4C-89B8-4D949917A183}"/>
    <hyperlink ref="C975" r:id="rId132" xr:uid="{EA406DEA-E0ED-074A-91CB-C1203C307DFA}"/>
    <hyperlink ref="C1050" r:id="rId133" xr:uid="{E3A88A94-4F47-7E4E-ADA4-27E6BD39FD0A}"/>
    <hyperlink ref="C1035" r:id="rId134" xr:uid="{B3D732C6-5B85-9A41-9F8B-B7AAF3FDD9C6}"/>
    <hyperlink ref="C1136" r:id="rId135" xr:uid="{78DE8049-9434-2F4D-97B4-16015EC9530F}"/>
    <hyperlink ref="C1085" r:id="rId136" xr:uid="{535DA2C1-0506-4449-9FAD-E4C40D9E8C66}"/>
    <hyperlink ref="C114" r:id="rId137" xr:uid="{A907CC2A-87CD-3F44-B6E2-27037C94590A}"/>
    <hyperlink ref="C109" r:id="rId138" xr:uid="{8B35B1CB-E9B8-2040-A71B-3470B083E186}"/>
    <hyperlink ref="C104" r:id="rId139" xr:uid="{2D92E463-29CE-8F4F-8C1C-A83A92DA433A}"/>
    <hyperlink ref="C99" r:id="rId140" xr:uid="{84F643BF-475E-3345-9BD7-6D224BC9B250}"/>
    <hyperlink ref="C990" r:id="rId141" xr:uid="{24BFF3F9-2387-524E-AB0E-5F470D6365C3}"/>
    <hyperlink ref="C853" r:id="rId142" xr:uid="{042FE013-CF2B-CE42-ABB4-15B99A6B9363}"/>
    <hyperlink ref="C818" r:id="rId143" xr:uid="{C1684F16-449C-1147-AFE0-A1C265DBB091}"/>
    <hyperlink ref="C873" r:id="rId144" xr:uid="{ED20EC49-23B8-7040-935C-3014A2B81E14}"/>
    <hyperlink ref="C858" r:id="rId145" xr:uid="{10CA8F4D-9ECF-A744-BECA-1685B1AB99D9}"/>
    <hyperlink ref="C893" r:id="rId146" xr:uid="{4FC9E964-2E34-034F-A061-186E0686B89A}"/>
    <hyperlink ref="C965" r:id="rId147" xr:uid="{58D2BF0D-7D35-0347-BA2F-F21DD26EF245}"/>
    <hyperlink ref="C1070" r:id="rId148" xr:uid="{A78F8154-E694-864F-80F7-8D6BEEECFF97}"/>
    <hyperlink ref="C700" r:id="rId149" xr:uid="{5DDCEA16-A553-6A43-87F3-5FC5F066C47D}"/>
    <hyperlink ref="C756" r:id="rId150" xr:uid="{6A0FADF9-9BD2-164D-94BA-365B731ADE49}"/>
    <hyperlink ref="C736" r:id="rId151" xr:uid="{978BA8F3-1444-3E4B-BE00-AE74D0D5582A}"/>
    <hyperlink ref="C823" r:id="rId152" xr:uid="{49888EEA-3B1A-0140-96C5-690251E6C5E0}"/>
    <hyperlink ref="C843" r:id="rId153" xr:uid="{4B7DC938-89CA-D24A-99A6-F056355AC28C}"/>
    <hyperlink ref="C288" r:id="rId154" xr:uid="{A6AB49EC-C853-8E43-AC83-13264131B9E6}"/>
    <hyperlink ref="C368" r:id="rId155" xr:uid="{0DA2D259-E8B9-1642-A6B7-BEDC6A3524D9}"/>
    <hyperlink ref="C313" r:id="rId156" xr:uid="{FF72C67F-6A07-6B4D-8F20-100981002352}"/>
    <hyperlink ref="C578" r:id="rId157" xr:uid="{B2708534-5303-0A41-B0B5-F1BF8F0A62C6}"/>
    <hyperlink ref="C218" r:id="rId158" xr:uid="{2592557F-D039-DF4A-973E-07004F899910}"/>
    <hyperlink ref="C710" r:id="rId159" xr:uid="{D7095D0E-BAD1-7845-8886-384C59ADE628}"/>
    <hyperlink ref="C479" r:id="rId160" xr:uid="{C104D5D3-358A-A346-B2CE-F0DC4B3C0C37}"/>
    <hyperlink ref="C741" r:id="rId161" xr:uid="{3645FC3D-7BEA-9848-83E1-6DE28178915F}"/>
    <hyperlink ref="C838" r:id="rId162" xr:uid="{DF09463B-3680-FF4D-A465-ABBFF7027DFE}"/>
    <hyperlink ref="C333" r:id="rId163" xr:uid="{86091610-67C0-404D-A113-CD46C571741F}"/>
    <hyperlink ref="C705" r:id="rId164" xr:uid="{35DFFD4B-DB5F-024A-A86F-D9D2B85A1B1B}"/>
    <hyperlink ref="C588" r:id="rId165" xr:uid="{A8C1EB7E-D523-1547-BAEC-05C75022D12E}"/>
    <hyperlink ref="C293" r:id="rId166" xr:uid="{93331A00-6AD9-F447-AA6B-695E4E0412F6}"/>
    <hyperlink ref="C833" r:id="rId167" xr:uid="{1ACD323B-BE15-0E47-925C-A7C1CB8C7A12}"/>
    <hyperlink ref="C650" r:id="rId168" xr:uid="{54BAA312-4125-524E-B162-272DC6185E93}"/>
    <hyperlink ref="C640" r:id="rId169" xr:uid="{139E0F7A-E67C-3146-8FB4-D6324881A5EC}"/>
    <hyperlink ref="C660" r:id="rId170" xr:uid="{FB3BA88C-004A-FA4B-84C5-B23AE7F0730D}"/>
    <hyperlink ref="C813" r:id="rId171" xr:uid="{81E8AA09-A7AD-884E-8F45-9AE7A9B7EE0E}"/>
    <hyperlink ref="C746" r:id="rId172" xr:uid="{4D7EF12A-A14C-D549-A845-E3C95D74EE11}"/>
    <hyperlink ref="C751" r:id="rId173" xr:uid="{F504FE09-1464-D642-9E72-8D3955B3BE57}"/>
    <hyperlink ref="C715" r:id="rId174" xr:uid="{213E5DD9-5109-7545-92D8-093C641EEA62}"/>
    <hyperlink ref="C583" r:id="rId175" xr:uid="{A8AAB371-7B3E-2E4C-A0FF-3CAEED3A7367}"/>
    <hyperlink ref="C514" r:id="rId176" xr:uid="{6A91C4FB-4827-4D4C-A306-775B7483DF4C}"/>
    <hyperlink ref="C412" r:id="rId177" xr:uid="{0A02BC9C-06D0-334D-BE77-EE87867E6EA8}"/>
    <hyperlink ref="C828" r:id="rId178" xr:uid="{D3D085BD-5467-3445-84DC-04A369C49760}"/>
    <hyperlink ref="C726" r:id="rId179" xr:uid="{AD674261-FA3C-074A-9606-0A06F0B54254}"/>
    <hyperlink ref="C665" r:id="rId180" xr:uid="{7B790A06-4D85-074B-8F33-E36B2FAB398A}"/>
    <hyperlink ref="C358" r:id="rId181" xr:uid="{8E27422B-ECA1-1942-8061-1FC69A4A4795}"/>
    <hyperlink ref="C655" r:id="rId182" xr:uid="{F6B7FF9C-CB7B-AA47-91EF-B8B5CB597BE9}"/>
    <hyperlink ref="C499" r:id="rId183" xr:uid="{999F5062-5B85-1946-93B9-71B27DBDEF33}"/>
    <hyperlink ref="C731" r:id="rId184" xr:uid="{79577B2F-7DC5-7D4F-A3DB-D2B7FC73D409}"/>
    <hyperlink ref="C797" r:id="rId185" xr:uid="{7CD16CBE-4073-3D4D-B26F-86C1312ECD81}"/>
    <hyperlink ref="C792" r:id="rId186" xr:uid="{06DFC529-20F3-0C47-9A6B-C1F5BF084E7A}"/>
    <hyperlink ref="C803" r:id="rId187" xr:uid="{24F1F46F-FB9A-A04D-AC97-927B36BD78F6}"/>
    <hyperlink ref="C83" r:id="rId188" xr:uid="{9AD10541-9D41-4F4B-96CE-1C01C9E69EEE}"/>
    <hyperlink ref="C65" r:id="rId189" xr:uid="{217D77AF-1E78-470D-A0E7-3A03600EE61B}"/>
    <hyperlink ref="C72" r:id="rId190" xr:uid="{76BEEA39-1E29-45B1-B52D-CECEB31AAA62}"/>
    <hyperlink ref="C645" r:id="rId191" xr:uid="{CBD53DDD-37B9-8E4B-A139-AF94D73CEA3F}"/>
    <hyperlink ref="C1116" r:id="rId192" xr:uid="{37A8F447-6BC7-1945-BA30-5FD11C3EF162}"/>
    <hyperlink ref="C1141" r:id="rId193" xr:uid="{91FCD7EE-B584-2445-8438-4B264AF527FF}"/>
    <hyperlink ref="C934" r:id="rId194" xr:uid="{E7E029FA-E246-DC45-9423-FE9C219B9FF6}"/>
    <hyperlink ref="C903" r:id="rId195" xr:uid="{94C5AB1E-C5BD-8E4B-8051-235C18C32950}"/>
    <hyperlink ref="C940" r:id="rId196" xr:uid="{A8419877-C611-8D4A-BBAC-0DCB61AD2E04}"/>
    <hyperlink ref="C761" r:id="rId197" xr:uid="{2895A439-8BD3-6941-BFBF-4E4D73315913}"/>
    <hyperlink ref="C808" r:id="rId198" xr:uid="{12424E96-7C3A-1F45-90F4-6972A8D53CC7}"/>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6E2A7-14EF-4DBD-8655-1F5FD24440A9}">
  <dimension ref="A1:F5"/>
  <sheetViews>
    <sheetView zoomScale="130" zoomScaleNormal="130" workbookViewId="0">
      <pane xSplit="2" ySplit="2" topLeftCell="C3" activePane="bottomRight" state="frozen"/>
      <selection pane="topRight" activeCell="C1" sqref="C1"/>
      <selection pane="bottomLeft" activeCell="A3" sqref="A3"/>
      <selection pane="bottomRight" activeCell="C3" sqref="C3"/>
    </sheetView>
  </sheetViews>
  <sheetFormatPr defaultColWidth="9" defaultRowHeight="12.75" x14ac:dyDescent="0.2"/>
  <cols>
    <col min="1" max="1" width="4.375" style="248" bestFit="1" customWidth="1"/>
    <col min="2" max="2" width="9" style="256"/>
    <col min="3" max="3" width="4.625" style="255" bestFit="1" customWidth="1"/>
    <col min="4" max="4" width="45" style="248" bestFit="1" customWidth="1"/>
    <col min="5" max="5" width="39.5" style="248" bestFit="1" customWidth="1"/>
    <col min="6" max="16384" width="9" style="248"/>
  </cols>
  <sheetData>
    <row r="1" spans="1:6" x14ac:dyDescent="0.2">
      <c r="A1" s="25" t="s">
        <v>1165</v>
      </c>
    </row>
    <row r="2" spans="1:6" x14ac:dyDescent="0.2">
      <c r="B2" s="256" t="s">
        <v>5690</v>
      </c>
      <c r="C2" s="255" t="s">
        <v>1156</v>
      </c>
      <c r="D2" s="248" t="s">
        <v>5689</v>
      </c>
      <c r="E2" s="248" t="s">
        <v>6589</v>
      </c>
      <c r="F2" s="248" t="s">
        <v>7400</v>
      </c>
    </row>
    <row r="3" spans="1:6" x14ac:dyDescent="0.2">
      <c r="B3" s="256">
        <v>80021</v>
      </c>
      <c r="C3" s="255">
        <v>1992</v>
      </c>
      <c r="D3" s="248" t="s">
        <v>5754</v>
      </c>
      <c r="E3" s="257" t="s">
        <v>7406</v>
      </c>
      <c r="F3" s="248" t="s">
        <v>7405</v>
      </c>
    </row>
    <row r="4" spans="1:6" x14ac:dyDescent="0.2">
      <c r="B4" s="256">
        <v>34391</v>
      </c>
      <c r="C4" s="255">
        <v>1986</v>
      </c>
      <c r="D4" s="248" t="s">
        <v>7404</v>
      </c>
      <c r="E4" s="248" t="s">
        <v>7403</v>
      </c>
      <c r="F4" s="248" t="s">
        <v>5487</v>
      </c>
    </row>
    <row r="5" spans="1:6" x14ac:dyDescent="0.2">
      <c r="B5" s="256">
        <v>21162</v>
      </c>
      <c r="C5" s="255">
        <v>1950</v>
      </c>
      <c r="D5" s="248" t="s">
        <v>4105</v>
      </c>
      <c r="E5" s="257" t="s">
        <v>7402</v>
      </c>
      <c r="F5" s="248" t="s">
        <v>7401</v>
      </c>
    </row>
  </sheetData>
  <hyperlinks>
    <hyperlink ref="A1" location="Main!A1" display="Main" xr:uid="{A587E74C-BDBD-48A5-B193-B3313EE8F0A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05371-74DD-1646-A148-1B3B34950E6B}">
  <dimension ref="A1:G11"/>
  <sheetViews>
    <sheetView workbookViewId="0">
      <pane xSplit="2" ySplit="2" topLeftCell="C3" activePane="bottomRight" state="frozen"/>
      <selection pane="topRight" activeCell="C1" sqref="C1"/>
      <selection pane="bottomLeft" activeCell="A3" sqref="A3"/>
      <selection pane="bottomRight" activeCell="G4" sqref="G4"/>
    </sheetView>
  </sheetViews>
  <sheetFormatPr defaultColWidth="10.875" defaultRowHeight="15" x14ac:dyDescent="0.2"/>
  <cols>
    <col min="1" max="1" width="5.375" style="50" bestFit="1" customWidth="1"/>
    <col min="2" max="2" width="13.5" style="50" customWidth="1"/>
    <col min="3" max="3" width="13.375" style="50" customWidth="1"/>
    <col min="4" max="16384" width="10.875" style="50"/>
  </cols>
  <sheetData>
    <row r="1" spans="1:7" x14ac:dyDescent="0.2">
      <c r="A1" s="50" t="s">
        <v>1165</v>
      </c>
    </row>
    <row r="2" spans="1:7" x14ac:dyDescent="0.2">
      <c r="B2" s="50" t="s">
        <v>3981</v>
      </c>
      <c r="C2" s="50" t="s">
        <v>3971</v>
      </c>
      <c r="D2" s="50" t="s">
        <v>7921</v>
      </c>
      <c r="E2" s="50" t="s">
        <v>7923</v>
      </c>
      <c r="F2" s="50" t="s">
        <v>7925</v>
      </c>
      <c r="G2" s="50" t="s">
        <v>964</v>
      </c>
    </row>
    <row r="3" spans="1:7" x14ac:dyDescent="0.2">
      <c r="B3" s="50" t="s">
        <v>7919</v>
      </c>
      <c r="C3" s="50" t="s">
        <v>7920</v>
      </c>
      <c r="D3" s="50" t="s">
        <v>7922</v>
      </c>
      <c r="E3" s="50" t="s">
        <v>7924</v>
      </c>
      <c r="F3" s="50" t="s">
        <v>7924</v>
      </c>
      <c r="G3" s="50" t="s">
        <v>7926</v>
      </c>
    </row>
    <row r="4" spans="1:7" x14ac:dyDescent="0.2">
      <c r="B4" s="50" t="s">
        <v>0</v>
      </c>
    </row>
    <row r="5" spans="1:7" x14ac:dyDescent="0.2">
      <c r="B5" s="50" t="s">
        <v>7916</v>
      </c>
    </row>
    <row r="6" spans="1:7" x14ac:dyDescent="0.2">
      <c r="B6" s="279" t="s">
        <v>7915</v>
      </c>
    </row>
    <row r="7" spans="1:7" x14ac:dyDescent="0.2">
      <c r="B7" s="279" t="s">
        <v>7914</v>
      </c>
    </row>
    <row r="8" spans="1:7" x14ac:dyDescent="0.2">
      <c r="B8" s="50" t="s">
        <v>1069</v>
      </c>
    </row>
    <row r="9" spans="1:7" x14ac:dyDescent="0.2">
      <c r="B9" s="50" t="s">
        <v>7913</v>
      </c>
    </row>
    <row r="10" spans="1:7" x14ac:dyDescent="0.2">
      <c r="B10" s="50" t="s">
        <v>7917</v>
      </c>
    </row>
    <row r="11" spans="1:7" x14ac:dyDescent="0.2">
      <c r="B11" s="50" t="s">
        <v>964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DF615-1123-7C4C-BC7A-9194D857A438}">
  <dimension ref="A1:D6"/>
  <sheetViews>
    <sheetView workbookViewId="0">
      <selection activeCell="B7" sqref="A1:XFD1048576"/>
    </sheetView>
  </sheetViews>
  <sheetFormatPr defaultColWidth="11" defaultRowHeight="12.75" x14ac:dyDescent="0.2"/>
  <cols>
    <col min="1" max="1" width="5.375" style="280" bestFit="1" customWidth="1"/>
    <col min="2" max="2" width="11" style="280"/>
    <col min="3" max="3" width="14.375" style="280" customWidth="1"/>
    <col min="4" max="16384" width="11" style="280"/>
  </cols>
  <sheetData>
    <row r="1" spans="1:4" x14ac:dyDescent="0.2">
      <c r="A1" s="280" t="s">
        <v>1165</v>
      </c>
    </row>
    <row r="2" spans="1:4" x14ac:dyDescent="0.2">
      <c r="B2" s="280" t="s">
        <v>6262</v>
      </c>
      <c r="C2" s="280" t="s">
        <v>7909</v>
      </c>
      <c r="D2" s="280" t="s">
        <v>7910</v>
      </c>
    </row>
    <row r="3" spans="1:4" x14ac:dyDescent="0.2">
      <c r="C3" s="280" t="s">
        <v>7911</v>
      </c>
    </row>
    <row r="4" spans="1:4" x14ac:dyDescent="0.2">
      <c r="C4" s="280" t="s">
        <v>7912</v>
      </c>
    </row>
    <row r="5" spans="1:4" x14ac:dyDescent="0.2">
      <c r="B5" s="280" t="s">
        <v>6258</v>
      </c>
    </row>
    <row r="6" spans="1:4" x14ac:dyDescent="0.2">
      <c r="C6" s="280" t="s">
        <v>7918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0FEA3-DC5D-4A47-AF50-1776FDD974A5}">
  <dimension ref="A1:S61"/>
  <sheetViews>
    <sheetView topLeftCell="A45" zoomScale="130" zoomScaleNormal="130" workbookViewId="0">
      <selection activeCell="B62" sqref="B62"/>
    </sheetView>
  </sheetViews>
  <sheetFormatPr defaultColWidth="10.875" defaultRowHeight="12.75" x14ac:dyDescent="0.2"/>
  <cols>
    <col min="1" max="1" width="4.875" style="108" bestFit="1" customWidth="1"/>
    <col min="2" max="2" width="12.5" style="108" customWidth="1"/>
    <col min="3" max="10" width="10.875" style="108"/>
    <col min="11" max="11" width="6.125" style="108" customWidth="1"/>
    <col min="12" max="12" width="9.125" style="108" customWidth="1"/>
    <col min="13" max="16384" width="10.875" style="108"/>
  </cols>
  <sheetData>
    <row r="1" spans="1:12" x14ac:dyDescent="0.2">
      <c r="A1" s="25" t="s">
        <v>1165</v>
      </c>
    </row>
    <row r="2" spans="1:12" x14ac:dyDescent="0.2">
      <c r="A2" s="25"/>
      <c r="B2" s="143" t="s">
        <v>3981</v>
      </c>
      <c r="C2" s="143" t="s">
        <v>6242</v>
      </c>
      <c r="D2" s="143" t="s">
        <v>1150</v>
      </c>
      <c r="E2" s="143" t="s">
        <v>5688</v>
      </c>
      <c r="F2" s="248"/>
      <c r="G2" s="248"/>
      <c r="H2" s="248"/>
    </row>
    <row r="3" spans="1:12" x14ac:dyDescent="0.2">
      <c r="B3" s="248" t="s">
        <v>6172</v>
      </c>
      <c r="C3" s="28" t="s">
        <v>6238</v>
      </c>
      <c r="D3" s="248" t="s">
        <v>7780</v>
      </c>
      <c r="E3" s="248"/>
      <c r="F3" s="248"/>
      <c r="G3" s="248"/>
      <c r="H3" s="248"/>
    </row>
    <row r="4" spans="1:12" x14ac:dyDescent="0.2">
      <c r="B4" s="248" t="s">
        <v>6173</v>
      </c>
      <c r="C4" s="25" t="s">
        <v>6174</v>
      </c>
      <c r="D4" s="28" t="s">
        <v>6175</v>
      </c>
      <c r="E4" s="248"/>
      <c r="F4" s="248"/>
      <c r="G4" s="248"/>
      <c r="H4" s="248"/>
    </row>
    <row r="5" spans="1:12" x14ac:dyDescent="0.2">
      <c r="B5" s="248" t="s">
        <v>5276</v>
      </c>
      <c r="C5" s="28" t="s">
        <v>6244</v>
      </c>
      <c r="D5" s="248"/>
      <c r="E5" s="248"/>
      <c r="F5" s="248"/>
      <c r="G5" s="248"/>
      <c r="H5" s="248"/>
    </row>
    <row r="6" spans="1:12" x14ac:dyDescent="0.2">
      <c r="B6" s="248" t="s">
        <v>6252</v>
      </c>
      <c r="C6" s="28" t="s">
        <v>6253</v>
      </c>
      <c r="D6" s="248"/>
      <c r="E6" s="248"/>
      <c r="F6" s="248"/>
      <c r="G6" s="248"/>
      <c r="H6" s="248"/>
    </row>
    <row r="7" spans="1:12" x14ac:dyDescent="0.2">
      <c r="B7" s="248" t="s">
        <v>6176</v>
      </c>
      <c r="C7" s="28" t="s">
        <v>6030</v>
      </c>
      <c r="D7" s="248" t="s">
        <v>6251</v>
      </c>
      <c r="E7" s="28" t="s">
        <v>6033</v>
      </c>
      <c r="F7" s="248"/>
      <c r="G7" s="248"/>
      <c r="H7" s="248"/>
    </row>
    <row r="8" spans="1:12" x14ac:dyDescent="0.2">
      <c r="B8" s="248" t="s">
        <v>6239</v>
      </c>
      <c r="C8" s="28" t="s">
        <v>6240</v>
      </c>
      <c r="D8" s="248" t="s">
        <v>6241</v>
      </c>
      <c r="E8" s="248"/>
      <c r="F8" s="248"/>
      <c r="G8" s="248"/>
      <c r="H8" s="248"/>
    </row>
    <row r="9" spans="1:12" x14ac:dyDescent="0.2">
      <c r="B9" s="248" t="s">
        <v>6245</v>
      </c>
      <c r="C9" s="28" t="s">
        <v>6246</v>
      </c>
      <c r="D9" s="248"/>
      <c r="E9" s="248"/>
      <c r="F9" s="248"/>
      <c r="G9" s="248"/>
      <c r="H9" s="248"/>
    </row>
    <row r="10" spans="1:12" x14ac:dyDescent="0.2">
      <c r="B10" s="248" t="s">
        <v>6247</v>
      </c>
      <c r="C10" s="28" t="s">
        <v>6248</v>
      </c>
      <c r="D10" s="248"/>
      <c r="E10" s="248"/>
      <c r="F10" s="248"/>
      <c r="G10" s="248"/>
      <c r="H10" s="248"/>
    </row>
    <row r="11" spans="1:12" x14ac:dyDescent="0.2">
      <c r="B11" s="248" t="s">
        <v>6249</v>
      </c>
      <c r="C11" s="28" t="s">
        <v>6250</v>
      </c>
      <c r="D11" s="248"/>
      <c r="E11" s="248"/>
      <c r="F11" s="248"/>
      <c r="G11" s="248"/>
      <c r="H11" s="248"/>
    </row>
    <row r="12" spans="1:12" x14ac:dyDescent="0.2">
      <c r="B12" s="248" t="s">
        <v>5212</v>
      </c>
      <c r="C12" s="28"/>
      <c r="D12" s="248" t="s">
        <v>7590</v>
      </c>
      <c r="E12" s="28" t="s">
        <v>7573</v>
      </c>
      <c r="F12" s="248"/>
      <c r="G12" s="248"/>
      <c r="H12" s="248"/>
    </row>
    <row r="13" spans="1:12" ht="15" x14ac:dyDescent="0.25">
      <c r="B13" s="248" t="s">
        <v>7779</v>
      </c>
      <c r="C13" s="28"/>
      <c r="D13" s="248"/>
      <c r="E13" s="44" t="s">
        <v>7781</v>
      </c>
      <c r="F13" s="248"/>
      <c r="G13" s="248"/>
      <c r="H13" s="248"/>
    </row>
    <row r="14" spans="1:12" x14ac:dyDescent="0.2">
      <c r="B14" s="248" t="s">
        <v>7782</v>
      </c>
      <c r="C14" s="28"/>
      <c r="D14" s="248"/>
      <c r="E14" s="25"/>
      <c r="F14" s="248"/>
      <c r="G14" s="248"/>
      <c r="H14" s="248"/>
      <c r="I14" s="248"/>
      <c r="J14" s="248"/>
      <c r="K14" s="248"/>
    </row>
    <row r="15" spans="1:12" x14ac:dyDescent="0.2">
      <c r="B15" s="248"/>
      <c r="C15" s="28"/>
      <c r="D15" s="248"/>
      <c r="E15" s="25"/>
      <c r="F15" s="248"/>
      <c r="G15" s="248"/>
      <c r="H15" s="248"/>
      <c r="I15" s="248"/>
      <c r="J15" s="248"/>
      <c r="K15" s="248"/>
    </row>
    <row r="16" spans="1:12" x14ac:dyDescent="0.2">
      <c r="B16" s="248"/>
      <c r="C16" s="219" t="s">
        <v>7712</v>
      </c>
      <c r="D16" s="219" t="s">
        <v>7711</v>
      </c>
      <c r="E16" s="219" t="s">
        <v>3971</v>
      </c>
      <c r="F16" s="219" t="s">
        <v>3976</v>
      </c>
      <c r="G16" s="219" t="s">
        <v>7463</v>
      </c>
      <c r="H16" s="219" t="s">
        <v>7717</v>
      </c>
      <c r="I16" s="219" t="s">
        <v>7718</v>
      </c>
      <c r="J16" s="219" t="s">
        <v>7714</v>
      </c>
      <c r="K16" s="219" t="s">
        <v>1150</v>
      </c>
      <c r="L16" s="219" t="s">
        <v>7746</v>
      </c>
    </row>
    <row r="17" spans="2:19" x14ac:dyDescent="0.2">
      <c r="B17" s="248" t="s">
        <v>3216</v>
      </c>
      <c r="C17" s="248">
        <v>2022</v>
      </c>
      <c r="D17" s="248" t="s">
        <v>6172</v>
      </c>
      <c r="E17" s="25" t="s">
        <v>5151</v>
      </c>
      <c r="F17" s="248" t="s">
        <v>7716</v>
      </c>
      <c r="G17" s="248">
        <v>330</v>
      </c>
      <c r="H17" s="248" t="s">
        <v>7808</v>
      </c>
      <c r="I17" s="248">
        <f>330/40</f>
        <v>8.25</v>
      </c>
      <c r="J17" s="248" t="s">
        <v>7720</v>
      </c>
      <c r="K17" s="248"/>
      <c r="L17" s="274">
        <v>11.71</v>
      </c>
      <c r="M17" s="108">
        <f>330+(180*48)</f>
        <v>8970</v>
      </c>
    </row>
    <row r="18" spans="2:19" x14ac:dyDescent="0.2">
      <c r="B18" s="248" t="s">
        <v>1542</v>
      </c>
      <c r="C18" s="248">
        <v>2017</v>
      </c>
      <c r="D18" s="248"/>
      <c r="E18" s="25" t="s">
        <v>7751</v>
      </c>
      <c r="F18" s="248" t="s">
        <v>7739</v>
      </c>
      <c r="G18" s="248">
        <f>32*12</f>
        <v>384</v>
      </c>
      <c r="H18" s="248">
        <v>100</v>
      </c>
      <c r="I18" s="248">
        <f>G18/H18</f>
        <v>3.84</v>
      </c>
      <c r="J18" s="248"/>
      <c r="K18" s="248" t="s">
        <v>7738</v>
      </c>
      <c r="L18" s="248">
        <v>5.9790000000000001</v>
      </c>
      <c r="P18" s="255"/>
    </row>
    <row r="19" spans="2:19" x14ac:dyDescent="0.2">
      <c r="B19" s="248" t="s">
        <v>7471</v>
      </c>
      <c r="C19" s="248">
        <v>2020</v>
      </c>
      <c r="D19" s="248"/>
      <c r="E19" s="25" t="s">
        <v>5160</v>
      </c>
      <c r="F19" s="248" t="s">
        <v>7741</v>
      </c>
      <c r="G19" s="248">
        <v>39</v>
      </c>
      <c r="H19" s="248" t="s">
        <v>7740</v>
      </c>
      <c r="I19" s="248">
        <f>39/4</f>
        <v>9.75</v>
      </c>
      <c r="J19" s="248" t="s">
        <v>7742</v>
      </c>
      <c r="K19" s="248"/>
      <c r="L19" s="248">
        <v>2.5950000000000002</v>
      </c>
    </row>
    <row r="20" spans="2:19" x14ac:dyDescent="0.2">
      <c r="B20" s="248" t="s">
        <v>620</v>
      </c>
      <c r="C20" s="248">
        <v>2022</v>
      </c>
      <c r="D20" s="248" t="s">
        <v>6172</v>
      </c>
      <c r="E20" s="25" t="s">
        <v>5159</v>
      </c>
      <c r="F20" s="248" t="s">
        <v>2686</v>
      </c>
      <c r="G20" s="248">
        <v>999</v>
      </c>
      <c r="H20" s="248" t="s">
        <v>7727</v>
      </c>
      <c r="I20" s="255">
        <f>999/225</f>
        <v>4.4400000000000004</v>
      </c>
      <c r="J20" s="248" t="s">
        <v>7721</v>
      </c>
      <c r="K20" s="248"/>
      <c r="L20" s="248">
        <v>2.012</v>
      </c>
    </row>
    <row r="21" spans="2:19" x14ac:dyDescent="0.2">
      <c r="B21" s="248" t="s">
        <v>481</v>
      </c>
      <c r="C21" s="248"/>
      <c r="D21" s="248"/>
      <c r="E21" s="25" t="s">
        <v>5161</v>
      </c>
      <c r="F21" s="248"/>
      <c r="G21" s="248">
        <v>6.0000000000000001E-3</v>
      </c>
      <c r="H21" s="248" t="s">
        <v>7752</v>
      </c>
      <c r="I21" s="270">
        <f>G21*60*60</f>
        <v>21.599999999999998</v>
      </c>
      <c r="J21" s="248"/>
      <c r="K21" s="248"/>
      <c r="L21" s="275">
        <v>0.91888099999999995</v>
      </c>
    </row>
    <row r="22" spans="2:19" x14ac:dyDescent="0.2">
      <c r="B22" s="248" t="s">
        <v>122</v>
      </c>
      <c r="C22" s="248"/>
      <c r="D22" s="248"/>
      <c r="E22" s="25" t="s">
        <v>4480</v>
      </c>
      <c r="F22" s="248"/>
      <c r="G22" s="248">
        <v>149</v>
      </c>
      <c r="H22" s="248" t="s">
        <v>7770</v>
      </c>
      <c r="I22" s="270">
        <f>149/20</f>
        <v>7.45</v>
      </c>
      <c r="J22" s="248"/>
      <c r="K22" s="248" t="s">
        <v>7771</v>
      </c>
      <c r="L22" s="275">
        <v>0.96093700000000004</v>
      </c>
    </row>
    <row r="23" spans="2:19" x14ac:dyDescent="0.2">
      <c r="B23" s="248" t="s">
        <v>7462</v>
      </c>
      <c r="C23" s="248">
        <v>2018</v>
      </c>
      <c r="D23" s="248" t="s">
        <v>7732</v>
      </c>
      <c r="E23" s="25" t="s">
        <v>7464</v>
      </c>
      <c r="F23" s="248" t="s">
        <v>7731</v>
      </c>
      <c r="G23" s="248">
        <v>99</v>
      </c>
      <c r="H23" s="271" t="s">
        <v>7729</v>
      </c>
      <c r="I23" s="270">
        <f>99/75</f>
        <v>1.32</v>
      </c>
      <c r="J23" s="248" t="s">
        <v>7730</v>
      </c>
      <c r="K23" s="248" t="s">
        <v>7733</v>
      </c>
      <c r="L23" s="275">
        <v>0.29441499999999998</v>
      </c>
    </row>
    <row r="24" spans="2:19" x14ac:dyDescent="0.2">
      <c r="B24" s="248" t="s">
        <v>1966</v>
      </c>
      <c r="C24" s="248">
        <v>2020</v>
      </c>
      <c r="D24" s="248" t="s">
        <v>6172</v>
      </c>
      <c r="E24" s="25" t="s">
        <v>7722</v>
      </c>
      <c r="F24" s="248" t="s">
        <v>7713</v>
      </c>
      <c r="G24" s="248">
        <v>175</v>
      </c>
      <c r="H24" s="248" t="s">
        <v>7719</v>
      </c>
      <c r="I24" s="270">
        <f>175/25</f>
        <v>7</v>
      </c>
      <c r="J24" s="248" t="s">
        <v>7715</v>
      </c>
      <c r="K24" s="248"/>
      <c r="L24" s="275">
        <v>0.26786700000000002</v>
      </c>
      <c r="P24" s="154"/>
      <c r="Q24" s="154"/>
      <c r="R24" s="269"/>
      <c r="S24" s="269"/>
    </row>
    <row r="25" spans="2:19" x14ac:dyDescent="0.2">
      <c r="B25" s="248" t="s">
        <v>6243</v>
      </c>
      <c r="C25" s="248">
        <v>2021</v>
      </c>
      <c r="D25" s="248" t="s">
        <v>7725</v>
      </c>
      <c r="E25" s="25" t="s">
        <v>7726</v>
      </c>
      <c r="F25" s="248" t="s">
        <v>7723</v>
      </c>
      <c r="G25" s="248">
        <v>75</v>
      </c>
      <c r="H25" s="248" t="s">
        <v>7728</v>
      </c>
      <c r="I25" s="248">
        <f>75/20</f>
        <v>3.75</v>
      </c>
      <c r="J25" s="248" t="s">
        <v>7724</v>
      </c>
      <c r="K25" s="248"/>
      <c r="L25" s="275">
        <v>5.1739999999999998E-3</v>
      </c>
      <c r="P25" s="154"/>
      <c r="Q25" s="154"/>
      <c r="R25" s="269"/>
      <c r="S25" s="269"/>
    </row>
    <row r="26" spans="2:19" x14ac:dyDescent="0.2">
      <c r="B26" s="248" t="s">
        <v>5191</v>
      </c>
      <c r="C26" s="248">
        <v>2022</v>
      </c>
      <c r="D26" s="248"/>
      <c r="E26" s="25" t="s">
        <v>7749</v>
      </c>
      <c r="F26" s="248" t="s">
        <v>7750</v>
      </c>
      <c r="G26" s="248">
        <v>4999</v>
      </c>
      <c r="H26" s="248" t="s">
        <v>7744</v>
      </c>
      <c r="I26" s="270">
        <f>5000/12500</f>
        <v>0.4</v>
      </c>
      <c r="J26" s="248"/>
      <c r="K26" s="248" t="s">
        <v>7745</v>
      </c>
      <c r="L26" s="274">
        <v>1.6397999999999999E-2</v>
      </c>
    </row>
    <row r="27" spans="2:19" x14ac:dyDescent="0.2">
      <c r="B27" s="248" t="s">
        <v>7769</v>
      </c>
      <c r="C27" s="248"/>
      <c r="D27" s="248"/>
      <c r="E27" s="25" t="s">
        <v>7831</v>
      </c>
      <c r="F27" s="248"/>
      <c r="G27" s="248">
        <v>162</v>
      </c>
      <c r="H27" s="248" t="s">
        <v>7728</v>
      </c>
      <c r="I27" s="270">
        <f>162/20</f>
        <v>8.1</v>
      </c>
      <c r="J27" s="248"/>
      <c r="K27" s="248"/>
      <c r="L27" s="275">
        <v>0.36320200000000002</v>
      </c>
    </row>
    <row r="28" spans="2:19" x14ac:dyDescent="0.2">
      <c r="B28" s="248" t="s">
        <v>7469</v>
      </c>
      <c r="C28" s="248">
        <v>2019</v>
      </c>
      <c r="D28" s="248"/>
      <c r="E28" s="25" t="s">
        <v>7829</v>
      </c>
      <c r="F28" s="248"/>
      <c r="G28" s="248">
        <v>199</v>
      </c>
      <c r="H28" s="248" t="s">
        <v>7740</v>
      </c>
      <c r="I28" s="270">
        <f>199/4</f>
        <v>49.75</v>
      </c>
      <c r="J28" s="248" t="s">
        <v>7768</v>
      </c>
      <c r="K28" s="248"/>
      <c r="L28" s="275">
        <v>3.2071000000000002E-2</v>
      </c>
    </row>
    <row r="29" spans="2:19" x14ac:dyDescent="0.2">
      <c r="B29" s="248" t="s">
        <v>2000</v>
      </c>
      <c r="C29" s="248"/>
      <c r="D29" s="248"/>
      <c r="E29" s="25" t="s">
        <v>7774</v>
      </c>
      <c r="F29" s="248"/>
      <c r="G29" s="248">
        <v>36</v>
      </c>
      <c r="H29" s="248" t="s">
        <v>7740</v>
      </c>
      <c r="I29" s="270">
        <f>G29/4</f>
        <v>9</v>
      </c>
      <c r="J29" s="248"/>
      <c r="K29" s="248" t="s">
        <v>6672</v>
      </c>
      <c r="L29" s="275">
        <v>0.130269</v>
      </c>
    </row>
    <row r="30" spans="2:19" x14ac:dyDescent="0.2">
      <c r="B30" s="248" t="s">
        <v>7776</v>
      </c>
      <c r="C30" s="248"/>
      <c r="D30" s="248" t="s">
        <v>5212</v>
      </c>
      <c r="E30" s="25" t="s">
        <v>7777</v>
      </c>
      <c r="F30" s="248"/>
      <c r="G30" s="248">
        <v>36</v>
      </c>
      <c r="H30" s="248" t="s">
        <v>7778</v>
      </c>
      <c r="I30" s="270">
        <f>36/6</f>
        <v>6</v>
      </c>
      <c r="J30" s="248"/>
      <c r="K30" s="248"/>
      <c r="L30" s="275">
        <v>6.5215999999999996E-2</v>
      </c>
    </row>
    <row r="31" spans="2:19" x14ac:dyDescent="0.2">
      <c r="B31" s="248" t="s">
        <v>1293</v>
      </c>
      <c r="C31" s="248"/>
      <c r="D31" s="248"/>
      <c r="E31" s="25" t="s">
        <v>7783</v>
      </c>
      <c r="F31" s="248"/>
      <c r="G31" s="248">
        <v>119</v>
      </c>
      <c r="H31" s="248" t="s">
        <v>7784</v>
      </c>
      <c r="I31" s="270">
        <f>119/30</f>
        <v>3.9666666666666668</v>
      </c>
      <c r="J31" s="248"/>
      <c r="K31" s="248"/>
      <c r="L31" s="275">
        <v>0.119672</v>
      </c>
    </row>
    <row r="32" spans="2:19" x14ac:dyDescent="0.2">
      <c r="B32" s="248" t="s">
        <v>7825</v>
      </c>
      <c r="C32" s="248"/>
      <c r="D32" s="248"/>
      <c r="E32" s="25" t="s">
        <v>7826</v>
      </c>
      <c r="F32" s="248"/>
      <c r="G32" s="248">
        <v>7</v>
      </c>
      <c r="H32" s="248" t="s">
        <v>7827</v>
      </c>
      <c r="I32" s="270">
        <f>7/0.6</f>
        <v>11.666666666666668</v>
      </c>
      <c r="J32" s="248"/>
      <c r="K32" s="248" t="s">
        <v>7828</v>
      </c>
      <c r="L32" s="275"/>
    </row>
    <row r="33" spans="2:13" x14ac:dyDescent="0.2">
      <c r="B33" s="248" t="s">
        <v>7809</v>
      </c>
      <c r="C33" s="248"/>
      <c r="D33" s="248"/>
      <c r="E33" s="25" t="s">
        <v>7830</v>
      </c>
      <c r="F33" s="248"/>
      <c r="G33" s="248">
        <v>99</v>
      </c>
      <c r="H33" s="248" t="s">
        <v>7810</v>
      </c>
      <c r="I33" s="270">
        <f>100/24</f>
        <v>4.166666666666667</v>
      </c>
      <c r="J33" s="248"/>
      <c r="K33" s="248"/>
      <c r="L33" s="275"/>
    </row>
    <row r="34" spans="2:13" x14ac:dyDescent="0.2">
      <c r="B34" s="248" t="s">
        <v>7734</v>
      </c>
      <c r="C34" s="248"/>
      <c r="D34" s="248"/>
      <c r="E34" s="248"/>
      <c r="F34" s="248"/>
      <c r="G34" s="248"/>
      <c r="H34" s="248"/>
      <c r="I34" s="248"/>
      <c r="J34" s="248"/>
      <c r="K34" s="248"/>
      <c r="L34" s="248"/>
    </row>
    <row r="35" spans="2:13" x14ac:dyDescent="0.2">
      <c r="B35" s="248" t="s">
        <v>7735</v>
      </c>
      <c r="C35" s="248"/>
      <c r="D35" s="248"/>
      <c r="E35" s="248"/>
      <c r="F35" s="248"/>
      <c r="G35" s="248"/>
      <c r="H35" s="248"/>
      <c r="I35" s="248"/>
      <c r="J35" s="248"/>
      <c r="K35" s="248"/>
      <c r="L35" s="248"/>
    </row>
    <row r="36" spans="2:13" x14ac:dyDescent="0.2">
      <c r="B36" s="248" t="s">
        <v>7775</v>
      </c>
      <c r="C36" s="248"/>
      <c r="D36" s="248"/>
      <c r="E36" s="248"/>
      <c r="F36" s="248"/>
      <c r="G36" s="248"/>
      <c r="H36" s="248"/>
      <c r="I36" s="248"/>
      <c r="J36" s="248"/>
      <c r="K36" s="248"/>
      <c r="L36" s="248"/>
    </row>
    <row r="37" spans="2:13" x14ac:dyDescent="0.2">
      <c r="B37" s="248"/>
      <c r="C37" s="248"/>
      <c r="D37" s="248"/>
      <c r="E37" s="248"/>
      <c r="F37" s="248"/>
      <c r="G37" s="248"/>
      <c r="H37" s="248"/>
      <c r="I37" s="248"/>
      <c r="J37" s="248"/>
      <c r="K37" s="248"/>
      <c r="L37" s="248"/>
    </row>
    <row r="38" spans="2:13" x14ac:dyDescent="0.2">
      <c r="B38" s="143" t="s">
        <v>7759</v>
      </c>
    </row>
    <row r="39" spans="2:13" x14ac:dyDescent="0.2">
      <c r="B39" s="248" t="s">
        <v>7736</v>
      </c>
      <c r="G39" s="108">
        <v>20</v>
      </c>
      <c r="H39" s="248" t="s">
        <v>7728</v>
      </c>
      <c r="I39" s="269">
        <v>1</v>
      </c>
      <c r="J39" s="248" t="s">
        <v>1</v>
      </c>
      <c r="K39" s="248" t="s">
        <v>7743</v>
      </c>
    </row>
    <row r="40" spans="2:13" x14ac:dyDescent="0.2">
      <c r="B40" s="248" t="s">
        <v>3928</v>
      </c>
      <c r="E40" s="248"/>
      <c r="F40" s="248"/>
      <c r="G40" s="248"/>
      <c r="H40" s="248" t="s">
        <v>7754</v>
      </c>
      <c r="I40" s="255" t="s">
        <v>1</v>
      </c>
      <c r="J40" s="248" t="s">
        <v>1</v>
      </c>
      <c r="K40" s="248" t="s">
        <v>7743</v>
      </c>
    </row>
    <row r="41" spans="2:13" x14ac:dyDescent="0.2">
      <c r="B41" s="248" t="s">
        <v>7470</v>
      </c>
      <c r="L41" s="108">
        <v>1.986</v>
      </c>
      <c r="M41" s="248" t="s">
        <v>7747</v>
      </c>
    </row>
    <row r="42" spans="2:13" x14ac:dyDescent="0.2">
      <c r="B42" s="248" t="s">
        <v>957</v>
      </c>
      <c r="E42" s="248"/>
      <c r="F42" s="248"/>
      <c r="G42" s="248"/>
      <c r="H42" s="248"/>
      <c r="I42" s="248"/>
      <c r="J42" s="248"/>
      <c r="K42" s="248" t="s">
        <v>7755</v>
      </c>
    </row>
    <row r="43" spans="2:13" x14ac:dyDescent="0.2">
      <c r="B43" s="248" t="s">
        <v>1474</v>
      </c>
      <c r="C43" s="108">
        <v>2018</v>
      </c>
      <c r="F43" s="248" t="s">
        <v>7757</v>
      </c>
      <c r="G43" s="108">
        <v>0.09</v>
      </c>
      <c r="H43" s="248" t="s">
        <v>7752</v>
      </c>
      <c r="I43" s="269">
        <f>G43*60*60</f>
        <v>323.99999999999994</v>
      </c>
      <c r="J43" s="248" t="s">
        <v>7756</v>
      </c>
      <c r="L43" s="272">
        <v>0.109024</v>
      </c>
      <c r="M43" s="248" t="s">
        <v>7758</v>
      </c>
    </row>
    <row r="44" spans="2:13" x14ac:dyDescent="0.2">
      <c r="B44" s="248" t="s">
        <v>2006</v>
      </c>
      <c r="E44" s="25" t="s">
        <v>7753</v>
      </c>
      <c r="F44" s="248"/>
      <c r="L44" s="108">
        <v>3.2669999999999999</v>
      </c>
      <c r="M44" s="248" t="s">
        <v>7760</v>
      </c>
    </row>
    <row r="45" spans="2:13" x14ac:dyDescent="0.2">
      <c r="B45" s="248" t="s">
        <v>1442</v>
      </c>
      <c r="G45" s="108">
        <v>99</v>
      </c>
      <c r="H45" s="248" t="s">
        <v>7761</v>
      </c>
      <c r="I45" s="269"/>
      <c r="J45" s="269"/>
      <c r="K45" s="248" t="s">
        <v>7762</v>
      </c>
    </row>
    <row r="46" spans="2:13" x14ac:dyDescent="0.2">
      <c r="B46" s="248" t="s">
        <v>5187</v>
      </c>
      <c r="K46" s="248" t="s">
        <v>7763</v>
      </c>
    </row>
    <row r="47" spans="2:13" x14ac:dyDescent="0.2">
      <c r="B47" s="248" t="s">
        <v>5911</v>
      </c>
      <c r="K47" s="248" t="s">
        <v>7764</v>
      </c>
    </row>
    <row r="48" spans="2:13" x14ac:dyDescent="0.2">
      <c r="B48" s="248" t="s">
        <v>386</v>
      </c>
      <c r="K48" s="248" t="s">
        <v>7765</v>
      </c>
    </row>
    <row r="49" spans="2:13" x14ac:dyDescent="0.2">
      <c r="B49" s="248" t="s">
        <v>928</v>
      </c>
      <c r="K49" s="248" t="s">
        <v>7766</v>
      </c>
    </row>
    <row r="50" spans="2:13" x14ac:dyDescent="0.2">
      <c r="B50" s="248" t="s">
        <v>3003</v>
      </c>
      <c r="C50" s="248"/>
      <c r="D50" s="248"/>
      <c r="E50" s="248"/>
      <c r="F50" s="248"/>
      <c r="G50" s="248"/>
      <c r="H50" s="248"/>
      <c r="K50" s="248" t="s">
        <v>7767</v>
      </c>
    </row>
    <row r="51" spans="2:13" x14ac:dyDescent="0.2">
      <c r="B51" s="73" t="s">
        <v>2529</v>
      </c>
    </row>
    <row r="52" spans="2:13" x14ac:dyDescent="0.2">
      <c r="B52" s="248" t="s">
        <v>5094</v>
      </c>
      <c r="E52" s="248"/>
      <c r="F52" s="248"/>
      <c r="G52" s="248" t="s">
        <v>7773</v>
      </c>
      <c r="H52" s="248" t="s">
        <v>7772</v>
      </c>
    </row>
    <row r="53" spans="2:13" x14ac:dyDescent="0.2">
      <c r="B53" s="248" t="s">
        <v>638</v>
      </c>
      <c r="K53" s="256" t="s">
        <v>7737</v>
      </c>
    </row>
    <row r="54" spans="2:13" x14ac:dyDescent="0.2">
      <c r="B54" s="248" t="s">
        <v>6740</v>
      </c>
      <c r="L54" s="108">
        <v>1.5589999999999999</v>
      </c>
      <c r="M54" s="248" t="s">
        <v>7748</v>
      </c>
    </row>
    <row r="55" spans="2:13" x14ac:dyDescent="0.2">
      <c r="B55" s="248" t="s">
        <v>6773</v>
      </c>
    </row>
    <row r="56" spans="2:13" x14ac:dyDescent="0.2">
      <c r="B56" s="248" t="s">
        <v>7785</v>
      </c>
      <c r="L56" s="108">
        <v>2.0636000000000002E-2</v>
      </c>
    </row>
    <row r="57" spans="2:13" x14ac:dyDescent="0.2">
      <c r="B57" s="248" t="s">
        <v>7786</v>
      </c>
      <c r="L57" s="108">
        <v>0.89679900000000001</v>
      </c>
    </row>
    <row r="58" spans="2:13" x14ac:dyDescent="0.2">
      <c r="B58" s="248" t="s">
        <v>1349</v>
      </c>
      <c r="L58" s="108">
        <v>0.65854500000000005</v>
      </c>
    </row>
    <row r="59" spans="2:13" ht="15" x14ac:dyDescent="0.25">
      <c r="B59" s="248" t="s">
        <v>7787</v>
      </c>
      <c r="E59" s="44" t="s">
        <v>7788</v>
      </c>
    </row>
    <row r="60" spans="2:13" ht="15" x14ac:dyDescent="0.25">
      <c r="B60" s="248" t="s">
        <v>7790</v>
      </c>
      <c r="E60" s="44" t="s">
        <v>7789</v>
      </c>
    </row>
    <row r="61" spans="2:13" x14ac:dyDescent="0.2">
      <c r="B61" s="248" t="s">
        <v>7791</v>
      </c>
      <c r="G61" s="108">
        <v>8.0000000000000007E-5</v>
      </c>
      <c r="H61" s="248" t="s">
        <v>7792</v>
      </c>
      <c r="I61" s="269">
        <f>G61*250000</f>
        <v>20</v>
      </c>
    </row>
  </sheetData>
  <hyperlinks>
    <hyperlink ref="C4" r:id="rId1" xr:uid="{A7FF0639-4C3A-614A-8121-499A1E7C2E05}"/>
    <hyperlink ref="A1" location="Main!A1" display="Main" xr:uid="{057A79D4-D529-6048-BE66-E47AF4D6A9B2}"/>
    <hyperlink ref="D4" r:id="rId2" xr:uid="{86A059A9-DAC5-BE43-AC23-D2CA451F81E0}"/>
    <hyperlink ref="C3" r:id="rId3" xr:uid="{34C8FAAE-6A8F-5340-BA66-72B5C19A9EF8}"/>
    <hyperlink ref="C8" r:id="rId4" xr:uid="{4DA66039-315E-8D42-BC9F-0A4AF7E8FCA1}"/>
    <hyperlink ref="C5" r:id="rId5" xr:uid="{319EE091-C8D2-ED48-B6D2-CC1C0BBA2056}"/>
    <hyperlink ref="C9" r:id="rId6" xr:uid="{AC7DEAF0-8430-CA4E-AF1A-92C6A6CE3D49}"/>
    <hyperlink ref="C10" r:id="rId7" xr:uid="{A2514E92-0844-7049-9200-778F0223231A}"/>
    <hyperlink ref="C11" r:id="rId8" xr:uid="{733A3714-7363-0E40-8B35-C1661B67B7C0}"/>
    <hyperlink ref="C7" r:id="rId9" xr:uid="{B7591921-99CC-E743-B222-DB652ABAD25C}"/>
    <hyperlink ref="E7" r:id="rId10" xr:uid="{3FCCBB7E-10D4-9D4D-B1A6-121322A44C8B}"/>
    <hyperlink ref="C6" r:id="rId11" xr:uid="{08A00BBB-C056-7540-8842-EACED2CAA336}"/>
    <hyperlink ref="E12" r:id="rId12" xr:uid="{8EB8ECD8-2FAB-0145-BF5F-D03EA29897B4}"/>
    <hyperlink ref="E20" r:id="rId13" xr:uid="{6F20C77C-3565-BB41-AF99-4414A4345CD9}"/>
    <hyperlink ref="E24" r:id="rId14" xr:uid="{DDE01190-AB56-2946-8E18-483FB6BF4735}"/>
    <hyperlink ref="E17" r:id="rId15" xr:uid="{1441F3F9-7BA7-E94F-BF15-B9F799E4FB47}"/>
    <hyperlink ref="E25" r:id="rId16" xr:uid="{E32980B6-F10A-2F48-8810-C8DBA5698EE7}"/>
    <hyperlink ref="E23" r:id="rId17" xr:uid="{A6E8EB31-6520-BF4F-BECA-84FA707781F3}"/>
    <hyperlink ref="E19" r:id="rId18" xr:uid="{A621B667-05F5-3742-B853-B856BFE0865D}"/>
    <hyperlink ref="E26" r:id="rId19" xr:uid="{251C4F88-B1DC-7040-9D8B-170B8EE37DD1}"/>
    <hyperlink ref="E18" r:id="rId20" xr:uid="{92FD8217-6E61-464C-A12B-2C1EAF4F40A8}"/>
    <hyperlink ref="E44" r:id="rId21" xr:uid="{08803D76-EB2D-AA46-BC85-AEDDA6CC301D}"/>
    <hyperlink ref="E29" r:id="rId22" xr:uid="{782AED29-31AC-2A42-8B06-70569AE34C48}"/>
    <hyperlink ref="E30" r:id="rId23" xr:uid="{7921B99A-E601-634A-BB7E-EAA0ECE834A5}"/>
    <hyperlink ref="E13" r:id="rId24" xr:uid="{4B5E6AAA-030A-9945-BF6E-DCE9347860B5}"/>
    <hyperlink ref="E31" r:id="rId25" xr:uid="{BB1708BF-D0E4-804A-9168-6D105B8DE9D4}"/>
    <hyperlink ref="E59" r:id="rId26" xr:uid="{2C3AA4DD-5BC1-154A-98B6-E6E5E62BD0D8}"/>
    <hyperlink ref="E60" r:id="rId27" xr:uid="{6466BF3B-2C9F-4B42-8658-E7E90E2CAFA3}"/>
    <hyperlink ref="E32" r:id="rId28" xr:uid="{237EB54F-1B42-4C4B-AF91-C6AE1738DFBC}"/>
    <hyperlink ref="E28" r:id="rId29" xr:uid="{EEC42CC4-281B-BF4C-8362-7B0C8F581685}"/>
    <hyperlink ref="E33" r:id="rId30" xr:uid="{2D116B1E-729B-414A-98DB-206E5035A9C7}"/>
    <hyperlink ref="E27" r:id="rId31" xr:uid="{E5029151-E410-B94E-B570-605FC217062C}"/>
    <hyperlink ref="E22" r:id="rId32" xr:uid="{0D9E2D0B-56A1-B146-8CDD-373717F210EA}"/>
    <hyperlink ref="E21" r:id="rId33" xr:uid="{8A310C2F-AEDB-1E42-938A-F0C4F33F8EC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B8389-6FDD-4286-B13B-BDBEDABD986C}">
  <dimension ref="A1:D5"/>
  <sheetViews>
    <sheetView workbookViewId="0">
      <pane xSplit="2" ySplit="2" topLeftCell="C3" activePane="bottomRight" state="frozen"/>
      <selection pane="topRight" activeCell="C1" sqref="C1"/>
      <selection pane="bottomLeft" activeCell="A3" sqref="A3"/>
      <selection pane="bottomRight" activeCell="B7" sqref="B7"/>
    </sheetView>
  </sheetViews>
  <sheetFormatPr defaultRowHeight="12.75" x14ac:dyDescent="0.2"/>
  <cols>
    <col min="1" max="1" width="4.375" style="280" bestFit="1" customWidth="1"/>
    <col min="2" max="16384" width="9" style="280"/>
  </cols>
  <sheetData>
    <row r="1" spans="1:4" x14ac:dyDescent="0.2">
      <c r="A1" s="25" t="s">
        <v>1165</v>
      </c>
    </row>
    <row r="2" spans="1:4" x14ac:dyDescent="0.2">
      <c r="B2" s="280" t="s">
        <v>3981</v>
      </c>
      <c r="C2" s="280" t="s">
        <v>5755</v>
      </c>
      <c r="D2" s="280" t="s">
        <v>6242</v>
      </c>
    </row>
    <row r="3" spans="1:4" x14ac:dyDescent="0.2">
      <c r="B3" s="280" t="s">
        <v>7975</v>
      </c>
      <c r="C3" s="280" t="s">
        <v>0</v>
      </c>
    </row>
    <row r="4" spans="1:4" x14ac:dyDescent="0.2">
      <c r="B4" s="280" t="s">
        <v>7976</v>
      </c>
    </row>
    <row r="5" spans="1:4" x14ac:dyDescent="0.2">
      <c r="B5" s="280" t="s">
        <v>7977</v>
      </c>
    </row>
  </sheetData>
  <hyperlinks>
    <hyperlink ref="A1" location="Main!A1" display="Main" xr:uid="{CF1468A6-F945-48BC-B871-EF73699D337F}"/>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AC585-C617-4E2F-9673-50156E3B392B}">
  <dimension ref="A1:O33"/>
  <sheetViews>
    <sheetView tabSelected="1" zoomScale="175" zoomScaleNormal="175" workbookViewId="0">
      <pane xSplit="2" ySplit="2" topLeftCell="C20" activePane="bottomRight" state="frozen"/>
      <selection pane="topRight" activeCell="C1" sqref="C1"/>
      <selection pane="bottomLeft" activeCell="A3" sqref="A3"/>
      <selection pane="bottomRight" activeCell="B34" sqref="B34"/>
    </sheetView>
  </sheetViews>
  <sheetFormatPr defaultColWidth="9" defaultRowHeight="12.75" x14ac:dyDescent="0.2"/>
  <cols>
    <col min="1" max="1" width="4.625" style="108" bestFit="1" customWidth="1"/>
    <col min="2" max="2" width="15.875" style="108" bestFit="1" customWidth="1"/>
    <col min="3" max="5" width="9" style="108"/>
    <col min="6" max="6" width="9" style="154"/>
    <col min="7" max="16384" width="9" style="108"/>
  </cols>
  <sheetData>
    <row r="1" spans="1:15" x14ac:dyDescent="0.2">
      <c r="A1" s="25" t="s">
        <v>1165</v>
      </c>
      <c r="B1" s="132"/>
      <c r="C1" s="133"/>
      <c r="D1" s="133"/>
      <c r="E1" s="109"/>
      <c r="F1" s="133"/>
      <c r="G1" s="134"/>
      <c r="H1" s="109"/>
      <c r="I1" s="109"/>
      <c r="J1" s="109"/>
      <c r="K1" s="109"/>
      <c r="L1" s="109"/>
      <c r="M1" s="109"/>
      <c r="N1" s="109"/>
      <c r="O1" s="110"/>
    </row>
    <row r="2" spans="1:15" x14ac:dyDescent="0.2">
      <c r="A2" s="25"/>
      <c r="B2" s="110" t="s">
        <v>3981</v>
      </c>
      <c r="C2" s="155" t="s">
        <v>5689</v>
      </c>
      <c r="D2" s="155" t="s">
        <v>1800</v>
      </c>
      <c r="E2" s="109" t="s">
        <v>4971</v>
      </c>
      <c r="F2" s="133" t="s">
        <v>6348</v>
      </c>
      <c r="G2" s="134" t="s">
        <v>1150</v>
      </c>
      <c r="H2" s="109" t="s">
        <v>5688</v>
      </c>
      <c r="I2" s="109"/>
      <c r="J2" s="109"/>
      <c r="K2" s="109"/>
      <c r="L2" s="109"/>
      <c r="M2" s="109"/>
      <c r="N2" s="109"/>
      <c r="O2" s="110"/>
    </row>
    <row r="3" spans="1:15" x14ac:dyDescent="0.2">
      <c r="B3" s="108" t="s">
        <v>6264</v>
      </c>
      <c r="E3" s="25" t="s">
        <v>6265</v>
      </c>
      <c r="F3" s="154">
        <v>58300</v>
      </c>
    </row>
    <row r="4" spans="1:15" x14ac:dyDescent="0.2">
      <c r="B4" s="108" t="s">
        <v>6266</v>
      </c>
      <c r="C4" s="108" t="s">
        <v>6268</v>
      </c>
      <c r="E4" s="25" t="s">
        <v>6267</v>
      </c>
      <c r="F4" s="154">
        <v>37800</v>
      </c>
    </row>
    <row r="5" spans="1:15" x14ac:dyDescent="0.2">
      <c r="B5" s="108" t="s">
        <v>6258</v>
      </c>
      <c r="C5" s="108" t="s">
        <v>3941</v>
      </c>
      <c r="E5" s="25" t="s">
        <v>6259</v>
      </c>
      <c r="F5" s="154">
        <v>27600</v>
      </c>
    </row>
    <row r="6" spans="1:15" x14ac:dyDescent="0.2">
      <c r="B6" s="108" t="s">
        <v>6349</v>
      </c>
      <c r="C6" s="108" t="s">
        <v>4158</v>
      </c>
      <c r="E6" s="25" t="s">
        <v>6350</v>
      </c>
      <c r="F6" s="154">
        <v>26300</v>
      </c>
    </row>
    <row r="7" spans="1:15" x14ac:dyDescent="0.2">
      <c r="B7" s="108" t="s">
        <v>6260</v>
      </c>
      <c r="E7" s="25" t="s">
        <v>6261</v>
      </c>
      <c r="F7" s="154">
        <v>26100</v>
      </c>
    </row>
    <row r="8" spans="1:15" x14ac:dyDescent="0.2">
      <c r="B8" s="109" t="s">
        <v>3987</v>
      </c>
      <c r="D8" s="41"/>
      <c r="E8" s="41" t="s">
        <v>3986</v>
      </c>
      <c r="F8" s="133">
        <v>16700</v>
      </c>
      <c r="G8" s="110" t="s">
        <v>6345</v>
      </c>
      <c r="H8" s="109"/>
      <c r="I8" s="109"/>
      <c r="J8" s="109"/>
      <c r="K8" s="109"/>
      <c r="L8" s="109"/>
      <c r="M8" s="109"/>
      <c r="N8" s="109"/>
      <c r="O8" s="110"/>
    </row>
    <row r="9" spans="1:15" x14ac:dyDescent="0.2">
      <c r="B9" s="108" t="s">
        <v>6041</v>
      </c>
      <c r="E9" s="25" t="s">
        <v>6040</v>
      </c>
      <c r="F9" s="154">
        <v>14900</v>
      </c>
      <c r="G9" s="108" t="s">
        <v>6042</v>
      </c>
    </row>
    <row r="10" spans="1:15" x14ac:dyDescent="0.2">
      <c r="B10" s="108" t="s">
        <v>4085</v>
      </c>
      <c r="C10" s="108" t="s">
        <v>0</v>
      </c>
      <c r="E10" s="156" t="s">
        <v>4177</v>
      </c>
      <c r="F10" s="154">
        <v>15300</v>
      </c>
    </row>
    <row r="11" spans="1:15" x14ac:dyDescent="0.2">
      <c r="B11" s="108" t="s">
        <v>6256</v>
      </c>
      <c r="E11" s="25" t="s">
        <v>6257</v>
      </c>
      <c r="F11" s="154">
        <v>12600</v>
      </c>
    </row>
    <row r="12" spans="1:15" x14ac:dyDescent="0.2">
      <c r="B12" s="109" t="s">
        <v>3983</v>
      </c>
      <c r="D12" s="157"/>
      <c r="E12" s="157" t="s">
        <v>3982</v>
      </c>
      <c r="F12" s="133">
        <v>6700</v>
      </c>
      <c r="G12" s="134"/>
      <c r="H12" s="109"/>
      <c r="I12" s="109"/>
      <c r="J12" s="109"/>
      <c r="K12" s="109"/>
      <c r="L12" s="109"/>
      <c r="M12" s="109"/>
      <c r="N12" s="109"/>
      <c r="O12" s="110"/>
    </row>
    <row r="13" spans="1:15" x14ac:dyDescent="0.2">
      <c r="B13" s="108" t="s">
        <v>6343</v>
      </c>
      <c r="E13" s="25" t="s">
        <v>6344</v>
      </c>
      <c r="F13" s="154">
        <v>5100</v>
      </c>
    </row>
    <row r="14" spans="1:15" x14ac:dyDescent="0.2">
      <c r="B14" s="108" t="s">
        <v>6262</v>
      </c>
      <c r="E14" s="25" t="s">
        <v>6263</v>
      </c>
      <c r="F14" s="154">
        <v>5000</v>
      </c>
    </row>
    <row r="15" spans="1:15" x14ac:dyDescent="0.2">
      <c r="B15" s="108" t="s">
        <v>6336</v>
      </c>
      <c r="E15" s="25" t="s">
        <v>6352</v>
      </c>
      <c r="F15" s="154">
        <v>4600</v>
      </c>
    </row>
    <row r="16" spans="1:15" x14ac:dyDescent="0.2">
      <c r="B16" s="169" t="s">
        <v>6484</v>
      </c>
      <c r="E16" s="25" t="s">
        <v>6485</v>
      </c>
      <c r="F16" s="154">
        <v>2100</v>
      </c>
    </row>
    <row r="17" spans="1:15" ht="15" x14ac:dyDescent="0.25">
      <c r="B17" s="108" t="s">
        <v>6337</v>
      </c>
      <c r="E17" s="25" t="s">
        <v>6353</v>
      </c>
      <c r="F17" s="154">
        <v>1900</v>
      </c>
      <c r="H17" s="44" t="s">
        <v>6489</v>
      </c>
    </row>
    <row r="18" spans="1:15" x14ac:dyDescent="0.2">
      <c r="B18" s="108" t="s">
        <v>6347</v>
      </c>
      <c r="E18" s="25" t="s">
        <v>6346</v>
      </c>
      <c r="F18" s="154">
        <v>1200</v>
      </c>
    </row>
    <row r="19" spans="1:15" x14ac:dyDescent="0.2">
      <c r="A19" s="109"/>
      <c r="B19" s="110" t="s">
        <v>6031</v>
      </c>
      <c r="D19" s="110" t="s">
        <v>3334</v>
      </c>
      <c r="E19" s="106" t="s">
        <v>6030</v>
      </c>
      <c r="F19" s="133">
        <v>967</v>
      </c>
      <c r="G19" s="134"/>
      <c r="H19" s="109"/>
      <c r="I19" s="109"/>
      <c r="J19" s="109"/>
      <c r="K19" s="109"/>
      <c r="L19" s="109"/>
      <c r="M19" s="109"/>
      <c r="N19" s="109"/>
      <c r="O19" s="110"/>
    </row>
    <row r="20" spans="1:15" ht="15" x14ac:dyDescent="0.25">
      <c r="A20" s="109"/>
      <c r="B20" s="168" t="s">
        <v>6514</v>
      </c>
      <c r="D20" s="110"/>
      <c r="E20" s="170" t="s">
        <v>6513</v>
      </c>
      <c r="F20" s="133">
        <v>512</v>
      </c>
      <c r="G20" s="134"/>
      <c r="H20" s="109"/>
      <c r="I20" s="109"/>
      <c r="J20" s="109"/>
      <c r="K20" s="109"/>
      <c r="L20" s="109"/>
      <c r="M20" s="109"/>
      <c r="N20" s="109"/>
      <c r="O20" s="110"/>
    </row>
    <row r="21" spans="1:15" x14ac:dyDescent="0.2">
      <c r="B21" s="108" t="s">
        <v>6035</v>
      </c>
      <c r="E21" s="25" t="s">
        <v>6036</v>
      </c>
      <c r="F21" s="154">
        <v>391</v>
      </c>
      <c r="H21" s="25" t="s">
        <v>6037</v>
      </c>
    </row>
    <row r="22" spans="1:15" x14ac:dyDescent="0.2">
      <c r="B22" s="108" t="s">
        <v>6034</v>
      </c>
      <c r="C22" s="108" t="s">
        <v>3850</v>
      </c>
      <c r="E22" s="108" t="s">
        <v>6033</v>
      </c>
      <c r="F22" s="158" t="s">
        <v>1</v>
      </c>
    </row>
    <row r="23" spans="1:15" x14ac:dyDescent="0.2">
      <c r="B23" s="108" t="s">
        <v>6270</v>
      </c>
      <c r="E23" s="25" t="s">
        <v>6269</v>
      </c>
    </row>
    <row r="24" spans="1:15" x14ac:dyDescent="0.2">
      <c r="B24" s="108" t="s">
        <v>6335</v>
      </c>
      <c r="E24" s="25" t="s">
        <v>6334</v>
      </c>
    </row>
    <row r="25" spans="1:15" x14ac:dyDescent="0.2">
      <c r="B25" s="109" t="s">
        <v>3991</v>
      </c>
      <c r="C25" s="109" t="s">
        <v>3990</v>
      </c>
      <c r="D25" s="109"/>
      <c r="E25" s="41" t="s">
        <v>3989</v>
      </c>
      <c r="F25" s="133"/>
      <c r="G25" s="134"/>
      <c r="H25" s="109"/>
      <c r="I25" s="109"/>
      <c r="J25" s="109"/>
      <c r="K25" s="109"/>
      <c r="L25" s="109"/>
      <c r="M25" s="109"/>
      <c r="N25" s="109"/>
      <c r="O25" s="110"/>
    </row>
    <row r="26" spans="1:15" x14ac:dyDescent="0.2">
      <c r="B26" s="109" t="s">
        <v>3988</v>
      </c>
      <c r="C26" s="132"/>
      <c r="D26" s="132"/>
      <c r="E26" s="106" t="s">
        <v>6351</v>
      </c>
      <c r="F26" s="133"/>
      <c r="G26" s="134"/>
      <c r="H26" s="109"/>
      <c r="I26" s="109"/>
      <c r="J26" s="109"/>
      <c r="K26" s="109"/>
      <c r="L26" s="109"/>
      <c r="M26" s="109"/>
      <c r="N26" s="109"/>
      <c r="O26" s="110"/>
    </row>
    <row r="27" spans="1:15" ht="15" x14ac:dyDescent="0.25">
      <c r="B27" s="108" t="s">
        <v>6338</v>
      </c>
      <c r="E27" s="25" t="s">
        <v>6354</v>
      </c>
      <c r="H27" s="44" t="s">
        <v>6462</v>
      </c>
    </row>
    <row r="28" spans="1:15" x14ac:dyDescent="0.2">
      <c r="B28" s="108" t="s">
        <v>6341</v>
      </c>
      <c r="E28" s="25" t="s">
        <v>6342</v>
      </c>
    </row>
    <row r="29" spans="1:15" x14ac:dyDescent="0.2">
      <c r="B29" s="109" t="s">
        <v>3985</v>
      </c>
      <c r="D29" s="41"/>
      <c r="E29" s="41" t="s">
        <v>3984</v>
      </c>
      <c r="F29" s="133"/>
      <c r="G29" s="134"/>
      <c r="H29" s="109"/>
      <c r="I29" s="109"/>
      <c r="J29" s="109"/>
      <c r="K29" s="109"/>
      <c r="L29" s="109"/>
      <c r="M29" s="109"/>
      <c r="N29" s="109"/>
      <c r="O29" s="110"/>
    </row>
    <row r="30" spans="1:15" x14ac:dyDescent="0.2">
      <c r="B30" s="169" t="s">
        <v>6479</v>
      </c>
      <c r="E30" s="25" t="s">
        <v>6480</v>
      </c>
    </row>
    <row r="31" spans="1:15" x14ac:dyDescent="0.2">
      <c r="B31" s="280" t="s">
        <v>7929</v>
      </c>
      <c r="E31" s="108" t="s">
        <v>7930</v>
      </c>
    </row>
    <row r="32" spans="1:15" x14ac:dyDescent="0.2">
      <c r="B32" s="280" t="s">
        <v>7932</v>
      </c>
      <c r="E32" s="108" t="s">
        <v>7931</v>
      </c>
    </row>
    <row r="33" spans="2:2" x14ac:dyDescent="0.2">
      <c r="B33" s="280" t="s">
        <v>7990</v>
      </c>
    </row>
  </sheetData>
  <hyperlinks>
    <hyperlink ref="E8" r:id="rId1" xr:uid="{10858B8D-B9B6-E747-90C5-F7D1854E7AA1}"/>
    <hyperlink ref="E25" r:id="rId2" xr:uid="{8DDB9069-F31A-4B44-BEE7-10A7487A4BC2}"/>
    <hyperlink ref="E29" r:id="rId3" xr:uid="{D0E2D237-FDAD-9440-B97E-AF3649197E9B}"/>
    <hyperlink ref="E12" r:id="rId4" xr:uid="{E7F216B1-B7DC-264F-AD7D-8F3045ABB9DF}"/>
    <hyperlink ref="A1" location="Main!A1" display="Main" xr:uid="{7A291161-CD29-417E-9B19-EDA1188D5DE8}"/>
    <hyperlink ref="E19" r:id="rId5" xr:uid="{23FB39DA-0E2B-46B8-AE5A-51D7515EDC06}"/>
    <hyperlink ref="E21" r:id="rId6" xr:uid="{A473BF36-F337-46E8-8C61-C652EA351AF9}"/>
    <hyperlink ref="H21" r:id="rId7" xr:uid="{35776FAE-9B23-4A0D-8AAB-E2A6A9D1B53F}"/>
    <hyperlink ref="E9" r:id="rId8" xr:uid="{2A9AA674-32C6-47DB-9B4D-B5D0CB96A051}"/>
    <hyperlink ref="E10" r:id="rId9" xr:uid="{D76F1574-5DEC-9C48-9696-2F8D04A8718B}"/>
    <hyperlink ref="E5" r:id="rId10" xr:uid="{87101C34-B40E-814B-BE9A-F73857734154}"/>
    <hyperlink ref="E7" r:id="rId11" xr:uid="{81A72A6A-041B-F745-AD5B-DBA2AEC5B664}"/>
    <hyperlink ref="E14" r:id="rId12" xr:uid="{14A08947-C1AF-B545-91C2-B852C7C4229C}"/>
    <hyperlink ref="E3" r:id="rId13" xr:uid="{7487E7B5-F8AF-5E4F-9945-0F4956733488}"/>
    <hyperlink ref="E4" r:id="rId14" xr:uid="{D27474A5-8128-C847-B62D-032306558394}"/>
    <hyperlink ref="E23" r:id="rId15" xr:uid="{FF80EFD0-733C-214A-9D62-D0D16A9C5EA8}"/>
    <hyperlink ref="E24" r:id="rId16" xr:uid="{466DBC55-63FC-3A47-8915-E5ECDFA03B7B}"/>
    <hyperlink ref="E28" r:id="rId17" xr:uid="{E835EBC6-BE22-B449-9864-FF17BAE324BB}"/>
    <hyperlink ref="E18" r:id="rId18" xr:uid="{570E5923-D6B4-854A-A66C-1D100F53C8EC}"/>
    <hyperlink ref="E13" r:id="rId19" xr:uid="{7F4E4257-CACC-F844-8BBF-9499501CC0E8}"/>
    <hyperlink ref="E11" r:id="rId20" xr:uid="{1411F4FD-AA88-5F45-BF58-50B7A3F16E34}"/>
    <hyperlink ref="E6" r:id="rId21" xr:uid="{BD65F4A6-50D8-F146-879A-76AAD2A94D5C}"/>
    <hyperlink ref="E26" r:id="rId22" xr:uid="{602D70C2-D493-7548-9F2B-7C85112320A6}"/>
    <hyperlink ref="E15" r:id="rId23" xr:uid="{5AB7200C-B154-B842-9518-6A37E8C099AB}"/>
    <hyperlink ref="E17" r:id="rId24" xr:uid="{F3120436-EE4C-8540-9CD4-1B2917C86785}"/>
    <hyperlink ref="E27" r:id="rId25" xr:uid="{1FD998A5-E52F-C84A-969E-B24C594731BA}"/>
    <hyperlink ref="H27" r:id="rId26" xr:uid="{18FF6B95-647B-004A-B737-31152C6DE11A}"/>
    <hyperlink ref="E30" r:id="rId27" xr:uid="{EB8796F3-4E5B-D04D-9F51-40C198FE902F}"/>
    <hyperlink ref="H17" r:id="rId28" xr:uid="{A5A38515-6805-B346-8830-F33140CCE006}"/>
    <hyperlink ref="E20" r:id="rId29" xr:uid="{626796AF-B095-DE40-8370-A7C8B1AD2E70}"/>
  </hyperlinks>
  <pageMargins left="0.7" right="0.7" top="0.75" bottom="0.75" header="0.3" footer="0.3"/>
  <pageSetup orientation="portrait" r:id="rId3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EC1C8-C1FD-3448-80F3-7D6985BD9AD1}">
  <dimension ref="A1:Q133"/>
  <sheetViews>
    <sheetView zoomScale="140" zoomScaleNormal="140" workbookViewId="0">
      <pane xSplit="2" ySplit="2" topLeftCell="C3" activePane="bottomRight" state="frozen"/>
      <selection pane="topRight" activeCell="C1" sqref="C1"/>
      <selection pane="bottomLeft" activeCell="A3" sqref="A3"/>
      <selection pane="bottomRight" activeCell="G9" sqref="G9"/>
    </sheetView>
  </sheetViews>
  <sheetFormatPr defaultColWidth="10.875" defaultRowHeight="12.75" x14ac:dyDescent="0.2"/>
  <cols>
    <col min="1" max="1" width="4.875" style="45" bestFit="1" customWidth="1"/>
    <col min="2" max="2" width="18.375" style="45" customWidth="1"/>
    <col min="3" max="3" width="19" style="45" customWidth="1"/>
    <col min="4" max="9" width="10.875" style="45"/>
    <col min="10" max="12" width="10.875" style="211"/>
    <col min="13" max="16384" width="10.875" style="45"/>
  </cols>
  <sheetData>
    <row r="1" spans="1:17" x14ac:dyDescent="0.2">
      <c r="A1" s="25" t="s">
        <v>1165</v>
      </c>
      <c r="N1" s="45">
        <f>COUNTIF(N3:N42,"White")</f>
        <v>30</v>
      </c>
    </row>
    <row r="2" spans="1:17" x14ac:dyDescent="0.2">
      <c r="A2" s="25"/>
      <c r="B2" s="218" t="s">
        <v>3981</v>
      </c>
      <c r="C2" s="218" t="s">
        <v>6158</v>
      </c>
      <c r="D2" s="219" t="s">
        <v>5690</v>
      </c>
      <c r="E2" s="208" t="s">
        <v>4644</v>
      </c>
      <c r="F2" s="248" t="s">
        <v>7389</v>
      </c>
      <c r="G2" s="208" t="s">
        <v>1150</v>
      </c>
      <c r="H2" s="208" t="s">
        <v>5909</v>
      </c>
      <c r="I2" s="208" t="s">
        <v>5690</v>
      </c>
      <c r="J2" s="212" t="s">
        <v>7110</v>
      </c>
      <c r="K2" s="212" t="s">
        <v>7111</v>
      </c>
      <c r="L2" s="212" t="s">
        <v>7118</v>
      </c>
      <c r="M2" s="242" t="s">
        <v>7382</v>
      </c>
      <c r="N2" s="242" t="s">
        <v>7383</v>
      </c>
      <c r="O2" s="248" t="s">
        <v>7387</v>
      </c>
      <c r="P2" s="248" t="s">
        <v>5909</v>
      </c>
      <c r="Q2" s="248" t="s">
        <v>5690</v>
      </c>
    </row>
    <row r="3" spans="1:17" x14ac:dyDescent="0.2">
      <c r="A3" s="25"/>
      <c r="B3" s="183" t="s">
        <v>7116</v>
      </c>
      <c r="C3" s="91" t="s">
        <v>5321</v>
      </c>
      <c r="D3" s="40">
        <v>702026</v>
      </c>
      <c r="E3" s="248" t="s">
        <v>7388</v>
      </c>
      <c r="F3" s="248" t="s">
        <v>7390</v>
      </c>
      <c r="G3" s="208"/>
      <c r="H3" s="248" t="s">
        <v>7391</v>
      </c>
      <c r="I3" s="45">
        <v>69038</v>
      </c>
      <c r="J3" s="211">
        <v>1947</v>
      </c>
      <c r="K3" s="262" t="s">
        <v>7176</v>
      </c>
      <c r="L3" s="211">
        <f t="shared" ref="L3:L15" si="0">2023-J3</f>
        <v>76</v>
      </c>
      <c r="M3" s="248" t="s">
        <v>7484</v>
      </c>
      <c r="N3" s="242" t="s">
        <v>7384</v>
      </c>
      <c r="O3" s="25" t="s">
        <v>7386</v>
      </c>
    </row>
    <row r="4" spans="1:17" x14ac:dyDescent="0.2">
      <c r="B4" s="47" t="s">
        <v>4491</v>
      </c>
      <c r="C4" s="91" t="s">
        <v>5944</v>
      </c>
      <c r="D4" s="40">
        <v>692997</v>
      </c>
      <c r="F4" s="248" t="s">
        <v>7392</v>
      </c>
      <c r="H4" s="248" t="s">
        <v>7391</v>
      </c>
      <c r="I4" s="45">
        <v>69038</v>
      </c>
      <c r="J4" s="211">
        <v>1964</v>
      </c>
      <c r="K4" s="262" t="s">
        <v>7176</v>
      </c>
      <c r="L4" s="211">
        <f t="shared" si="0"/>
        <v>59</v>
      </c>
      <c r="M4" s="248" t="s">
        <v>7484</v>
      </c>
      <c r="N4" s="242" t="s">
        <v>7384</v>
      </c>
    </row>
    <row r="5" spans="1:17" x14ac:dyDescent="0.2">
      <c r="B5" s="214" t="s">
        <v>7207</v>
      </c>
      <c r="C5" s="91"/>
      <c r="D5" s="40">
        <v>473125</v>
      </c>
      <c r="F5" s="248" t="s">
        <v>4158</v>
      </c>
      <c r="M5" s="248" t="s">
        <v>7484</v>
      </c>
      <c r="N5" s="242" t="s">
        <v>7384</v>
      </c>
    </row>
    <row r="6" spans="1:17" x14ac:dyDescent="0.2">
      <c r="B6" s="40" t="s">
        <v>4109</v>
      </c>
      <c r="C6" s="183" t="s">
        <v>7117</v>
      </c>
      <c r="D6" s="45">
        <v>426529</v>
      </c>
      <c r="E6" s="41" t="s">
        <v>4108</v>
      </c>
      <c r="F6" s="248" t="s">
        <v>0</v>
      </c>
      <c r="J6" s="211">
        <v>1985</v>
      </c>
      <c r="K6" s="262" t="s">
        <v>7176</v>
      </c>
      <c r="L6" s="211">
        <f t="shared" si="0"/>
        <v>38</v>
      </c>
      <c r="M6" s="248" t="s">
        <v>7484</v>
      </c>
      <c r="N6" s="242" t="s">
        <v>7384</v>
      </c>
    </row>
    <row r="7" spans="1:17" x14ac:dyDescent="0.2">
      <c r="A7" s="25"/>
      <c r="B7" s="40" t="s">
        <v>4139</v>
      </c>
      <c r="C7" s="91" t="s">
        <v>5330</v>
      </c>
      <c r="D7" s="208">
        <v>317756</v>
      </c>
      <c r="E7" s="208"/>
      <c r="F7" s="248" t="s">
        <v>782</v>
      </c>
      <c r="G7" s="208"/>
      <c r="H7" s="248" t="s">
        <v>7391</v>
      </c>
      <c r="I7" s="45">
        <v>69038</v>
      </c>
      <c r="J7" s="211">
        <v>1960</v>
      </c>
      <c r="K7" s="262" t="s">
        <v>7176</v>
      </c>
      <c r="L7" s="211">
        <f t="shared" si="0"/>
        <v>63</v>
      </c>
      <c r="M7" s="248" t="s">
        <v>7484</v>
      </c>
      <c r="N7" s="242" t="s">
        <v>7385</v>
      </c>
    </row>
    <row r="8" spans="1:17" x14ac:dyDescent="0.2">
      <c r="B8" s="40" t="s">
        <v>3964</v>
      </c>
      <c r="C8" s="40" t="s">
        <v>4155</v>
      </c>
      <c r="D8" s="40">
        <v>262714</v>
      </c>
      <c r="F8" s="248" t="s">
        <v>3850</v>
      </c>
      <c r="J8" s="211">
        <v>1968</v>
      </c>
      <c r="K8" s="262" t="s">
        <v>7176</v>
      </c>
      <c r="L8" s="211">
        <f t="shared" si="0"/>
        <v>55</v>
      </c>
      <c r="M8" s="248" t="s">
        <v>7484</v>
      </c>
      <c r="N8" s="242" t="s">
        <v>7384</v>
      </c>
    </row>
    <row r="9" spans="1:17" x14ac:dyDescent="0.2">
      <c r="B9" s="47" t="s">
        <v>4508</v>
      </c>
      <c r="C9" s="183" t="s">
        <v>7119</v>
      </c>
      <c r="D9" s="40">
        <v>255632</v>
      </c>
      <c r="F9" s="248" t="s">
        <v>3850</v>
      </c>
      <c r="J9" s="211">
        <v>1987</v>
      </c>
      <c r="K9" s="262" t="s">
        <v>7176</v>
      </c>
      <c r="L9" s="211">
        <f t="shared" si="0"/>
        <v>36</v>
      </c>
      <c r="M9" s="248" t="s">
        <v>7484</v>
      </c>
      <c r="N9" s="242" t="s">
        <v>7384</v>
      </c>
    </row>
    <row r="10" spans="1:17" x14ac:dyDescent="0.2">
      <c r="B10" s="40" t="s">
        <v>3312</v>
      </c>
      <c r="C10" s="47" t="s">
        <v>4490</v>
      </c>
      <c r="D10" s="40">
        <v>235603</v>
      </c>
      <c r="F10" s="248" t="s">
        <v>313</v>
      </c>
      <c r="J10" s="211">
        <v>1976</v>
      </c>
      <c r="K10" s="262" t="s">
        <v>7176</v>
      </c>
      <c r="L10" s="211">
        <f t="shared" si="0"/>
        <v>47</v>
      </c>
      <c r="M10" s="248" t="s">
        <v>7484</v>
      </c>
      <c r="N10" s="242" t="s">
        <v>7385</v>
      </c>
    </row>
    <row r="11" spans="1:17" x14ac:dyDescent="0.2">
      <c r="B11" s="40" t="s">
        <v>4142</v>
      </c>
      <c r="C11" s="183" t="s">
        <v>6207</v>
      </c>
      <c r="D11" s="40">
        <v>234531</v>
      </c>
      <c r="F11" s="248" t="s">
        <v>1</v>
      </c>
      <c r="J11" s="211">
        <v>1987</v>
      </c>
      <c r="K11" s="262" t="s">
        <v>7176</v>
      </c>
      <c r="L11" s="211">
        <f t="shared" si="0"/>
        <v>36</v>
      </c>
      <c r="M11" s="248" t="s">
        <v>7484</v>
      </c>
      <c r="N11" s="242" t="s">
        <v>7384</v>
      </c>
    </row>
    <row r="12" spans="1:17" x14ac:dyDescent="0.2">
      <c r="B12" s="47" t="s">
        <v>4509</v>
      </c>
      <c r="C12" s="40"/>
      <c r="D12" s="40">
        <v>222313</v>
      </c>
      <c r="F12" s="248" t="s">
        <v>3850</v>
      </c>
      <c r="J12" s="211">
        <v>1983</v>
      </c>
      <c r="K12" s="262" t="s">
        <v>7176</v>
      </c>
      <c r="L12" s="211">
        <f>2023-J12</f>
        <v>40</v>
      </c>
      <c r="M12" s="248" t="s">
        <v>7484</v>
      </c>
      <c r="N12" s="242" t="s">
        <v>7384</v>
      </c>
    </row>
    <row r="13" spans="1:17" x14ac:dyDescent="0.2">
      <c r="B13" s="244" t="s">
        <v>7380</v>
      </c>
      <c r="C13" s="40"/>
      <c r="D13" s="40">
        <v>217498</v>
      </c>
      <c r="F13" s="248" t="s">
        <v>4158</v>
      </c>
      <c r="K13" s="262" t="s">
        <v>7176</v>
      </c>
      <c r="M13" s="242" t="s">
        <v>7381</v>
      </c>
      <c r="N13" s="242" t="s">
        <v>7385</v>
      </c>
    </row>
    <row r="14" spans="1:17" x14ac:dyDescent="0.2">
      <c r="B14" s="214" t="s">
        <v>7184</v>
      </c>
      <c r="C14" s="40"/>
      <c r="D14" s="40">
        <v>211018</v>
      </c>
      <c r="F14" s="248" t="s">
        <v>7392</v>
      </c>
      <c r="K14" s="262" t="s">
        <v>7176</v>
      </c>
      <c r="M14" s="248" t="s">
        <v>7484</v>
      </c>
      <c r="N14" s="242" t="s">
        <v>7384</v>
      </c>
    </row>
    <row r="15" spans="1:17" x14ac:dyDescent="0.2">
      <c r="B15" s="47" t="s">
        <v>4489</v>
      </c>
      <c r="C15" s="183" t="s">
        <v>3850</v>
      </c>
      <c r="D15" s="40">
        <v>196079</v>
      </c>
      <c r="F15" s="248" t="s">
        <v>3850</v>
      </c>
      <c r="J15" s="211">
        <v>1982</v>
      </c>
      <c r="K15" s="262" t="s">
        <v>7176</v>
      </c>
      <c r="L15" s="211">
        <f t="shared" si="0"/>
        <v>41</v>
      </c>
      <c r="M15" s="248" t="s">
        <v>7484</v>
      </c>
      <c r="N15" s="242" t="s">
        <v>7385</v>
      </c>
    </row>
    <row r="16" spans="1:17" s="208" customFormat="1" x14ac:dyDescent="0.2">
      <c r="B16" s="183" t="s">
        <v>4169</v>
      </c>
      <c r="C16" s="183" t="s">
        <v>4168</v>
      </c>
      <c r="D16" s="183">
        <v>190212</v>
      </c>
      <c r="E16" s="195" t="s">
        <v>7120</v>
      </c>
      <c r="F16" s="248" t="s">
        <v>7390</v>
      </c>
      <c r="J16" s="212"/>
      <c r="K16" s="262" t="s">
        <v>7176</v>
      </c>
      <c r="L16" s="212"/>
      <c r="M16" s="248" t="s">
        <v>7484</v>
      </c>
      <c r="N16" s="242" t="s">
        <v>7385</v>
      </c>
    </row>
    <row r="17" spans="2:14" s="208" customFormat="1" x14ac:dyDescent="0.2">
      <c r="B17" s="214" t="s">
        <v>7201</v>
      </c>
      <c r="C17" s="183"/>
      <c r="D17" s="183">
        <v>167886</v>
      </c>
      <c r="E17" s="195"/>
      <c r="F17" s="195"/>
      <c r="J17" s="212"/>
      <c r="K17" s="262" t="s">
        <v>7176</v>
      </c>
      <c r="L17" s="212"/>
      <c r="M17" s="248" t="s">
        <v>7484</v>
      </c>
      <c r="N17" s="242" t="s">
        <v>7384</v>
      </c>
    </row>
    <row r="18" spans="2:14" x14ac:dyDescent="0.2">
      <c r="B18" s="47" t="s">
        <v>4517</v>
      </c>
      <c r="C18" s="183" t="s">
        <v>4116</v>
      </c>
      <c r="D18" s="40">
        <v>157591</v>
      </c>
      <c r="J18" s="211">
        <v>1976</v>
      </c>
      <c r="L18" s="211">
        <f t="shared" ref="L18:L25" si="1">2023-J18</f>
        <v>47</v>
      </c>
      <c r="M18" s="248" t="s">
        <v>7484</v>
      </c>
      <c r="N18" s="242" t="s">
        <v>7384</v>
      </c>
    </row>
    <row r="19" spans="2:14" x14ac:dyDescent="0.2">
      <c r="B19" s="47" t="s">
        <v>4488</v>
      </c>
      <c r="C19" s="40"/>
      <c r="D19" s="40">
        <v>155108</v>
      </c>
      <c r="J19" s="211">
        <v>1983</v>
      </c>
      <c r="L19" s="211">
        <f t="shared" si="1"/>
        <v>40</v>
      </c>
      <c r="M19" s="248" t="s">
        <v>7484</v>
      </c>
      <c r="N19" s="242" t="s">
        <v>7384</v>
      </c>
    </row>
    <row r="20" spans="2:14" x14ac:dyDescent="0.2">
      <c r="B20" s="214" t="s">
        <v>7192</v>
      </c>
      <c r="C20" s="40"/>
      <c r="D20" s="40">
        <v>147441</v>
      </c>
      <c r="M20" s="248" t="s">
        <v>7484</v>
      </c>
      <c r="N20" s="242" t="s">
        <v>7384</v>
      </c>
    </row>
    <row r="21" spans="2:14" x14ac:dyDescent="0.2">
      <c r="B21" s="47" t="s">
        <v>4514</v>
      </c>
      <c r="C21" s="40"/>
      <c r="D21" s="40">
        <v>132955</v>
      </c>
      <c r="J21" s="211">
        <v>1936</v>
      </c>
      <c r="L21" s="211">
        <f t="shared" si="1"/>
        <v>87</v>
      </c>
      <c r="M21" s="248" t="s">
        <v>7484</v>
      </c>
      <c r="N21" s="242" t="s">
        <v>7384</v>
      </c>
    </row>
    <row r="22" spans="2:14" x14ac:dyDescent="0.2">
      <c r="B22" s="214" t="s">
        <v>7185</v>
      </c>
      <c r="C22" s="40"/>
      <c r="D22" s="40">
        <v>129917</v>
      </c>
      <c r="M22" s="248" t="s">
        <v>7484</v>
      </c>
      <c r="N22" s="242" t="s">
        <v>7385</v>
      </c>
    </row>
    <row r="23" spans="2:14" x14ac:dyDescent="0.2">
      <c r="B23" s="47" t="s">
        <v>4484</v>
      </c>
      <c r="C23" s="47" t="s">
        <v>4485</v>
      </c>
      <c r="D23" s="40">
        <v>119862</v>
      </c>
      <c r="J23" s="211">
        <v>1977</v>
      </c>
      <c r="L23" s="211">
        <f t="shared" si="1"/>
        <v>46</v>
      </c>
      <c r="M23" s="248" t="s">
        <v>7484</v>
      </c>
      <c r="N23" s="242" t="s">
        <v>7384</v>
      </c>
    </row>
    <row r="24" spans="2:14" x14ac:dyDescent="0.2">
      <c r="B24" s="40" t="s">
        <v>3657</v>
      </c>
      <c r="C24" s="40" t="s">
        <v>4112</v>
      </c>
      <c r="D24" s="40">
        <v>117540</v>
      </c>
      <c r="F24" s="248" t="s">
        <v>935</v>
      </c>
      <c r="J24" s="211">
        <v>1976</v>
      </c>
      <c r="L24" s="211">
        <f t="shared" si="1"/>
        <v>47</v>
      </c>
      <c r="M24" s="248" t="s">
        <v>7484</v>
      </c>
      <c r="N24" s="242" t="s">
        <v>7384</v>
      </c>
    </row>
    <row r="25" spans="2:14" x14ac:dyDescent="0.2">
      <c r="B25" s="47" t="s">
        <v>4497</v>
      </c>
      <c r="C25" s="183" t="s">
        <v>7105</v>
      </c>
      <c r="D25" s="40">
        <v>107284</v>
      </c>
      <c r="H25" s="208" t="s">
        <v>7108</v>
      </c>
      <c r="I25" s="45">
        <v>55931</v>
      </c>
      <c r="J25" s="211">
        <v>1962</v>
      </c>
      <c r="L25" s="211">
        <f t="shared" si="1"/>
        <v>61</v>
      </c>
      <c r="M25" s="248" t="s">
        <v>7484</v>
      </c>
      <c r="N25" s="242" t="s">
        <v>7384</v>
      </c>
    </row>
    <row r="26" spans="2:14" x14ac:dyDescent="0.2">
      <c r="B26" s="40" t="s">
        <v>4102</v>
      </c>
      <c r="C26" s="40" t="s">
        <v>4101</v>
      </c>
      <c r="D26" s="40">
        <v>103571</v>
      </c>
      <c r="M26" s="248" t="s">
        <v>7484</v>
      </c>
      <c r="N26" s="242" t="s">
        <v>7385</v>
      </c>
    </row>
    <row r="27" spans="2:14" x14ac:dyDescent="0.2">
      <c r="B27" s="40" t="s">
        <v>4121</v>
      </c>
      <c r="C27" s="40" t="s">
        <v>4120</v>
      </c>
      <c r="D27" s="40">
        <v>98374</v>
      </c>
      <c r="M27" s="242" t="s">
        <v>7381</v>
      </c>
      <c r="N27" s="242" t="s">
        <v>7385</v>
      </c>
    </row>
    <row r="28" spans="2:14" x14ac:dyDescent="0.2">
      <c r="B28" s="214" t="s">
        <v>7190</v>
      </c>
      <c r="C28" s="40"/>
      <c r="D28" s="40">
        <v>95181</v>
      </c>
      <c r="N28" s="242" t="s">
        <v>7385</v>
      </c>
    </row>
    <row r="29" spans="2:14" x14ac:dyDescent="0.2">
      <c r="B29" s="214" t="s">
        <v>7189</v>
      </c>
      <c r="C29" s="40"/>
      <c r="D29" s="40">
        <v>86363</v>
      </c>
      <c r="M29" s="248" t="s">
        <v>7484</v>
      </c>
      <c r="N29" s="242" t="s">
        <v>7384</v>
      </c>
    </row>
    <row r="30" spans="2:14" x14ac:dyDescent="0.2">
      <c r="B30" s="183" t="s">
        <v>5384</v>
      </c>
      <c r="C30" s="208" t="s">
        <v>3850</v>
      </c>
      <c r="D30" s="40">
        <f>674+1377+76608+1550+319+389+424+218+386</f>
        <v>81945</v>
      </c>
      <c r="M30" s="248" t="s">
        <v>7484</v>
      </c>
      <c r="N30" s="242" t="s">
        <v>7384</v>
      </c>
    </row>
    <row r="31" spans="2:14" x14ac:dyDescent="0.2">
      <c r="B31" s="214" t="s">
        <v>7206</v>
      </c>
      <c r="C31" s="208"/>
      <c r="D31" s="40">
        <v>81847</v>
      </c>
      <c r="M31" s="248" t="s">
        <v>7484</v>
      </c>
      <c r="N31" s="242" t="s">
        <v>7384</v>
      </c>
    </row>
    <row r="32" spans="2:14" x14ac:dyDescent="0.2">
      <c r="B32" s="214" t="s">
        <v>7197</v>
      </c>
      <c r="C32" s="208"/>
      <c r="D32" s="40">
        <v>75058</v>
      </c>
      <c r="N32" s="242" t="s">
        <v>7385</v>
      </c>
    </row>
    <row r="33" spans="2:14" x14ac:dyDescent="0.2">
      <c r="B33" s="47" t="s">
        <v>4498</v>
      </c>
      <c r="C33" s="183" t="s">
        <v>7106</v>
      </c>
      <c r="D33" s="40">
        <v>73827</v>
      </c>
      <c r="H33" s="208" t="s">
        <v>7108</v>
      </c>
      <c r="I33" s="45">
        <v>55931</v>
      </c>
      <c r="J33" s="211">
        <v>1956</v>
      </c>
      <c r="L33" s="211">
        <f>2023-J33</f>
        <v>67</v>
      </c>
      <c r="M33" s="248" t="s">
        <v>7484</v>
      </c>
      <c r="N33" s="242" t="s">
        <v>7384</v>
      </c>
    </row>
    <row r="34" spans="2:14" x14ac:dyDescent="0.2">
      <c r="B34" s="214" t="s">
        <v>7188</v>
      </c>
      <c r="C34" s="183"/>
      <c r="D34" s="40">
        <v>73782</v>
      </c>
      <c r="H34" s="208"/>
      <c r="M34" s="248" t="s">
        <v>7484</v>
      </c>
      <c r="N34" s="242" t="s">
        <v>7384</v>
      </c>
    </row>
    <row r="35" spans="2:14" x14ac:dyDescent="0.2">
      <c r="B35" s="47" t="s">
        <v>4620</v>
      </c>
      <c r="C35" s="47" t="s">
        <v>4621</v>
      </c>
      <c r="D35" s="45">
        <v>72983</v>
      </c>
      <c r="G35" s="25" t="s">
        <v>4622</v>
      </c>
      <c r="H35" s="25" t="s">
        <v>4654</v>
      </c>
      <c r="M35" s="248" t="s">
        <v>7484</v>
      </c>
      <c r="N35" s="242" t="s">
        <v>7384</v>
      </c>
    </row>
    <row r="36" spans="2:14" x14ac:dyDescent="0.2">
      <c r="B36" s="214" t="s">
        <v>7199</v>
      </c>
      <c r="C36" s="47"/>
      <c r="D36" s="45">
        <v>72503</v>
      </c>
      <c r="G36" s="25"/>
      <c r="H36" s="25"/>
      <c r="M36" s="248" t="s">
        <v>7484</v>
      </c>
      <c r="N36" s="242" t="s">
        <v>7384</v>
      </c>
    </row>
    <row r="37" spans="2:14" x14ac:dyDescent="0.2">
      <c r="B37" s="214" t="s">
        <v>7191</v>
      </c>
      <c r="C37" s="47"/>
      <c r="D37" s="45">
        <v>71761</v>
      </c>
      <c r="G37" s="25"/>
      <c r="H37" s="25"/>
      <c r="M37" s="248" t="s">
        <v>7484</v>
      </c>
      <c r="N37" s="242" t="s">
        <v>7384</v>
      </c>
    </row>
    <row r="38" spans="2:14" x14ac:dyDescent="0.2">
      <c r="B38" s="214" t="s">
        <v>7208</v>
      </c>
      <c r="C38" s="47"/>
      <c r="D38" s="45">
        <v>71469</v>
      </c>
      <c r="G38" s="25"/>
      <c r="H38" s="25"/>
      <c r="M38" s="248" t="s">
        <v>7484</v>
      </c>
      <c r="N38" s="242" t="s">
        <v>7384</v>
      </c>
    </row>
    <row r="39" spans="2:14" x14ac:dyDescent="0.2">
      <c r="B39" s="214" t="s">
        <v>7198</v>
      </c>
      <c r="C39" s="47"/>
      <c r="D39" s="45">
        <v>66608</v>
      </c>
      <c r="G39" s="25"/>
      <c r="H39" s="25"/>
      <c r="M39" s="248" t="s">
        <v>7484</v>
      </c>
      <c r="N39" s="242" t="s">
        <v>7384</v>
      </c>
    </row>
    <row r="40" spans="2:14" x14ac:dyDescent="0.2">
      <c r="B40" s="214" t="s">
        <v>7186</v>
      </c>
      <c r="C40" s="47"/>
      <c r="D40" s="45">
        <v>62262</v>
      </c>
      <c r="G40" s="25"/>
      <c r="H40" s="25"/>
      <c r="M40" s="248" t="s">
        <v>7484</v>
      </c>
      <c r="N40" s="242" t="s">
        <v>7384</v>
      </c>
    </row>
    <row r="41" spans="2:14" x14ac:dyDescent="0.2">
      <c r="B41" s="214" t="s">
        <v>7187</v>
      </c>
      <c r="C41" s="47"/>
      <c r="D41" s="45">
        <v>61790</v>
      </c>
      <c r="G41" s="25"/>
      <c r="H41" s="25"/>
      <c r="M41" s="248" t="s">
        <v>7484</v>
      </c>
      <c r="N41" s="242" t="s">
        <v>7384</v>
      </c>
    </row>
    <row r="42" spans="2:14" x14ac:dyDescent="0.2">
      <c r="B42" s="214" t="s">
        <v>4481</v>
      </c>
      <c r="C42" s="214" t="s">
        <v>0</v>
      </c>
      <c r="D42" s="40">
        <v>60529</v>
      </c>
      <c r="M42" s="248" t="s">
        <v>7484</v>
      </c>
      <c r="N42" s="242" t="s">
        <v>7384</v>
      </c>
    </row>
    <row r="43" spans="2:14" x14ac:dyDescent="0.2">
      <c r="B43" s="47" t="s">
        <v>4486</v>
      </c>
      <c r="C43" s="47" t="s">
        <v>4487</v>
      </c>
      <c r="D43" s="40">
        <v>58730</v>
      </c>
      <c r="M43" s="248" t="s">
        <v>7484</v>
      </c>
      <c r="N43" s="45">
        <f>COUNTIF(N3:N42,"Asian")</f>
        <v>10</v>
      </c>
    </row>
    <row r="44" spans="2:14" x14ac:dyDescent="0.2">
      <c r="B44" s="214" t="s">
        <v>7203</v>
      </c>
      <c r="C44" s="47"/>
      <c r="D44" s="40">
        <v>51501</v>
      </c>
    </row>
    <row r="45" spans="2:14" x14ac:dyDescent="0.2">
      <c r="B45" s="91" t="s">
        <v>5324</v>
      </c>
      <c r="C45" s="91" t="s">
        <v>5323</v>
      </c>
      <c r="D45" s="40">
        <f>9980+34759+5187+868</f>
        <v>50794</v>
      </c>
      <c r="M45" s="248" t="s">
        <v>7484</v>
      </c>
    </row>
    <row r="46" spans="2:14" x14ac:dyDescent="0.2">
      <c r="B46" s="214" t="s">
        <v>7195</v>
      </c>
      <c r="C46" s="91"/>
      <c r="D46" s="40">
        <v>48747</v>
      </c>
    </row>
    <row r="47" spans="2:14" x14ac:dyDescent="0.2">
      <c r="B47" s="214" t="s">
        <v>7193</v>
      </c>
      <c r="C47" s="91"/>
      <c r="D47" s="40">
        <v>47203</v>
      </c>
      <c r="M47" s="248" t="s">
        <v>7484</v>
      </c>
    </row>
    <row r="48" spans="2:14" x14ac:dyDescent="0.2">
      <c r="B48" s="214" t="s">
        <v>7204</v>
      </c>
      <c r="C48" s="91"/>
      <c r="D48" s="40">
        <v>47115</v>
      </c>
    </row>
    <row r="49" spans="2:13" x14ac:dyDescent="0.2">
      <c r="B49" s="214" t="s">
        <v>7202</v>
      </c>
      <c r="C49" s="91"/>
      <c r="D49" s="40">
        <v>45997</v>
      </c>
      <c r="M49" s="248" t="s">
        <v>7484</v>
      </c>
    </row>
    <row r="50" spans="2:13" x14ac:dyDescent="0.2">
      <c r="B50" s="47" t="s">
        <v>4511</v>
      </c>
      <c r="C50" s="40"/>
      <c r="D50" s="40">
        <v>42720</v>
      </c>
      <c r="M50" s="248" t="s">
        <v>7484</v>
      </c>
    </row>
    <row r="51" spans="2:13" x14ac:dyDescent="0.2">
      <c r="B51" s="214" t="s">
        <v>7200</v>
      </c>
      <c r="C51" s="40"/>
      <c r="D51" s="40">
        <v>39933</v>
      </c>
    </row>
    <row r="52" spans="2:13" x14ac:dyDescent="0.2">
      <c r="B52" s="257" t="s">
        <v>4984</v>
      </c>
      <c r="C52" s="40"/>
      <c r="D52" s="40">
        <v>34494</v>
      </c>
      <c r="F52" s="248" t="s">
        <v>3850</v>
      </c>
      <c r="H52" s="248" t="s">
        <v>5212</v>
      </c>
      <c r="I52" s="45">
        <v>7059</v>
      </c>
    </row>
    <row r="53" spans="2:13" x14ac:dyDescent="0.2">
      <c r="B53" s="91" t="s">
        <v>5322</v>
      </c>
      <c r="C53" s="91" t="s">
        <v>5323</v>
      </c>
      <c r="D53" s="40">
        <v>31800</v>
      </c>
      <c r="M53" s="248" t="s">
        <v>7484</v>
      </c>
    </row>
    <row r="54" spans="2:13" x14ac:dyDescent="0.2">
      <c r="B54" s="214" t="s">
        <v>7196</v>
      </c>
      <c r="C54" s="91"/>
      <c r="D54" s="40">
        <v>31622</v>
      </c>
      <c r="M54" s="248" t="s">
        <v>7484</v>
      </c>
    </row>
    <row r="55" spans="2:13" x14ac:dyDescent="0.2">
      <c r="B55" s="214" t="s">
        <v>7178</v>
      </c>
      <c r="C55" s="183"/>
      <c r="D55" s="40">
        <v>26925</v>
      </c>
    </row>
    <row r="56" spans="2:13" x14ac:dyDescent="0.2">
      <c r="B56" s="214" t="s">
        <v>7180</v>
      </c>
      <c r="C56" s="183"/>
      <c r="D56" s="40">
        <v>26850</v>
      </c>
    </row>
    <row r="57" spans="2:13" x14ac:dyDescent="0.2">
      <c r="B57" s="47" t="s">
        <v>4516</v>
      </c>
      <c r="C57" s="91" t="s">
        <v>5945</v>
      </c>
      <c r="D57" s="40">
        <v>26207</v>
      </c>
    </row>
    <row r="58" spans="2:13" x14ac:dyDescent="0.2">
      <c r="B58" s="214" t="s">
        <v>4734</v>
      </c>
      <c r="C58" s="91"/>
      <c r="D58" s="40">
        <v>20087</v>
      </c>
    </row>
    <row r="59" spans="2:13" x14ac:dyDescent="0.2">
      <c r="B59" s="47" t="s">
        <v>4494</v>
      </c>
      <c r="C59" s="183" t="s">
        <v>4116</v>
      </c>
      <c r="D59" s="40">
        <v>16620</v>
      </c>
      <c r="J59" s="211">
        <v>1976</v>
      </c>
      <c r="L59" s="211">
        <v>47</v>
      </c>
    </row>
    <row r="60" spans="2:13" x14ac:dyDescent="0.2">
      <c r="B60" s="214" t="s">
        <v>7209</v>
      </c>
      <c r="C60" s="183"/>
      <c r="D60" s="40">
        <v>16054</v>
      </c>
    </row>
    <row r="61" spans="2:13" x14ac:dyDescent="0.2">
      <c r="B61" s="40" t="s">
        <v>4281</v>
      </c>
      <c r="C61" s="40" t="s">
        <v>4282</v>
      </c>
      <c r="D61" s="40">
        <v>14426</v>
      </c>
      <c r="J61" s="211">
        <v>1984</v>
      </c>
      <c r="L61" s="211">
        <v>39</v>
      </c>
    </row>
    <row r="62" spans="2:13" x14ac:dyDescent="0.2">
      <c r="B62" s="214" t="s">
        <v>7166</v>
      </c>
      <c r="C62" s="91"/>
      <c r="D62" s="40">
        <f>4400+1269+1103+6196</f>
        <v>12968</v>
      </c>
    </row>
    <row r="63" spans="2:13" x14ac:dyDescent="0.2">
      <c r="B63" s="214" t="s">
        <v>7181</v>
      </c>
      <c r="C63" s="214" t="s">
        <v>7182</v>
      </c>
      <c r="D63" s="214">
        <v>11601</v>
      </c>
    </row>
    <row r="64" spans="2:13" x14ac:dyDescent="0.2">
      <c r="B64" s="214" t="s">
        <v>4506</v>
      </c>
      <c r="C64" s="91"/>
      <c r="D64" s="40">
        <f>5861+1341+425</f>
        <v>7627</v>
      </c>
    </row>
    <row r="65" spans="1:12" x14ac:dyDescent="0.2">
      <c r="B65" s="48" t="s">
        <v>4493</v>
      </c>
      <c r="C65" s="230" t="s">
        <v>7357</v>
      </c>
      <c r="D65" s="45">
        <v>9864</v>
      </c>
      <c r="J65" s="211">
        <v>1959</v>
      </c>
      <c r="L65" s="211">
        <v>64</v>
      </c>
    </row>
    <row r="66" spans="1:12" x14ac:dyDescent="0.2">
      <c r="B66" s="215" t="s">
        <v>7205</v>
      </c>
      <c r="D66" s="45">
        <v>9509</v>
      </c>
    </row>
    <row r="67" spans="1:12" x14ac:dyDescent="0.2">
      <c r="B67" s="40" t="s">
        <v>3654</v>
      </c>
      <c r="C67" s="40" t="s">
        <v>4137</v>
      </c>
      <c r="D67" s="40">
        <v>9350</v>
      </c>
    </row>
    <row r="68" spans="1:12" x14ac:dyDescent="0.2">
      <c r="B68" s="214" t="s">
        <v>7210</v>
      </c>
      <c r="C68" s="40"/>
      <c r="D68" s="40">
        <v>8963</v>
      </c>
    </row>
    <row r="69" spans="1:12" x14ac:dyDescent="0.2">
      <c r="B69" s="43" t="s">
        <v>4512</v>
      </c>
      <c r="C69" s="43" t="s">
        <v>5674</v>
      </c>
      <c r="D69" s="43">
        <f>333+1326+1429+1757+501+653+935+512</f>
        <v>7446</v>
      </c>
    </row>
    <row r="70" spans="1:12" x14ac:dyDescent="0.2">
      <c r="B70" s="214" t="s">
        <v>7183</v>
      </c>
      <c r="C70" s="91"/>
      <c r="D70" s="91">
        <v>5786</v>
      </c>
    </row>
    <row r="71" spans="1:12" x14ac:dyDescent="0.2">
      <c r="B71" s="214" t="s">
        <v>7179</v>
      </c>
      <c r="C71" s="91"/>
      <c r="D71" s="40">
        <v>5373</v>
      </c>
    </row>
    <row r="72" spans="1:12" x14ac:dyDescent="0.2">
      <c r="B72" s="214" t="s">
        <v>7194</v>
      </c>
      <c r="C72" s="91"/>
      <c r="D72" s="40">
        <v>5085</v>
      </c>
    </row>
    <row r="73" spans="1:12" x14ac:dyDescent="0.2">
      <c r="B73" s="47" t="s">
        <v>4515</v>
      </c>
      <c r="C73" s="183" t="s">
        <v>7073</v>
      </c>
      <c r="D73" s="40">
        <v>3028</v>
      </c>
    </row>
    <row r="74" spans="1:12" x14ac:dyDescent="0.2">
      <c r="B74" s="47" t="s">
        <v>4496</v>
      </c>
      <c r="C74" s="40"/>
      <c r="D74" s="40">
        <v>1823</v>
      </c>
    </row>
    <row r="75" spans="1:12" x14ac:dyDescent="0.2">
      <c r="B75" s="40" t="s">
        <v>4165</v>
      </c>
      <c r="C75" s="40" t="s">
        <v>4164</v>
      </c>
      <c r="D75" s="40">
        <v>1177</v>
      </c>
    </row>
    <row r="76" spans="1:12" x14ac:dyDescent="0.2">
      <c r="B76" s="40" t="s">
        <v>4127</v>
      </c>
      <c r="C76" s="40" t="s">
        <v>4124</v>
      </c>
      <c r="D76" s="40">
        <v>306</v>
      </c>
    </row>
    <row r="77" spans="1:12" x14ac:dyDescent="0.2">
      <c r="B77" s="40" t="s">
        <v>4161</v>
      </c>
      <c r="C77" s="40" t="s">
        <v>4160</v>
      </c>
      <c r="D77" s="40">
        <f>8+6+1+3</f>
        <v>18</v>
      </c>
      <c r="J77" s="211">
        <v>1977</v>
      </c>
      <c r="K77" s="217" t="s">
        <v>7176</v>
      </c>
      <c r="L77" s="211">
        <f>2023-J77</f>
        <v>46</v>
      </c>
    </row>
    <row r="78" spans="1:12" x14ac:dyDescent="0.2">
      <c r="A78" s="25"/>
      <c r="B78" s="208"/>
      <c r="C78" s="208"/>
      <c r="D78" s="208"/>
      <c r="E78" s="208"/>
      <c r="F78" s="208"/>
      <c r="G78" s="208"/>
    </row>
    <row r="79" spans="1:12" x14ac:dyDescent="0.2">
      <c r="A79" s="25"/>
      <c r="B79" s="208"/>
      <c r="C79" s="208"/>
      <c r="D79" s="208"/>
      <c r="E79" s="208"/>
      <c r="F79" s="208"/>
      <c r="G79" s="208"/>
    </row>
    <row r="80" spans="1:12" x14ac:dyDescent="0.2">
      <c r="B80" s="40" t="s">
        <v>7374</v>
      </c>
      <c r="C80" s="40"/>
      <c r="D80" s="40"/>
    </row>
    <row r="81" spans="2:12" x14ac:dyDescent="0.2">
      <c r="B81" s="183" t="s">
        <v>4447</v>
      </c>
      <c r="C81" s="40"/>
      <c r="D81" s="40"/>
    </row>
    <row r="82" spans="2:12" x14ac:dyDescent="0.2">
      <c r="B82" s="214" t="s">
        <v>7175</v>
      </c>
      <c r="C82" s="214" t="s">
        <v>7177</v>
      </c>
      <c r="D82" s="40"/>
      <c r="J82" s="211">
        <v>1946</v>
      </c>
      <c r="K82" s="217" t="s">
        <v>7176</v>
      </c>
      <c r="L82" s="211">
        <f>2023-J82</f>
        <v>77</v>
      </c>
    </row>
    <row r="83" spans="2:12" x14ac:dyDescent="0.2">
      <c r="B83" s="214" t="s">
        <v>7375</v>
      </c>
      <c r="C83" s="214" t="s">
        <v>7376</v>
      </c>
      <c r="D83" s="40"/>
      <c r="K83" s="217"/>
    </row>
    <row r="84" spans="2:12" x14ac:dyDescent="0.2">
      <c r="B84" s="40" t="s">
        <v>4159</v>
      </c>
      <c r="C84" s="40" t="s">
        <v>4158</v>
      </c>
      <c r="D84" s="40"/>
    </row>
    <row r="85" spans="2:12" x14ac:dyDescent="0.2">
      <c r="B85" s="40" t="s">
        <v>4153</v>
      </c>
      <c r="C85" s="40" t="s">
        <v>4152</v>
      </c>
      <c r="D85" s="40"/>
    </row>
    <row r="86" spans="2:12" x14ac:dyDescent="0.2">
      <c r="B86" s="214" t="s">
        <v>7164</v>
      </c>
      <c r="C86" s="214" t="s">
        <v>7167</v>
      </c>
      <c r="D86" s="40"/>
    </row>
    <row r="87" spans="2:12" x14ac:dyDescent="0.2">
      <c r="B87" s="40" t="s">
        <v>4150</v>
      </c>
      <c r="C87" s="40" t="s">
        <v>4149</v>
      </c>
      <c r="D87" s="40"/>
    </row>
    <row r="88" spans="2:12" x14ac:dyDescent="0.2">
      <c r="B88" s="40" t="s">
        <v>4145</v>
      </c>
      <c r="C88" s="40" t="s">
        <v>4144</v>
      </c>
      <c r="D88" s="40"/>
    </row>
    <row r="89" spans="2:12" x14ac:dyDescent="0.2">
      <c r="B89" s="47" t="s">
        <v>4510</v>
      </c>
      <c r="C89" s="40"/>
      <c r="D89" s="40"/>
    </row>
    <row r="90" spans="2:12" x14ac:dyDescent="0.2">
      <c r="B90" s="47" t="s">
        <v>7377</v>
      </c>
      <c r="C90" s="40" t="s">
        <v>7376</v>
      </c>
      <c r="D90" s="40"/>
    </row>
    <row r="91" spans="2:12" x14ac:dyDescent="0.2">
      <c r="B91" s="47" t="s">
        <v>4492</v>
      </c>
      <c r="C91" s="40"/>
      <c r="D91" s="41"/>
      <c r="J91" s="211">
        <v>1948</v>
      </c>
      <c r="L91" s="211">
        <f t="shared" ref="L91:L92" si="2">2023-J91</f>
        <v>75</v>
      </c>
    </row>
    <row r="92" spans="2:12" x14ac:dyDescent="0.2">
      <c r="B92" s="47" t="s">
        <v>4503</v>
      </c>
      <c r="C92" s="47" t="s">
        <v>4513</v>
      </c>
      <c r="D92" s="40"/>
      <c r="J92" s="211">
        <v>1971</v>
      </c>
      <c r="L92" s="211">
        <f t="shared" si="2"/>
        <v>52</v>
      </c>
    </row>
    <row r="93" spans="2:12" x14ac:dyDescent="0.2">
      <c r="B93" s="40" t="s">
        <v>4125</v>
      </c>
      <c r="C93" s="40" t="s">
        <v>4124</v>
      </c>
      <c r="D93" s="40"/>
    </row>
    <row r="94" spans="2:12" x14ac:dyDescent="0.2">
      <c r="B94" s="47" t="s">
        <v>4499</v>
      </c>
      <c r="C94" s="40"/>
      <c r="D94" s="40"/>
    </row>
    <row r="95" spans="2:12" x14ac:dyDescent="0.2">
      <c r="B95" s="47" t="s">
        <v>7372</v>
      </c>
      <c r="C95" s="40" t="s">
        <v>7373</v>
      </c>
      <c r="D95" s="40"/>
    </row>
    <row r="96" spans="2:12" x14ac:dyDescent="0.2">
      <c r="B96" s="183" t="s">
        <v>4118</v>
      </c>
      <c r="C96" s="40" t="s">
        <v>4117</v>
      </c>
      <c r="D96" s="40"/>
    </row>
    <row r="97" spans="1:12" x14ac:dyDescent="0.2">
      <c r="B97" s="183" t="s">
        <v>7113</v>
      </c>
      <c r="C97" s="40"/>
      <c r="D97" s="40"/>
      <c r="J97" s="211">
        <v>1966</v>
      </c>
      <c r="K97" s="211">
        <v>1972</v>
      </c>
      <c r="L97" s="211">
        <f>2023-J97</f>
        <v>57</v>
      </c>
    </row>
    <row r="98" spans="1:12" x14ac:dyDescent="0.2">
      <c r="B98" s="215" t="s">
        <v>7230</v>
      </c>
    </row>
    <row r="102" spans="1:12" x14ac:dyDescent="0.2">
      <c r="B102" s="143" t="s">
        <v>7165</v>
      </c>
    </row>
    <row r="103" spans="1:12" x14ac:dyDescent="0.2">
      <c r="A103" s="25"/>
      <c r="B103" s="208" t="s">
        <v>7109</v>
      </c>
      <c r="C103" s="208" t="s">
        <v>7358</v>
      </c>
      <c r="D103" s="208">
        <f>8115+72</f>
        <v>8187</v>
      </c>
      <c r="E103" s="208"/>
      <c r="F103" s="208"/>
      <c r="G103" s="208"/>
      <c r="J103" s="211">
        <v>1702</v>
      </c>
      <c r="K103" s="211">
        <v>1761</v>
      </c>
      <c r="L103" s="211">
        <f t="shared" ref="L103:L116" si="3">2023-J103</f>
        <v>321</v>
      </c>
    </row>
    <row r="104" spans="1:12" x14ac:dyDescent="0.2">
      <c r="A104" s="25"/>
      <c r="B104" s="208" t="s">
        <v>7368</v>
      </c>
      <c r="C104" s="208"/>
      <c r="D104" s="208"/>
      <c r="E104" s="208"/>
      <c r="F104" s="208"/>
      <c r="G104" s="208"/>
      <c r="J104" s="211">
        <v>1815</v>
      </c>
      <c r="K104" s="211">
        <v>1864</v>
      </c>
      <c r="L104" s="211">
        <v>208</v>
      </c>
    </row>
    <row r="105" spans="1:12" x14ac:dyDescent="0.2">
      <c r="B105" s="183" t="s">
        <v>7146</v>
      </c>
      <c r="C105" s="183" t="s">
        <v>7147</v>
      </c>
      <c r="D105" s="40"/>
      <c r="J105" s="211">
        <v>1596</v>
      </c>
      <c r="K105" s="211">
        <v>1650</v>
      </c>
      <c r="L105" s="211">
        <f t="shared" si="3"/>
        <v>427</v>
      </c>
    </row>
    <row r="106" spans="1:12" x14ac:dyDescent="0.2">
      <c r="B106" s="183" t="s">
        <v>7369</v>
      </c>
      <c r="C106" s="183" t="s">
        <v>7370</v>
      </c>
      <c r="D106" s="40"/>
      <c r="J106" s="211">
        <v>1848</v>
      </c>
      <c r="K106" s="211">
        <v>1925</v>
      </c>
      <c r="L106" s="211">
        <v>175</v>
      </c>
    </row>
    <row r="107" spans="1:12" x14ac:dyDescent="0.2">
      <c r="B107" s="183" t="s">
        <v>7359</v>
      </c>
      <c r="C107" s="183" t="s">
        <v>7360</v>
      </c>
      <c r="D107" s="40"/>
    </row>
    <row r="108" spans="1:12" x14ac:dyDescent="0.2">
      <c r="B108" s="183" t="s">
        <v>7274</v>
      </c>
      <c r="C108" s="183"/>
      <c r="D108" s="40"/>
      <c r="J108" s="211">
        <v>1906</v>
      </c>
      <c r="K108" s="211">
        <v>1978</v>
      </c>
      <c r="L108" s="211">
        <v>117</v>
      </c>
    </row>
    <row r="109" spans="1:12" x14ac:dyDescent="0.2">
      <c r="B109" s="183" t="s">
        <v>7361</v>
      </c>
      <c r="C109" s="183" t="s">
        <v>7362</v>
      </c>
      <c r="D109" s="40"/>
    </row>
    <row r="110" spans="1:12" x14ac:dyDescent="0.2">
      <c r="B110" s="183" t="s">
        <v>7025</v>
      </c>
      <c r="C110" s="183" t="s">
        <v>7026</v>
      </c>
      <c r="D110" s="40">
        <v>39379</v>
      </c>
    </row>
    <row r="111" spans="1:12" x14ac:dyDescent="0.2">
      <c r="B111" s="183" t="s">
        <v>7138</v>
      </c>
      <c r="C111" s="183" t="s">
        <v>7145</v>
      </c>
      <c r="D111" s="40"/>
      <c r="J111" s="211">
        <v>1588</v>
      </c>
      <c r="K111" s="211">
        <v>1679</v>
      </c>
      <c r="L111" s="211">
        <f t="shared" si="3"/>
        <v>435</v>
      </c>
    </row>
    <row r="112" spans="1:12" x14ac:dyDescent="0.2">
      <c r="B112" s="183" t="s">
        <v>7143</v>
      </c>
      <c r="C112" s="183" t="s">
        <v>7144</v>
      </c>
      <c r="D112" s="41"/>
      <c r="J112" s="211">
        <v>1646</v>
      </c>
      <c r="K112" s="211">
        <v>1716</v>
      </c>
      <c r="L112" s="211">
        <f t="shared" si="3"/>
        <v>377</v>
      </c>
    </row>
    <row r="113" spans="2:12" x14ac:dyDescent="0.2">
      <c r="B113" s="40" t="s">
        <v>4135</v>
      </c>
      <c r="C113" s="40" t="s">
        <v>4134</v>
      </c>
      <c r="D113" s="40"/>
      <c r="J113" s="211">
        <v>1856</v>
      </c>
      <c r="K113" s="211">
        <v>1922</v>
      </c>
      <c r="L113" s="211">
        <f t="shared" si="3"/>
        <v>167</v>
      </c>
    </row>
    <row r="114" spans="2:12" x14ac:dyDescent="0.2">
      <c r="B114" s="40" t="s">
        <v>4131</v>
      </c>
      <c r="C114" s="183" t="s">
        <v>7054</v>
      </c>
      <c r="D114" s="40"/>
      <c r="J114" s="211">
        <v>1927</v>
      </c>
      <c r="K114" s="211">
        <v>2011</v>
      </c>
      <c r="L114" s="211">
        <f t="shared" si="3"/>
        <v>96</v>
      </c>
    </row>
    <row r="115" spans="2:12" x14ac:dyDescent="0.2">
      <c r="B115" s="40" t="s">
        <v>7365</v>
      </c>
      <c r="C115" s="183" t="s">
        <v>7366</v>
      </c>
      <c r="D115" s="40"/>
    </row>
    <row r="116" spans="2:12" x14ac:dyDescent="0.2">
      <c r="B116" s="47" t="s">
        <v>4495</v>
      </c>
      <c r="C116" s="183" t="s">
        <v>7056</v>
      </c>
      <c r="D116" s="40">
        <v>10460</v>
      </c>
      <c r="J116" s="211">
        <v>1927</v>
      </c>
      <c r="K116" s="211">
        <v>2016</v>
      </c>
      <c r="L116" s="211">
        <f t="shared" si="3"/>
        <v>96</v>
      </c>
    </row>
    <row r="117" spans="2:12" x14ac:dyDescent="0.2">
      <c r="B117" s="183" t="s">
        <v>7134</v>
      </c>
      <c r="C117" s="183" t="s">
        <v>7135</v>
      </c>
      <c r="D117" s="40">
        <v>30483</v>
      </c>
      <c r="J117" s="211">
        <v>1927</v>
      </c>
      <c r="K117" s="211">
        <v>1992</v>
      </c>
      <c r="L117" s="211">
        <f>2023-J117</f>
        <v>96</v>
      </c>
    </row>
    <row r="118" spans="2:12" x14ac:dyDescent="0.2">
      <c r="B118" s="183" t="s">
        <v>7112</v>
      </c>
      <c r="C118" s="183" t="s">
        <v>7115</v>
      </c>
      <c r="D118" s="40">
        <f>2683+9186+1491+8052+14071</f>
        <v>35483</v>
      </c>
      <c r="J118" s="211">
        <v>1933</v>
      </c>
      <c r="K118" s="211">
        <v>2019</v>
      </c>
      <c r="L118" s="211">
        <f>2023-J118</f>
        <v>90</v>
      </c>
    </row>
    <row r="119" spans="2:12" x14ac:dyDescent="0.2">
      <c r="B119" s="183" t="s">
        <v>7027</v>
      </c>
      <c r="C119" s="183" t="s">
        <v>7028</v>
      </c>
      <c r="D119" s="40"/>
    </row>
    <row r="120" spans="2:12" x14ac:dyDescent="0.2">
      <c r="B120" s="91" t="s">
        <v>5328</v>
      </c>
      <c r="C120" s="91" t="s">
        <v>5329</v>
      </c>
      <c r="D120" s="40">
        <v>19640</v>
      </c>
      <c r="J120" s="211">
        <v>1928</v>
      </c>
      <c r="K120" s="211">
        <v>2016</v>
      </c>
      <c r="L120" s="211">
        <v>95</v>
      </c>
    </row>
    <row r="121" spans="2:12" x14ac:dyDescent="0.2">
      <c r="B121" s="183" t="s">
        <v>7141</v>
      </c>
      <c r="C121" s="183" t="s">
        <v>7142</v>
      </c>
      <c r="D121" s="40"/>
      <c r="J121" s="211">
        <v>1623</v>
      </c>
      <c r="K121" s="211">
        <v>1662</v>
      </c>
      <c r="L121" s="211">
        <f>2023-J121</f>
        <v>400</v>
      </c>
    </row>
    <row r="122" spans="2:12" x14ac:dyDescent="0.2">
      <c r="B122" s="183" t="s">
        <v>7367</v>
      </c>
      <c r="C122" s="183" t="s">
        <v>7366</v>
      </c>
      <c r="D122" s="40"/>
    </row>
    <row r="123" spans="2:12" x14ac:dyDescent="0.2">
      <c r="B123" s="183" t="s">
        <v>7057</v>
      </c>
      <c r="C123" s="183" t="s">
        <v>7058</v>
      </c>
      <c r="D123" s="40"/>
    </row>
    <row r="124" spans="2:12" x14ac:dyDescent="0.2">
      <c r="B124" s="183" t="s">
        <v>7114</v>
      </c>
      <c r="C124" s="183" t="s">
        <v>7115</v>
      </c>
      <c r="D124" s="40"/>
      <c r="J124" s="211">
        <v>1917</v>
      </c>
      <c r="K124" s="211">
        <v>2002</v>
      </c>
      <c r="L124" s="211">
        <f>2023-J124</f>
        <v>106</v>
      </c>
    </row>
    <row r="125" spans="2:12" x14ac:dyDescent="0.2">
      <c r="B125" s="91" t="s">
        <v>5319</v>
      </c>
      <c r="C125" s="91" t="s">
        <v>5320</v>
      </c>
      <c r="D125" s="40"/>
    </row>
    <row r="126" spans="2:12" x14ac:dyDescent="0.2">
      <c r="B126" s="91" t="s">
        <v>7363</v>
      </c>
      <c r="C126" s="91" t="s">
        <v>7364</v>
      </c>
      <c r="D126" s="40"/>
    </row>
    <row r="127" spans="2:12" x14ac:dyDescent="0.2">
      <c r="B127" s="40" t="s">
        <v>4114</v>
      </c>
      <c r="C127" s="183" t="s">
        <v>7055</v>
      </c>
      <c r="D127" s="40"/>
      <c r="J127" s="211">
        <v>1916</v>
      </c>
      <c r="K127" s="211">
        <v>2011</v>
      </c>
      <c r="L127" s="211">
        <f>2023-J127</f>
        <v>107</v>
      </c>
    </row>
    <row r="128" spans="2:12" x14ac:dyDescent="0.2">
      <c r="B128" s="183" t="s">
        <v>7136</v>
      </c>
      <c r="C128" s="183" t="s">
        <v>7137</v>
      </c>
      <c r="D128" s="40"/>
    </row>
    <row r="129" spans="2:12" x14ac:dyDescent="0.2">
      <c r="B129" s="183" t="s">
        <v>7133</v>
      </c>
      <c r="C129" s="214" t="s">
        <v>7161</v>
      </c>
      <c r="D129" s="40">
        <v>453078</v>
      </c>
      <c r="E129" s="215" t="s">
        <v>1</v>
      </c>
      <c r="F129" s="215"/>
      <c r="J129" s="211">
        <v>1916</v>
      </c>
      <c r="K129" s="211">
        <v>2001</v>
      </c>
      <c r="L129" s="211">
        <f>2023-J129</f>
        <v>107</v>
      </c>
    </row>
    <row r="130" spans="2:12" x14ac:dyDescent="0.2">
      <c r="B130" s="214" t="s">
        <v>7231</v>
      </c>
      <c r="C130" s="214" t="s">
        <v>7232</v>
      </c>
      <c r="D130" s="40"/>
    </row>
    <row r="131" spans="2:12" x14ac:dyDescent="0.2">
      <c r="B131" s="214" t="s">
        <v>7371</v>
      </c>
      <c r="C131" s="214"/>
      <c r="D131" s="40"/>
      <c r="J131" s="211">
        <v>1902</v>
      </c>
      <c r="K131" s="211">
        <v>1983</v>
      </c>
      <c r="L131" s="211">
        <v>121</v>
      </c>
    </row>
    <row r="132" spans="2:12" x14ac:dyDescent="0.2">
      <c r="B132" s="40" t="s">
        <v>4105</v>
      </c>
      <c r="C132" s="40" t="s">
        <v>4104</v>
      </c>
      <c r="D132" s="40">
        <v>61508</v>
      </c>
      <c r="J132" s="211">
        <v>1912</v>
      </c>
      <c r="K132" s="211">
        <v>1954</v>
      </c>
      <c r="L132" s="211">
        <f>2023-J132</f>
        <v>111</v>
      </c>
    </row>
    <row r="133" spans="2:12" x14ac:dyDescent="0.2">
      <c r="B133" s="183" t="s">
        <v>7139</v>
      </c>
      <c r="C133" s="183" t="s">
        <v>7140</v>
      </c>
      <c r="D133" s="40"/>
      <c r="J133" s="211">
        <v>1452</v>
      </c>
      <c r="K133" s="211">
        <v>1519</v>
      </c>
      <c r="L133" s="211">
        <f>2023-J133</f>
        <v>571</v>
      </c>
    </row>
  </sheetData>
  <hyperlinks>
    <hyperlink ref="E6" r:id="rId1" xr:uid="{43DFA887-5858-C14F-8AB7-CD661C1F7CD2}"/>
    <hyperlink ref="A1" location="Main!A1" display="Main" xr:uid="{B4B41973-D82C-1E45-B700-0D0062119D88}"/>
    <hyperlink ref="G35" r:id="rId2" xr:uid="{8E13FED3-604C-4E63-A77C-A82ED008C851}"/>
    <hyperlink ref="H35" r:id="rId3" xr:uid="{16AF0BA2-A843-4836-9388-6FC95A75CBC0}"/>
    <hyperlink ref="E16" r:id="rId4" xr:uid="{D2DC3123-7B8D-B74D-BCC7-1ABF5887C39D}"/>
    <hyperlink ref="O3" r:id="rId5" xr:uid="{F32ABD35-3408-45AF-8708-B407930B4090}"/>
  </hyperlinks>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D190-9653-A543-B241-E3DBD49AC20B}">
  <dimension ref="A1:C7"/>
  <sheetViews>
    <sheetView zoomScale="160" zoomScaleNormal="160" workbookViewId="0"/>
  </sheetViews>
  <sheetFormatPr defaultColWidth="8.875" defaultRowHeight="12.75" x14ac:dyDescent="0.2"/>
  <cols>
    <col min="1" max="1" width="2.625" style="40" bestFit="1" customWidth="1"/>
    <col min="2" max="16384" width="8.875" style="40"/>
  </cols>
  <sheetData>
    <row r="1" spans="1:3" x14ac:dyDescent="0.2">
      <c r="A1" s="41" t="s">
        <v>3798</v>
      </c>
    </row>
    <row r="3" spans="1:3" x14ac:dyDescent="0.2">
      <c r="B3" s="42" t="s">
        <v>4176</v>
      </c>
    </row>
    <row r="4" spans="1:3" x14ac:dyDescent="0.2">
      <c r="C4" s="42" t="s">
        <v>4174</v>
      </c>
    </row>
    <row r="6" spans="1:3" x14ac:dyDescent="0.2">
      <c r="B6" s="42" t="s">
        <v>4175</v>
      </c>
    </row>
    <row r="7" spans="1:3" x14ac:dyDescent="0.2">
      <c r="C7" s="42" t="s">
        <v>4174</v>
      </c>
    </row>
  </sheetData>
  <hyperlinks>
    <hyperlink ref="A1" location="AI!A1" display="AI" xr:uid="{2E8934D8-F35E-C542-AE3B-981925D7C4E1}"/>
  </hyperlink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47CD3-4A3F-430D-AA0E-A3D62043AE12}">
  <dimension ref="A1:K153"/>
  <sheetViews>
    <sheetView zoomScale="140" zoomScaleNormal="140" workbookViewId="0">
      <pane xSplit="2" ySplit="3" topLeftCell="C32" activePane="bottomRight" state="frozen"/>
      <selection pane="topRight" activeCell="C1" sqref="C1"/>
      <selection pane="bottomLeft" activeCell="A4" sqref="A4"/>
      <selection pane="bottomRight" activeCell="F46" sqref="F46"/>
    </sheetView>
  </sheetViews>
  <sheetFormatPr defaultColWidth="9" defaultRowHeight="12.75" x14ac:dyDescent="0.2"/>
  <cols>
    <col min="1" max="1" width="4.375" style="242" bestFit="1" customWidth="1"/>
    <col min="2" max="2" width="19.625" style="242" customWidth="1"/>
    <col min="3" max="4" width="9.625" style="243" customWidth="1"/>
    <col min="5" max="6" width="9" style="242"/>
    <col min="7" max="7" width="16.125" style="242" customWidth="1"/>
    <col min="8" max="16384" width="9" style="242"/>
  </cols>
  <sheetData>
    <row r="1" spans="1:11" x14ac:dyDescent="0.2">
      <c r="A1" s="25" t="s">
        <v>1165</v>
      </c>
    </row>
    <row r="3" spans="1:11" x14ac:dyDescent="0.2">
      <c r="C3" s="243" t="s">
        <v>4504</v>
      </c>
      <c r="D3" s="243" t="s">
        <v>4505</v>
      </c>
      <c r="E3" s="242" t="s">
        <v>2638</v>
      </c>
      <c r="F3" s="242" t="s">
        <v>4971</v>
      </c>
      <c r="G3" s="242" t="s">
        <v>4234</v>
      </c>
      <c r="H3" s="242" t="s">
        <v>1150</v>
      </c>
      <c r="I3" s="242" t="s">
        <v>5779</v>
      </c>
      <c r="J3" s="242" t="s">
        <v>4644</v>
      </c>
      <c r="K3" s="248" t="s">
        <v>2293</v>
      </c>
    </row>
    <row r="4" spans="1:11" x14ac:dyDescent="0.2">
      <c r="B4" s="242" t="s">
        <v>5624</v>
      </c>
      <c r="G4" s="242" t="s">
        <v>5623</v>
      </c>
    </row>
    <row r="5" spans="1:11" x14ac:dyDescent="0.2">
      <c r="B5" s="242" t="s">
        <v>5626</v>
      </c>
      <c r="G5" s="242" t="s">
        <v>5623</v>
      </c>
    </row>
    <row r="6" spans="1:11" x14ac:dyDescent="0.2">
      <c r="B6" s="242" t="s">
        <v>5577</v>
      </c>
      <c r="G6" s="242" t="s">
        <v>5541</v>
      </c>
    </row>
    <row r="7" spans="1:11" x14ac:dyDescent="0.2">
      <c r="B7" s="242" t="s">
        <v>5845</v>
      </c>
      <c r="E7" s="25" t="s">
        <v>5846</v>
      </c>
      <c r="G7" s="242" t="s">
        <v>5842</v>
      </c>
    </row>
    <row r="8" spans="1:11" x14ac:dyDescent="0.2">
      <c r="B8" s="242" t="s">
        <v>5562</v>
      </c>
      <c r="G8" s="242" t="s">
        <v>5541</v>
      </c>
    </row>
    <row r="9" spans="1:11" x14ac:dyDescent="0.2">
      <c r="B9" s="242" t="s">
        <v>5560</v>
      </c>
      <c r="G9" s="242" t="s">
        <v>5541</v>
      </c>
    </row>
    <row r="10" spans="1:11" x14ac:dyDescent="0.2">
      <c r="B10" s="242" t="s">
        <v>5544</v>
      </c>
      <c r="G10" s="242" t="s">
        <v>5625</v>
      </c>
    </row>
    <row r="11" spans="1:11" x14ac:dyDescent="0.2">
      <c r="B11" s="242" t="s">
        <v>5552</v>
      </c>
      <c r="G11" s="242" t="s">
        <v>5541</v>
      </c>
    </row>
    <row r="12" spans="1:11" x14ac:dyDescent="0.2">
      <c r="B12" s="244" t="s">
        <v>5542</v>
      </c>
      <c r="G12" s="242" t="s">
        <v>5541</v>
      </c>
    </row>
    <row r="13" spans="1:11" x14ac:dyDescent="0.2">
      <c r="B13" s="244" t="s">
        <v>5559</v>
      </c>
    </row>
    <row r="14" spans="1:11" x14ac:dyDescent="0.2">
      <c r="B14" s="244" t="s">
        <v>5627</v>
      </c>
      <c r="G14" s="242" t="s">
        <v>5623</v>
      </c>
    </row>
    <row r="15" spans="1:11" x14ac:dyDescent="0.2">
      <c r="B15" s="244" t="s">
        <v>5590</v>
      </c>
      <c r="G15" s="242" t="s">
        <v>5541</v>
      </c>
    </row>
    <row r="16" spans="1:11" x14ac:dyDescent="0.2">
      <c r="B16" s="242" t="s">
        <v>5385</v>
      </c>
      <c r="E16" s="25" t="s">
        <v>5390</v>
      </c>
      <c r="G16" s="242" t="s">
        <v>5392</v>
      </c>
    </row>
    <row r="17" spans="2:9" x14ac:dyDescent="0.2">
      <c r="B17" s="242" t="s">
        <v>5317</v>
      </c>
      <c r="E17" s="25" t="s">
        <v>5314</v>
      </c>
      <c r="G17" s="242" t="s">
        <v>5318</v>
      </c>
    </row>
    <row r="18" spans="2:9" x14ac:dyDescent="0.2">
      <c r="B18" s="242" t="s">
        <v>5617</v>
      </c>
      <c r="E18" s="25" t="s">
        <v>5618</v>
      </c>
      <c r="G18" s="242" t="s">
        <v>5614</v>
      </c>
    </row>
    <row r="19" spans="2:9" x14ac:dyDescent="0.2">
      <c r="B19" s="242" t="s">
        <v>5628</v>
      </c>
      <c r="E19" s="25"/>
      <c r="G19" s="242" t="s">
        <v>5623</v>
      </c>
    </row>
    <row r="20" spans="2:9" x14ac:dyDescent="0.2">
      <c r="B20" s="242" t="s">
        <v>4965</v>
      </c>
      <c r="E20" s="25"/>
      <c r="G20" s="242" t="s">
        <v>5541</v>
      </c>
    </row>
    <row r="21" spans="2:9" x14ac:dyDescent="0.2">
      <c r="B21" s="242" t="s">
        <v>5540</v>
      </c>
      <c r="E21" s="25"/>
      <c r="G21" s="242" t="s">
        <v>5541</v>
      </c>
    </row>
    <row r="22" spans="2:9" x14ac:dyDescent="0.2">
      <c r="B22" s="242" t="s">
        <v>5631</v>
      </c>
      <c r="E22" s="25"/>
      <c r="G22" s="242" t="s">
        <v>5623</v>
      </c>
    </row>
    <row r="23" spans="2:9" x14ac:dyDescent="0.2">
      <c r="B23" s="242" t="s">
        <v>5619</v>
      </c>
      <c r="E23" s="25" t="s">
        <v>5620</v>
      </c>
      <c r="G23" s="242" t="s">
        <v>5629</v>
      </c>
    </row>
    <row r="24" spans="2:9" x14ac:dyDescent="0.2">
      <c r="B24" s="242" t="s">
        <v>4784</v>
      </c>
      <c r="E24" s="25"/>
      <c r="G24" s="242" t="s">
        <v>5541</v>
      </c>
    </row>
    <row r="25" spans="2:9" x14ac:dyDescent="0.2">
      <c r="B25" s="242" t="s">
        <v>5786</v>
      </c>
    </row>
    <row r="26" spans="2:9" x14ac:dyDescent="0.2">
      <c r="B26" s="242" t="s">
        <v>5579</v>
      </c>
      <c r="E26" s="25"/>
      <c r="G26" s="242" t="s">
        <v>5541</v>
      </c>
    </row>
    <row r="27" spans="2:9" x14ac:dyDescent="0.2">
      <c r="B27" s="242" t="s">
        <v>5604</v>
      </c>
      <c r="E27" s="25" t="s">
        <v>5605</v>
      </c>
      <c r="G27" s="242" t="s">
        <v>5630</v>
      </c>
    </row>
    <row r="28" spans="2:9" s="49" customFormat="1" x14ac:dyDescent="0.2">
      <c r="B28" s="49" t="s">
        <v>3964</v>
      </c>
      <c r="C28" s="100">
        <v>1999</v>
      </c>
      <c r="D28" s="100" t="s">
        <v>4645</v>
      </c>
      <c r="E28" s="25" t="s">
        <v>5606</v>
      </c>
      <c r="G28" s="49" t="s">
        <v>5882</v>
      </c>
      <c r="H28" s="49" t="s">
        <v>5789</v>
      </c>
      <c r="I28" s="49" t="s">
        <v>5788</v>
      </c>
    </row>
    <row r="29" spans="2:9" x14ac:dyDescent="0.2">
      <c r="B29" s="242" t="s">
        <v>5567</v>
      </c>
      <c r="E29" s="25"/>
      <c r="G29" s="242" t="s">
        <v>5541</v>
      </c>
    </row>
    <row r="30" spans="2:9" x14ac:dyDescent="0.2">
      <c r="B30" s="242" t="s">
        <v>5634</v>
      </c>
      <c r="E30" s="25"/>
      <c r="G30" s="242" t="s">
        <v>5623</v>
      </c>
    </row>
    <row r="31" spans="2:9" x14ac:dyDescent="0.2">
      <c r="B31" s="242" t="s">
        <v>5384</v>
      </c>
      <c r="E31" s="25" t="s">
        <v>5391</v>
      </c>
      <c r="G31" s="242" t="s">
        <v>5539</v>
      </c>
    </row>
    <row r="32" spans="2:9" x14ac:dyDescent="0.2">
      <c r="B32" s="242" t="s">
        <v>5588</v>
      </c>
      <c r="E32" s="25"/>
      <c r="G32" s="242" t="s">
        <v>5541</v>
      </c>
    </row>
    <row r="33" spans="2:9" x14ac:dyDescent="0.2">
      <c r="B33" s="248" t="s">
        <v>7585</v>
      </c>
      <c r="E33" s="25" t="s">
        <v>7586</v>
      </c>
      <c r="G33" s="248" t="s">
        <v>7580</v>
      </c>
    </row>
    <row r="34" spans="2:9" x14ac:dyDescent="0.2">
      <c r="B34" s="242" t="s">
        <v>5576</v>
      </c>
      <c r="E34" s="25"/>
      <c r="G34" s="242" t="s">
        <v>5541</v>
      </c>
    </row>
    <row r="35" spans="2:9" x14ac:dyDescent="0.2">
      <c r="B35" s="242" t="s">
        <v>5556</v>
      </c>
      <c r="E35" s="25"/>
      <c r="G35" s="242" t="s">
        <v>5541</v>
      </c>
    </row>
    <row r="36" spans="2:9" x14ac:dyDescent="0.2">
      <c r="B36" s="242" t="s">
        <v>5564</v>
      </c>
      <c r="E36" s="25"/>
      <c r="G36" s="242" t="s">
        <v>5541</v>
      </c>
    </row>
    <row r="37" spans="2:9" x14ac:dyDescent="0.2">
      <c r="B37" s="242" t="s">
        <v>5592</v>
      </c>
      <c r="E37" s="25"/>
      <c r="G37" s="242" t="s">
        <v>5541</v>
      </c>
    </row>
    <row r="38" spans="2:9" x14ac:dyDescent="0.2">
      <c r="B38" s="242" t="s">
        <v>5498</v>
      </c>
      <c r="G38" s="242" t="s">
        <v>5500</v>
      </c>
    </row>
    <row r="39" spans="2:9" x14ac:dyDescent="0.2">
      <c r="B39" s="242" t="s">
        <v>5596</v>
      </c>
      <c r="E39" s="25" t="s">
        <v>5597</v>
      </c>
      <c r="G39" s="242" t="s">
        <v>5541</v>
      </c>
    </row>
    <row r="40" spans="2:9" x14ac:dyDescent="0.2">
      <c r="B40" s="242" t="s">
        <v>5594</v>
      </c>
      <c r="G40" s="242" t="s">
        <v>5541</v>
      </c>
    </row>
    <row r="41" spans="2:9" x14ac:dyDescent="0.2">
      <c r="B41" s="242" t="s">
        <v>5589</v>
      </c>
      <c r="G41" s="242" t="s">
        <v>5541</v>
      </c>
    </row>
    <row r="42" spans="2:9" x14ac:dyDescent="0.2">
      <c r="B42" s="242" t="s">
        <v>5569</v>
      </c>
      <c r="G42" s="242" t="s">
        <v>5541</v>
      </c>
    </row>
    <row r="43" spans="2:9" x14ac:dyDescent="0.2">
      <c r="B43" s="242" t="s">
        <v>5546</v>
      </c>
      <c r="G43" s="242" t="s">
        <v>5541</v>
      </c>
    </row>
    <row r="44" spans="2:9" s="49" customFormat="1" x14ac:dyDescent="0.2">
      <c r="B44" s="49" t="s">
        <v>5566</v>
      </c>
      <c r="C44" s="100">
        <v>1999</v>
      </c>
      <c r="D44" s="100" t="s">
        <v>4645</v>
      </c>
      <c r="E44" s="37" t="s">
        <v>5777</v>
      </c>
      <c r="G44" s="49" t="s">
        <v>5778</v>
      </c>
      <c r="H44" s="49" t="s">
        <v>5785</v>
      </c>
      <c r="I44" s="49" t="s">
        <v>5780</v>
      </c>
    </row>
    <row r="45" spans="2:9" x14ac:dyDescent="0.2">
      <c r="B45" s="242" t="s">
        <v>4508</v>
      </c>
      <c r="G45" s="242" t="s">
        <v>5623</v>
      </c>
      <c r="H45" s="242" t="s">
        <v>5377</v>
      </c>
    </row>
    <row r="46" spans="2:9" x14ac:dyDescent="0.2">
      <c r="B46" s="242" t="s">
        <v>5844</v>
      </c>
      <c r="E46" s="25" t="s">
        <v>7597</v>
      </c>
      <c r="G46" s="248" t="s">
        <v>7596</v>
      </c>
    </row>
    <row r="47" spans="2:9" x14ac:dyDescent="0.2">
      <c r="B47" s="242" t="s">
        <v>5787</v>
      </c>
    </row>
    <row r="48" spans="2:9" x14ac:dyDescent="0.2">
      <c r="B48" s="242" t="s">
        <v>5632</v>
      </c>
      <c r="G48" s="242" t="s">
        <v>5623</v>
      </c>
    </row>
    <row r="49" spans="2:8" x14ac:dyDescent="0.2">
      <c r="B49" s="242" t="s">
        <v>5607</v>
      </c>
      <c r="C49" s="243" t="s">
        <v>5881</v>
      </c>
      <c r="D49" s="243">
        <v>2022</v>
      </c>
      <c r="E49" s="25" t="s">
        <v>5608</v>
      </c>
      <c r="G49" s="242" t="s">
        <v>5880</v>
      </c>
    </row>
    <row r="50" spans="2:8" x14ac:dyDescent="0.2">
      <c r="B50" s="242" t="s">
        <v>5557</v>
      </c>
      <c r="G50" s="242" t="s">
        <v>5541</v>
      </c>
    </row>
    <row r="51" spans="2:8" x14ac:dyDescent="0.2">
      <c r="B51" s="242" t="s">
        <v>5572</v>
      </c>
      <c r="G51" s="242" t="s">
        <v>5541</v>
      </c>
    </row>
    <row r="52" spans="2:8" x14ac:dyDescent="0.2">
      <c r="B52" s="242" t="s">
        <v>5633</v>
      </c>
      <c r="G52" s="242" t="s">
        <v>5623</v>
      </c>
    </row>
    <row r="53" spans="2:8" x14ac:dyDescent="0.2">
      <c r="B53" s="242" t="s">
        <v>5561</v>
      </c>
      <c r="G53" s="242" t="s">
        <v>5625</v>
      </c>
    </row>
    <row r="54" spans="2:8" x14ac:dyDescent="0.2">
      <c r="B54" s="242" t="s">
        <v>5635</v>
      </c>
      <c r="G54" s="242" t="s">
        <v>5623</v>
      </c>
    </row>
    <row r="55" spans="2:8" x14ac:dyDescent="0.2">
      <c r="B55" s="242" t="s">
        <v>5636</v>
      </c>
      <c r="G55" s="242" t="s">
        <v>5623</v>
      </c>
    </row>
    <row r="56" spans="2:8" x14ac:dyDescent="0.2">
      <c r="B56" s="242" t="s">
        <v>4695</v>
      </c>
      <c r="G56" s="242" t="s">
        <v>5623</v>
      </c>
    </row>
    <row r="57" spans="2:8" x14ac:dyDescent="0.2">
      <c r="B57" s="248" t="s">
        <v>7583</v>
      </c>
      <c r="E57" s="25" t="s">
        <v>7584</v>
      </c>
      <c r="G57" s="248" t="s">
        <v>7580</v>
      </c>
    </row>
    <row r="58" spans="2:8" x14ac:dyDescent="0.2">
      <c r="B58" s="242" t="s">
        <v>4985</v>
      </c>
      <c r="E58" s="25" t="s">
        <v>4986</v>
      </c>
      <c r="G58" s="248" t="s">
        <v>7596</v>
      </c>
    </row>
    <row r="59" spans="2:8" x14ac:dyDescent="0.2">
      <c r="B59" s="242" t="s">
        <v>4142</v>
      </c>
      <c r="C59" s="245">
        <v>41334</v>
      </c>
      <c r="D59" s="245">
        <v>42979</v>
      </c>
      <c r="E59" s="139" t="s">
        <v>1</v>
      </c>
      <c r="H59" s="242" t="s">
        <v>6206</v>
      </c>
    </row>
    <row r="60" spans="2:8" x14ac:dyDescent="0.2">
      <c r="B60" s="242" t="s">
        <v>5637</v>
      </c>
      <c r="E60" s="25"/>
      <c r="G60" s="242" t="s">
        <v>5623</v>
      </c>
    </row>
    <row r="61" spans="2:8" x14ac:dyDescent="0.2">
      <c r="B61" s="242" t="s">
        <v>4489</v>
      </c>
      <c r="E61" s="25" t="s">
        <v>5609</v>
      </c>
      <c r="G61" s="242" t="s">
        <v>5602</v>
      </c>
    </row>
    <row r="62" spans="2:8" x14ac:dyDescent="0.2">
      <c r="B62" s="242" t="s">
        <v>5526</v>
      </c>
      <c r="E62" s="25" t="s">
        <v>5527</v>
      </c>
      <c r="G62" s="242" t="s">
        <v>5538</v>
      </c>
    </row>
    <row r="63" spans="2:8" x14ac:dyDescent="0.2">
      <c r="B63" s="242" t="s">
        <v>5386</v>
      </c>
      <c r="E63" s="25" t="s">
        <v>5389</v>
      </c>
      <c r="G63" s="242" t="s">
        <v>5392</v>
      </c>
    </row>
    <row r="64" spans="2:8" x14ac:dyDescent="0.2">
      <c r="B64" s="242" t="s">
        <v>5638</v>
      </c>
      <c r="E64" s="25"/>
      <c r="G64" s="242" t="s">
        <v>5623</v>
      </c>
    </row>
    <row r="65" spans="2:7" x14ac:dyDescent="0.2">
      <c r="B65" s="242" t="s">
        <v>5565</v>
      </c>
      <c r="E65" s="25"/>
      <c r="G65" s="242" t="s">
        <v>5541</v>
      </c>
    </row>
    <row r="66" spans="2:7" x14ac:dyDescent="0.2">
      <c r="B66" s="242" t="s">
        <v>5582</v>
      </c>
      <c r="E66" s="25"/>
      <c r="G66" s="242" t="s">
        <v>5541</v>
      </c>
    </row>
    <row r="67" spans="2:7" x14ac:dyDescent="0.2">
      <c r="B67" s="242" t="s">
        <v>5312</v>
      </c>
      <c r="E67" s="25" t="s">
        <v>5313</v>
      </c>
      <c r="G67" s="242" t="s">
        <v>5318</v>
      </c>
    </row>
    <row r="68" spans="2:7" x14ac:dyDescent="0.2">
      <c r="B68" s="242" t="s">
        <v>5534</v>
      </c>
      <c r="E68" s="25" t="s">
        <v>5535</v>
      </c>
      <c r="G68" s="242" t="s">
        <v>5523</v>
      </c>
    </row>
    <row r="69" spans="2:7" x14ac:dyDescent="0.2">
      <c r="B69" s="242" t="s">
        <v>5573</v>
      </c>
      <c r="E69" s="25"/>
      <c r="G69" s="242" t="s">
        <v>5541</v>
      </c>
    </row>
    <row r="70" spans="2:7" x14ac:dyDescent="0.2">
      <c r="B70" s="242" t="s">
        <v>5536</v>
      </c>
      <c r="E70" s="25" t="s">
        <v>5537</v>
      </c>
      <c r="G70" s="242" t="s">
        <v>5523</v>
      </c>
    </row>
    <row r="71" spans="2:7" x14ac:dyDescent="0.2">
      <c r="B71" s="242" t="s">
        <v>3654</v>
      </c>
      <c r="E71" s="25"/>
      <c r="G71" s="242" t="s">
        <v>5541</v>
      </c>
    </row>
    <row r="72" spans="2:7" x14ac:dyDescent="0.2">
      <c r="B72" s="242" t="s">
        <v>5639</v>
      </c>
      <c r="E72" s="25"/>
      <c r="G72" s="242" t="s">
        <v>5623</v>
      </c>
    </row>
    <row r="73" spans="2:7" x14ac:dyDescent="0.2">
      <c r="B73" s="242" t="s">
        <v>5530</v>
      </c>
      <c r="E73" s="25" t="s">
        <v>5531</v>
      </c>
      <c r="G73" s="242" t="s">
        <v>5523</v>
      </c>
    </row>
    <row r="74" spans="2:7" x14ac:dyDescent="0.2">
      <c r="B74" s="242" t="s">
        <v>5550</v>
      </c>
      <c r="E74" s="25"/>
      <c r="G74" s="242" t="s">
        <v>5541</v>
      </c>
    </row>
    <row r="75" spans="2:7" x14ac:dyDescent="0.2">
      <c r="B75" s="242" t="s">
        <v>5591</v>
      </c>
      <c r="E75" s="25"/>
      <c r="G75" s="242" t="s">
        <v>5541</v>
      </c>
    </row>
    <row r="76" spans="2:7" x14ac:dyDescent="0.2">
      <c r="B76" s="242" t="s">
        <v>5568</v>
      </c>
      <c r="E76" s="25"/>
      <c r="G76" s="242" t="s">
        <v>5541</v>
      </c>
    </row>
    <row r="77" spans="2:7" x14ac:dyDescent="0.2">
      <c r="B77" s="242" t="s">
        <v>5612</v>
      </c>
      <c r="E77" s="25" t="s">
        <v>5613</v>
      </c>
      <c r="G77" s="242" t="s">
        <v>5614</v>
      </c>
    </row>
    <row r="78" spans="2:7" x14ac:dyDescent="0.2">
      <c r="B78" s="242" t="s">
        <v>5601</v>
      </c>
      <c r="E78" s="25" t="s">
        <v>5603</v>
      </c>
      <c r="G78" s="242" t="s">
        <v>5602</v>
      </c>
    </row>
    <row r="79" spans="2:7" x14ac:dyDescent="0.2">
      <c r="B79" s="242" t="s">
        <v>5543</v>
      </c>
      <c r="E79" s="25"/>
      <c r="G79" s="242" t="s">
        <v>5541</v>
      </c>
    </row>
    <row r="80" spans="2:7" x14ac:dyDescent="0.2">
      <c r="B80" s="242" t="s">
        <v>4938</v>
      </c>
      <c r="E80" s="25"/>
      <c r="G80" s="242" t="s">
        <v>5541</v>
      </c>
    </row>
    <row r="81" spans="2:7" x14ac:dyDescent="0.2">
      <c r="B81" s="242" t="s">
        <v>5840</v>
      </c>
      <c r="E81" s="25" t="s">
        <v>5841</v>
      </c>
      <c r="G81" s="242" t="s">
        <v>5842</v>
      </c>
    </row>
    <row r="82" spans="2:7" x14ac:dyDescent="0.2">
      <c r="B82" s="242" t="s">
        <v>5640</v>
      </c>
      <c r="E82" s="25"/>
      <c r="G82" s="242" t="s">
        <v>5623</v>
      </c>
    </row>
    <row r="83" spans="2:7" x14ac:dyDescent="0.2">
      <c r="B83" s="242" t="s">
        <v>5641</v>
      </c>
      <c r="E83" s="25"/>
      <c r="G83" s="242" t="s">
        <v>5623</v>
      </c>
    </row>
    <row r="84" spans="2:7" x14ac:dyDescent="0.2">
      <c r="B84" s="242" t="s">
        <v>5583</v>
      </c>
      <c r="E84" s="25"/>
      <c r="G84" s="242" t="s">
        <v>5541</v>
      </c>
    </row>
    <row r="85" spans="2:7" x14ac:dyDescent="0.2">
      <c r="B85" s="242" t="s">
        <v>5642</v>
      </c>
      <c r="E85" s="25"/>
      <c r="G85" s="242" t="s">
        <v>5623</v>
      </c>
    </row>
    <row r="86" spans="2:7" x14ac:dyDescent="0.2">
      <c r="B86" s="242" t="s">
        <v>5528</v>
      </c>
      <c r="E86" s="25" t="s">
        <v>5529</v>
      </c>
      <c r="G86" s="242" t="s">
        <v>5538</v>
      </c>
    </row>
    <row r="87" spans="2:7" x14ac:dyDescent="0.2">
      <c r="B87" s="242" t="s">
        <v>5643</v>
      </c>
      <c r="E87" s="25"/>
      <c r="G87" s="242" t="s">
        <v>5623</v>
      </c>
    </row>
    <row r="88" spans="2:7" x14ac:dyDescent="0.2">
      <c r="B88" s="242" t="s">
        <v>5578</v>
      </c>
      <c r="E88" s="25"/>
      <c r="G88" s="242" t="s">
        <v>5541</v>
      </c>
    </row>
    <row r="89" spans="2:7" x14ac:dyDescent="0.2">
      <c r="B89" s="242" t="s">
        <v>4984</v>
      </c>
      <c r="D89" s="255" t="s">
        <v>4645</v>
      </c>
      <c r="E89" s="25" t="s">
        <v>4988</v>
      </c>
      <c r="G89" s="248" t="s">
        <v>7580</v>
      </c>
    </row>
    <row r="90" spans="2:7" x14ac:dyDescent="0.2">
      <c r="B90" s="242" t="s">
        <v>5581</v>
      </c>
      <c r="E90" s="25"/>
      <c r="G90" s="242" t="s">
        <v>5541</v>
      </c>
    </row>
    <row r="91" spans="2:7" x14ac:dyDescent="0.2">
      <c r="B91" s="242" t="s">
        <v>5593</v>
      </c>
      <c r="E91" s="25"/>
      <c r="G91" s="242" t="s">
        <v>5541</v>
      </c>
    </row>
    <row r="92" spans="2:7" x14ac:dyDescent="0.2">
      <c r="B92" s="242" t="s">
        <v>5580</v>
      </c>
      <c r="E92" s="25"/>
      <c r="G92" s="242" t="s">
        <v>5541</v>
      </c>
    </row>
    <row r="93" spans="2:7" x14ac:dyDescent="0.2">
      <c r="B93" s="242" t="s">
        <v>5584</v>
      </c>
      <c r="E93" s="25"/>
      <c r="G93" s="242" t="s">
        <v>5541</v>
      </c>
    </row>
    <row r="94" spans="2:7" x14ac:dyDescent="0.2">
      <c r="B94" s="242" t="s">
        <v>5558</v>
      </c>
      <c r="E94" s="25"/>
      <c r="G94" s="242" t="s">
        <v>5541</v>
      </c>
    </row>
    <row r="95" spans="2:7" x14ac:dyDescent="0.2">
      <c r="B95" s="246" t="s">
        <v>5554</v>
      </c>
      <c r="E95" s="25"/>
      <c r="G95" s="242" t="s">
        <v>5541</v>
      </c>
    </row>
    <row r="96" spans="2:7" x14ac:dyDescent="0.2">
      <c r="B96" s="242" t="s">
        <v>5521</v>
      </c>
      <c r="C96" s="242"/>
      <c r="E96" s="25" t="s">
        <v>5522</v>
      </c>
      <c r="G96" s="242" t="s">
        <v>5523</v>
      </c>
    </row>
    <row r="97" spans="2:8" x14ac:dyDescent="0.2">
      <c r="B97" s="242" t="s">
        <v>5551</v>
      </c>
      <c r="E97" s="25"/>
      <c r="G97" s="242" t="s">
        <v>5541</v>
      </c>
    </row>
    <row r="98" spans="2:8" x14ac:dyDescent="0.2">
      <c r="B98" s="242" t="s">
        <v>5555</v>
      </c>
      <c r="E98" s="25"/>
      <c r="G98" s="242" t="s">
        <v>5541</v>
      </c>
    </row>
    <row r="99" spans="2:8" x14ac:dyDescent="0.2">
      <c r="B99" s="242" t="s">
        <v>5849</v>
      </c>
      <c r="E99" s="25" t="s">
        <v>5850</v>
      </c>
      <c r="G99" s="242" t="s">
        <v>5842</v>
      </c>
    </row>
    <row r="100" spans="2:8" x14ac:dyDescent="0.2">
      <c r="B100" s="242" t="s">
        <v>5524</v>
      </c>
      <c r="E100" s="25" t="s">
        <v>5525</v>
      </c>
      <c r="G100" s="242" t="s">
        <v>5538</v>
      </c>
    </row>
    <row r="101" spans="2:8" x14ac:dyDescent="0.2">
      <c r="B101" s="242" t="s">
        <v>5570</v>
      </c>
      <c r="E101" s="25"/>
      <c r="G101" s="242" t="s">
        <v>5541</v>
      </c>
    </row>
    <row r="102" spans="2:8" x14ac:dyDescent="0.2">
      <c r="B102" s="242" t="s">
        <v>5587</v>
      </c>
      <c r="E102" s="25"/>
      <c r="G102" s="242" t="s">
        <v>5541</v>
      </c>
    </row>
    <row r="103" spans="2:8" x14ac:dyDescent="0.2">
      <c r="B103" s="242" t="s">
        <v>5316</v>
      </c>
      <c r="E103" s="25" t="s">
        <v>5315</v>
      </c>
      <c r="G103" s="242" t="s">
        <v>5318</v>
      </c>
    </row>
    <row r="104" spans="2:8" x14ac:dyDescent="0.2">
      <c r="B104" s="242" t="s">
        <v>5370</v>
      </c>
      <c r="H104" s="242" t="s">
        <v>5378</v>
      </c>
    </row>
    <row r="105" spans="2:8" x14ac:dyDescent="0.2">
      <c r="B105" s="242" t="s">
        <v>5547</v>
      </c>
      <c r="G105" s="242" t="s">
        <v>5541</v>
      </c>
    </row>
    <row r="106" spans="2:8" x14ac:dyDescent="0.2">
      <c r="B106" s="242" t="s">
        <v>5644</v>
      </c>
      <c r="G106" s="242" t="s">
        <v>5623</v>
      </c>
    </row>
    <row r="107" spans="2:8" x14ac:dyDescent="0.2">
      <c r="B107" s="248" t="s">
        <v>7591</v>
      </c>
      <c r="E107" s="25" t="s">
        <v>7592</v>
      </c>
      <c r="G107" s="248" t="s">
        <v>7580</v>
      </c>
    </row>
    <row r="108" spans="2:8" x14ac:dyDescent="0.2">
      <c r="B108" s="242" t="s">
        <v>5575</v>
      </c>
      <c r="G108" s="242" t="s">
        <v>5541</v>
      </c>
    </row>
    <row r="109" spans="2:8" x14ac:dyDescent="0.2">
      <c r="B109" s="242" t="s">
        <v>3657</v>
      </c>
      <c r="C109" s="243">
        <v>2001</v>
      </c>
      <c r="D109" s="243" t="s">
        <v>3403</v>
      </c>
      <c r="E109" s="25" t="s">
        <v>5520</v>
      </c>
      <c r="G109" s="242" t="s">
        <v>5600</v>
      </c>
      <c r="H109" s="248" t="s">
        <v>7593</v>
      </c>
    </row>
    <row r="110" spans="2:8" x14ac:dyDescent="0.2">
      <c r="B110" s="242" t="s">
        <v>5548</v>
      </c>
      <c r="E110" s="25"/>
      <c r="G110" s="242" t="s">
        <v>5541</v>
      </c>
    </row>
    <row r="111" spans="2:8" x14ac:dyDescent="0.2">
      <c r="B111" s="242" t="s">
        <v>5645</v>
      </c>
      <c r="E111" s="25"/>
      <c r="G111" s="242" t="s">
        <v>5623</v>
      </c>
    </row>
    <row r="112" spans="2:8" x14ac:dyDescent="0.2">
      <c r="B112" s="242" t="s">
        <v>4517</v>
      </c>
      <c r="E112" s="25" t="s">
        <v>5843</v>
      </c>
      <c r="G112" s="242" t="s">
        <v>5842</v>
      </c>
    </row>
    <row r="113" spans="2:11" x14ac:dyDescent="0.2">
      <c r="B113" s="248" t="s">
        <v>7581</v>
      </c>
      <c r="E113" s="25" t="s">
        <v>7582</v>
      </c>
      <c r="G113" s="248" t="s">
        <v>7580</v>
      </c>
    </row>
    <row r="114" spans="2:11" x14ac:dyDescent="0.2">
      <c r="B114" s="242" t="s">
        <v>5574</v>
      </c>
      <c r="E114" s="25"/>
      <c r="G114" s="242" t="s">
        <v>5541</v>
      </c>
    </row>
    <row r="115" spans="2:11" x14ac:dyDescent="0.2">
      <c r="B115" s="242" t="s">
        <v>5649</v>
      </c>
      <c r="E115" s="25"/>
      <c r="G115" s="242" t="s">
        <v>5623</v>
      </c>
    </row>
    <row r="116" spans="2:11" x14ac:dyDescent="0.2">
      <c r="B116" s="242" t="s">
        <v>4281</v>
      </c>
      <c r="E116" s="25"/>
      <c r="H116" s="242" t="s">
        <v>6294</v>
      </c>
    </row>
    <row r="117" spans="2:11" x14ac:dyDescent="0.2">
      <c r="B117" s="242" t="s">
        <v>4109</v>
      </c>
      <c r="C117" s="243" t="s">
        <v>5615</v>
      </c>
      <c r="D117" s="243">
        <v>2015</v>
      </c>
      <c r="E117" s="25" t="s">
        <v>5616</v>
      </c>
      <c r="G117" s="242" t="s">
        <v>5646</v>
      </c>
      <c r="H117" s="242" t="s">
        <v>5499</v>
      </c>
    </row>
    <row r="118" spans="2:11" x14ac:dyDescent="0.2">
      <c r="B118" s="242" t="s">
        <v>5545</v>
      </c>
      <c r="G118" s="242" t="s">
        <v>5541</v>
      </c>
    </row>
    <row r="119" spans="2:11" x14ac:dyDescent="0.2">
      <c r="B119" s="242" t="s">
        <v>5497</v>
      </c>
      <c r="G119" s="242" t="s">
        <v>5500</v>
      </c>
    </row>
    <row r="120" spans="2:11" x14ac:dyDescent="0.2">
      <c r="B120" s="242" t="s">
        <v>5647</v>
      </c>
      <c r="G120" s="242" t="s">
        <v>5623</v>
      </c>
    </row>
    <row r="121" spans="2:11" x14ac:dyDescent="0.2">
      <c r="B121" s="242" t="s">
        <v>5553</v>
      </c>
      <c r="G121" s="242" t="s">
        <v>5541</v>
      </c>
    </row>
    <row r="122" spans="2:11" x14ac:dyDescent="0.2">
      <c r="B122" s="242" t="s">
        <v>5387</v>
      </c>
      <c r="E122" s="25" t="s">
        <v>5388</v>
      </c>
      <c r="G122" s="242" t="s">
        <v>5392</v>
      </c>
    </row>
    <row r="123" spans="2:11" x14ac:dyDescent="0.2">
      <c r="B123" s="242" t="s">
        <v>5549</v>
      </c>
      <c r="E123" s="25"/>
      <c r="G123" s="242" t="s">
        <v>5541</v>
      </c>
    </row>
    <row r="124" spans="2:11" x14ac:dyDescent="0.2">
      <c r="B124" s="242" t="s">
        <v>5648</v>
      </c>
      <c r="E124" s="25"/>
      <c r="G124" s="242" t="s">
        <v>5623</v>
      </c>
    </row>
    <row r="125" spans="2:11" x14ac:dyDescent="0.2">
      <c r="B125" s="242" t="s">
        <v>5650</v>
      </c>
      <c r="E125" s="25"/>
      <c r="G125" s="242" t="s">
        <v>5623</v>
      </c>
    </row>
    <row r="126" spans="2:11" x14ac:dyDescent="0.2">
      <c r="B126" s="242" t="s">
        <v>5651</v>
      </c>
      <c r="E126" s="25"/>
      <c r="G126" s="242" t="s">
        <v>5623</v>
      </c>
    </row>
    <row r="127" spans="2:11" x14ac:dyDescent="0.2">
      <c r="B127" s="242" t="s">
        <v>5653</v>
      </c>
      <c r="E127" s="25"/>
      <c r="G127" s="242" t="s">
        <v>5623</v>
      </c>
    </row>
    <row r="128" spans="2:11" x14ac:dyDescent="0.2">
      <c r="B128" s="242" t="s">
        <v>4509</v>
      </c>
      <c r="C128" s="255" t="s">
        <v>5881</v>
      </c>
      <c r="D128" s="255" t="s">
        <v>4645</v>
      </c>
      <c r="E128" s="25" t="s">
        <v>4987</v>
      </c>
      <c r="G128" s="248" t="s">
        <v>7587</v>
      </c>
      <c r="H128" s="248" t="s">
        <v>7588</v>
      </c>
      <c r="K128" s="248" t="s">
        <v>7589</v>
      </c>
    </row>
    <row r="129" spans="2:10" x14ac:dyDescent="0.2">
      <c r="B129" s="242" t="s">
        <v>5586</v>
      </c>
      <c r="E129" s="25"/>
      <c r="G129" s="242" t="s">
        <v>5541</v>
      </c>
    </row>
    <row r="130" spans="2:10" x14ac:dyDescent="0.2">
      <c r="B130" s="242" t="s">
        <v>5652</v>
      </c>
      <c r="E130" s="25"/>
      <c r="G130" s="242" t="s">
        <v>5623</v>
      </c>
    </row>
    <row r="131" spans="2:10" x14ac:dyDescent="0.2">
      <c r="B131" s="242" t="s">
        <v>5654</v>
      </c>
      <c r="E131" s="25"/>
      <c r="G131" s="242" t="s">
        <v>5623</v>
      </c>
    </row>
    <row r="132" spans="2:10" x14ac:dyDescent="0.2">
      <c r="B132" s="242" t="s">
        <v>4600</v>
      </c>
      <c r="E132" s="25"/>
      <c r="G132" s="242" t="s">
        <v>5541</v>
      </c>
    </row>
    <row r="133" spans="2:10" x14ac:dyDescent="0.2">
      <c r="B133" s="242" t="s">
        <v>5656</v>
      </c>
      <c r="E133" s="25"/>
      <c r="G133" s="242" t="s">
        <v>5623</v>
      </c>
    </row>
    <row r="134" spans="2:10" x14ac:dyDescent="0.2">
      <c r="B134" s="242" t="s">
        <v>5847</v>
      </c>
      <c r="E134" s="25" t="s">
        <v>5848</v>
      </c>
      <c r="G134" s="242" t="s">
        <v>5842</v>
      </c>
    </row>
    <row r="135" spans="2:10" x14ac:dyDescent="0.2">
      <c r="B135" s="242" t="s">
        <v>5563</v>
      </c>
      <c r="E135" s="25"/>
      <c r="G135" s="242" t="s">
        <v>5541</v>
      </c>
    </row>
    <row r="136" spans="2:10" x14ac:dyDescent="0.2">
      <c r="B136" s="242" t="s">
        <v>5655</v>
      </c>
      <c r="E136" s="25"/>
      <c r="G136" s="242" t="s">
        <v>5623</v>
      </c>
    </row>
    <row r="137" spans="2:10" x14ac:dyDescent="0.2">
      <c r="B137" s="248" t="s">
        <v>7594</v>
      </c>
      <c r="E137" s="25" t="s">
        <v>7595</v>
      </c>
      <c r="G137" s="248" t="s">
        <v>7580</v>
      </c>
    </row>
    <row r="138" spans="2:10" x14ac:dyDescent="0.2">
      <c r="B138" s="242" t="s">
        <v>5657</v>
      </c>
      <c r="E138" s="25"/>
      <c r="G138" s="242" t="s">
        <v>5623</v>
      </c>
    </row>
    <row r="139" spans="2:10" x14ac:dyDescent="0.2">
      <c r="B139" s="242" t="s">
        <v>5571</v>
      </c>
      <c r="E139" s="25"/>
      <c r="G139" s="242" t="s">
        <v>5541</v>
      </c>
    </row>
    <row r="140" spans="2:10" x14ac:dyDescent="0.2">
      <c r="B140" s="242" t="s">
        <v>5532</v>
      </c>
      <c r="E140" s="25" t="s">
        <v>5533</v>
      </c>
      <c r="G140" s="242" t="s">
        <v>5523</v>
      </c>
    </row>
    <row r="141" spans="2:10" x14ac:dyDescent="0.2">
      <c r="B141" s="242" t="s">
        <v>5585</v>
      </c>
      <c r="G141" s="242" t="s">
        <v>5541</v>
      </c>
    </row>
    <row r="142" spans="2:10" x14ac:dyDescent="0.2">
      <c r="B142" s="242" t="s">
        <v>4528</v>
      </c>
      <c r="C142" s="245">
        <v>42522</v>
      </c>
      <c r="D142" s="245">
        <v>44774</v>
      </c>
      <c r="E142" s="25" t="s">
        <v>7076</v>
      </c>
      <c r="F142" s="25" t="s">
        <v>7077</v>
      </c>
      <c r="G142" s="242" t="s">
        <v>5541</v>
      </c>
      <c r="H142" s="242" t="s">
        <v>7074</v>
      </c>
      <c r="J142" s="25"/>
    </row>
    <row r="147" spans="2:4" x14ac:dyDescent="0.2">
      <c r="C147" s="247"/>
      <c r="D147" s="247"/>
    </row>
    <row r="150" spans="2:4" x14ac:dyDescent="0.2">
      <c r="B150" s="242" t="s">
        <v>5781</v>
      </c>
    </row>
    <row r="151" spans="2:4" x14ac:dyDescent="0.2">
      <c r="B151" s="242" t="s">
        <v>5782</v>
      </c>
    </row>
    <row r="152" spans="2:4" x14ac:dyDescent="0.2">
      <c r="B152" s="242" t="s">
        <v>5783</v>
      </c>
    </row>
    <row r="153" spans="2:4" x14ac:dyDescent="0.2">
      <c r="B153" s="242" t="s">
        <v>5784</v>
      </c>
    </row>
  </sheetData>
  <hyperlinks>
    <hyperlink ref="E58" r:id="rId1" xr:uid="{DCC9550A-2C12-4CFB-B1B6-78E6E73B4686}"/>
    <hyperlink ref="E128" r:id="rId2" xr:uid="{49ECD951-ECC0-4153-83E6-34B712CFB982}"/>
    <hyperlink ref="E89" r:id="rId3" xr:uid="{59BCB5BA-FE07-4E3E-99AE-03E04E6845F3}"/>
    <hyperlink ref="A1" location="Main!A1" display="Main" xr:uid="{131E021D-6F6B-42B9-805D-663A92A66C12}"/>
    <hyperlink ref="E67" r:id="rId4" xr:uid="{D1417802-15BA-A84D-8418-6F102C321208}"/>
    <hyperlink ref="E17" r:id="rId5" xr:uid="{62B8CC8F-A0E2-FD4E-BD7B-6754D904D0BA}"/>
    <hyperlink ref="E103" r:id="rId6" xr:uid="{287AEE80-D1B1-D949-98A2-E419ECE6998E}"/>
    <hyperlink ref="E122" r:id="rId7" xr:uid="{4B2D73EF-08E0-2C49-ADF7-54D4D4DF08C6}"/>
    <hyperlink ref="E63" r:id="rId8" xr:uid="{EBF585B9-975E-4F44-BE7F-F5F4E04348AD}"/>
    <hyperlink ref="E16" r:id="rId9" xr:uid="{B9F69C2B-4579-FA4F-A9A6-F37D196895CD}"/>
    <hyperlink ref="E31" r:id="rId10" xr:uid="{9187B0CD-A9A3-024C-AE5D-D2599A126B58}"/>
    <hyperlink ref="E109" r:id="rId11" xr:uid="{463BEA70-4C20-EC4E-8C9C-2EDFAF56ABC2}"/>
    <hyperlink ref="E96" r:id="rId12" xr:uid="{119DB323-1F5E-9643-810D-1CFD07FEEF50}"/>
    <hyperlink ref="E100" r:id="rId13" xr:uid="{6B33DEF4-8BB5-3647-B42D-787ECCF089A0}"/>
    <hyperlink ref="E62" r:id="rId14" xr:uid="{CF55B55E-469B-5C47-8E07-819B69339F80}"/>
    <hyperlink ref="E86" r:id="rId15" xr:uid="{A9EAF0C4-04AF-9A40-B08B-A530CC1DEAFE}"/>
    <hyperlink ref="E73" r:id="rId16" xr:uid="{9614C3CD-1497-8740-8A4B-EA1A351B3453}"/>
    <hyperlink ref="E140" r:id="rId17" xr:uid="{049E8153-DB30-DF49-93EF-319F92AFD47C}"/>
    <hyperlink ref="E68" r:id="rId18" xr:uid="{2CA325AB-4CE2-A34F-B0D2-97416B24C79D}"/>
    <hyperlink ref="E70" r:id="rId19" xr:uid="{513E4CA0-2971-764A-B7D0-600ACABED8ED}"/>
    <hyperlink ref="E39" r:id="rId20" xr:uid="{335FB849-D658-C140-AA4B-217FC657D2F0}"/>
    <hyperlink ref="E142" r:id="rId21" display="barretzoph@google.com" xr:uid="{1BEAF5F9-B3A2-1D49-B610-3FC672440948}"/>
    <hyperlink ref="E78" r:id="rId22" xr:uid="{0FF2DD2F-AEB4-7541-9FB5-B273EBFC8C9E}"/>
    <hyperlink ref="E27" r:id="rId23" xr:uid="{77C11826-C73C-1746-807F-7C0C6529377B}"/>
    <hyperlink ref="E28" r:id="rId24" xr:uid="{7DFD2E35-398B-0E41-8C18-A031BE06CDD8}"/>
    <hyperlink ref="E49" r:id="rId25" xr:uid="{15AAAFF4-C6A7-2A43-A6BC-4838660CA7B1}"/>
    <hyperlink ref="E61" r:id="rId26" xr:uid="{1B924D1B-1B90-0149-975E-2CCC370D2290}"/>
    <hyperlink ref="E77" r:id="rId27" xr:uid="{1C65227C-E79A-854E-AF9D-A355845F8602}"/>
    <hyperlink ref="E117" r:id="rId28" xr:uid="{9E716171-072D-FD4A-AC6A-3FFE580143D3}"/>
    <hyperlink ref="E18" r:id="rId29" xr:uid="{7B840ED0-DA26-BC40-95F2-DE68336BAED6}"/>
    <hyperlink ref="E23" r:id="rId30" xr:uid="{F522E4FC-E97D-C940-AE40-87FD36891B30}"/>
    <hyperlink ref="E44" r:id="rId31" xr:uid="{11E49910-0EF3-DA40-8EDF-9630B7B0400A}"/>
    <hyperlink ref="E81" r:id="rId32" xr:uid="{2CFCEB66-0D8D-2F4D-9B88-8F34BA1B344A}"/>
    <hyperlink ref="E112" r:id="rId33" xr:uid="{E70C74B8-7680-824F-BE47-2DD44D93C071}"/>
    <hyperlink ref="E46" r:id="rId34" display="alex.graves@deepmind.com" xr:uid="{127564C9-E5B7-1E45-8085-FE2D1F6AF8A5}"/>
    <hyperlink ref="E7" r:id="rId35" xr:uid="{9F6721CF-0742-0643-8B76-31D3FD35ACA4}"/>
    <hyperlink ref="E134" r:id="rId36" xr:uid="{7DB383BD-D25C-7E40-9136-11005C9A525A}"/>
    <hyperlink ref="E99" r:id="rId37" xr:uid="{55FD17D9-F5C0-EA41-8EC8-125FA77DE26F}"/>
    <hyperlink ref="F142" r:id="rId38" xr:uid="{F4F11EEA-903B-D643-AAF1-1C9830994D00}"/>
    <hyperlink ref="E113" r:id="rId39" xr:uid="{7A84A9CF-D34E-B547-AFA0-7889468E9F7C}"/>
    <hyperlink ref="E57" r:id="rId40" xr:uid="{1F2C3011-C816-F94D-87ED-A551E4A4935B}"/>
    <hyperlink ref="E33" r:id="rId41" xr:uid="{F8CC7CDA-466E-5A41-86F4-B989CCE7211D}"/>
    <hyperlink ref="E107" r:id="rId42" xr:uid="{FA420625-21CE-BF4B-97DA-40068AE3B934}"/>
    <hyperlink ref="E137" r:id="rId43" xr:uid="{91E63CFE-16D1-7C43-94CF-2B7F5649498A}"/>
  </hyperlinks>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C11B6-A313-40E1-9B03-9414CAEAC5F4}">
  <dimension ref="A1:L285"/>
  <sheetViews>
    <sheetView zoomScale="145" zoomScaleNormal="145" workbookViewId="0">
      <pane xSplit="2" ySplit="2" topLeftCell="C271" activePane="bottomRight" state="frozen"/>
      <selection pane="topRight" activeCell="C1" sqref="C1"/>
      <selection pane="bottomLeft" activeCell="A3" sqref="A3"/>
      <selection pane="bottomRight" activeCell="D275" sqref="D275"/>
    </sheetView>
  </sheetViews>
  <sheetFormatPr defaultColWidth="9" defaultRowHeight="12.75" x14ac:dyDescent="0.2"/>
  <cols>
    <col min="1" max="1" width="4.375" style="108" bestFit="1" customWidth="1"/>
    <col min="2" max="2" width="9" style="108"/>
    <col min="3" max="3" width="15.625" style="108" customWidth="1"/>
    <col min="4" max="4" width="31.375" style="108" customWidth="1"/>
    <col min="5" max="5" width="9" style="108"/>
    <col min="6" max="7" width="9" style="127"/>
    <col min="8" max="8" width="13.375" style="108" customWidth="1"/>
    <col min="9" max="16384" width="9" style="108"/>
  </cols>
  <sheetData>
    <row r="1" spans="1:12" x14ac:dyDescent="0.2">
      <c r="A1" s="25" t="s">
        <v>1165</v>
      </c>
    </row>
    <row r="2" spans="1:12" x14ac:dyDescent="0.2">
      <c r="B2" s="108" t="s">
        <v>4502</v>
      </c>
      <c r="C2" s="169" t="s">
        <v>3981</v>
      </c>
      <c r="D2" s="169" t="s">
        <v>6589</v>
      </c>
      <c r="E2" s="108" t="s">
        <v>4643</v>
      </c>
      <c r="F2" s="127" t="s">
        <v>4626</v>
      </c>
      <c r="G2" s="127" t="s">
        <v>4505</v>
      </c>
      <c r="H2" s="108" t="s">
        <v>4644</v>
      </c>
      <c r="I2" s="108" t="s">
        <v>1150</v>
      </c>
      <c r="J2" s="108" t="s">
        <v>4971</v>
      </c>
      <c r="K2" s="108" t="s">
        <v>2293</v>
      </c>
      <c r="L2" s="108" t="s">
        <v>4234</v>
      </c>
    </row>
    <row r="3" spans="1:12" x14ac:dyDescent="0.2">
      <c r="B3" s="108">
        <v>1</v>
      </c>
      <c r="C3" s="108" t="s">
        <v>4500</v>
      </c>
      <c r="D3" s="108" t="s">
        <v>4507</v>
      </c>
      <c r="E3" s="108" t="s">
        <v>6290</v>
      </c>
      <c r="F3" s="128">
        <v>42339</v>
      </c>
      <c r="G3" s="127" t="s">
        <v>4645</v>
      </c>
    </row>
    <row r="4" spans="1:12" x14ac:dyDescent="0.2">
      <c r="B4" s="108">
        <v>2</v>
      </c>
      <c r="C4" s="248" t="s">
        <v>4506</v>
      </c>
      <c r="D4" s="108" t="s">
        <v>4662</v>
      </c>
      <c r="E4" s="108" t="s">
        <v>4631</v>
      </c>
      <c r="F4" s="128">
        <v>42339</v>
      </c>
      <c r="G4" s="127" t="s">
        <v>4645</v>
      </c>
    </row>
    <row r="5" spans="1:12" x14ac:dyDescent="0.2">
      <c r="B5" s="108">
        <v>3</v>
      </c>
      <c r="C5" s="108" t="s">
        <v>4486</v>
      </c>
      <c r="D5" s="108" t="s">
        <v>4501</v>
      </c>
      <c r="E5" s="108" t="s">
        <v>6289</v>
      </c>
      <c r="F5" s="128">
        <v>42339</v>
      </c>
      <c r="G5" s="127" t="s">
        <v>4645</v>
      </c>
    </row>
    <row r="6" spans="1:12" x14ac:dyDescent="0.2">
      <c r="B6" s="108">
        <v>4</v>
      </c>
      <c r="C6" s="108" t="s">
        <v>4503</v>
      </c>
      <c r="D6" s="108" t="s">
        <v>4501</v>
      </c>
      <c r="E6" s="108" t="s">
        <v>6289</v>
      </c>
      <c r="F6" s="128">
        <v>42339</v>
      </c>
      <c r="G6" s="150">
        <v>2018</v>
      </c>
      <c r="H6" s="108" t="s">
        <v>1</v>
      </c>
    </row>
    <row r="7" spans="1:12" x14ac:dyDescent="0.2">
      <c r="B7" s="108">
        <v>5</v>
      </c>
      <c r="C7" s="108" t="s">
        <v>4481</v>
      </c>
      <c r="D7" s="108" t="s">
        <v>4482</v>
      </c>
      <c r="E7" s="108" t="s">
        <v>4483</v>
      </c>
      <c r="F7" s="128">
        <v>42339</v>
      </c>
      <c r="G7" s="127" t="s">
        <v>4645</v>
      </c>
      <c r="H7" s="25" t="s">
        <v>4956</v>
      </c>
      <c r="I7" s="248" t="s">
        <v>4950</v>
      </c>
      <c r="J7" s="25" t="s">
        <v>4979</v>
      </c>
    </row>
    <row r="8" spans="1:12" x14ac:dyDescent="0.2">
      <c r="B8" s="108">
        <v>6</v>
      </c>
      <c r="C8" s="109" t="s">
        <v>4109</v>
      </c>
      <c r="D8" s="109" t="s">
        <v>4625</v>
      </c>
      <c r="F8" s="128">
        <v>42339</v>
      </c>
      <c r="G8" s="127" t="s">
        <v>4645</v>
      </c>
      <c r="H8" s="41" t="s">
        <v>4108</v>
      </c>
    </row>
    <row r="9" spans="1:12" x14ac:dyDescent="0.2">
      <c r="B9" s="108">
        <v>7</v>
      </c>
      <c r="C9" s="108" t="s">
        <v>4518</v>
      </c>
      <c r="D9" s="108" t="s">
        <v>4683</v>
      </c>
      <c r="F9" s="128">
        <v>42339</v>
      </c>
      <c r="G9" s="127" t="s">
        <v>4645</v>
      </c>
      <c r="H9" s="25" t="s">
        <v>5369</v>
      </c>
      <c r="I9" s="248" t="s">
        <v>7904</v>
      </c>
    </row>
    <row r="10" spans="1:12" x14ac:dyDescent="0.2">
      <c r="B10" s="108">
        <v>8</v>
      </c>
      <c r="C10" s="108" t="s">
        <v>4636</v>
      </c>
      <c r="D10" s="108" t="s">
        <v>4638</v>
      </c>
      <c r="E10" s="108" t="s">
        <v>4637</v>
      </c>
      <c r="F10" s="128">
        <v>42339</v>
      </c>
      <c r="G10" s="127" t="s">
        <v>4645</v>
      </c>
      <c r="I10" s="108" t="s">
        <v>6075</v>
      </c>
    </row>
    <row r="11" spans="1:12" s="144" customFormat="1" x14ac:dyDescent="0.2">
      <c r="B11" s="144">
        <v>9</v>
      </c>
      <c r="C11" s="144" t="s">
        <v>5382</v>
      </c>
      <c r="D11" s="144" t="s">
        <v>6279</v>
      </c>
      <c r="E11" s="144" t="s">
        <v>6280</v>
      </c>
      <c r="F11" s="145">
        <v>42339</v>
      </c>
      <c r="G11" s="146">
        <v>43070</v>
      </c>
      <c r="H11" s="145" t="s">
        <v>1</v>
      </c>
      <c r="I11" s="144" t="s">
        <v>5372</v>
      </c>
      <c r="K11" s="144" t="s">
        <v>6281</v>
      </c>
    </row>
    <row r="12" spans="1:12" s="144" customFormat="1" x14ac:dyDescent="0.2">
      <c r="B12" s="144">
        <f>B11+1</f>
        <v>10</v>
      </c>
      <c r="C12" s="144" t="s">
        <v>4508</v>
      </c>
      <c r="D12" s="144" t="s">
        <v>5375</v>
      </c>
      <c r="E12" s="144" t="s">
        <v>5376</v>
      </c>
      <c r="F12" s="145">
        <v>42430</v>
      </c>
      <c r="G12" s="146">
        <v>42795</v>
      </c>
      <c r="H12" s="144" t="s">
        <v>1</v>
      </c>
    </row>
    <row r="13" spans="1:12" s="144" customFormat="1" x14ac:dyDescent="0.2">
      <c r="B13" s="144">
        <f>B12+1</f>
        <v>11</v>
      </c>
      <c r="C13" s="144" t="s">
        <v>5361</v>
      </c>
      <c r="D13" s="144" t="s">
        <v>6288</v>
      </c>
      <c r="E13" s="144" t="s">
        <v>4635</v>
      </c>
      <c r="F13" s="145">
        <v>42461</v>
      </c>
      <c r="G13" s="146">
        <v>43678</v>
      </c>
      <c r="I13" s="144" t="s">
        <v>5357</v>
      </c>
    </row>
    <row r="14" spans="1:12" s="144" customFormat="1" x14ac:dyDescent="0.2">
      <c r="B14" s="144">
        <f>B13+1</f>
        <v>12</v>
      </c>
      <c r="C14" s="144" t="s">
        <v>5370</v>
      </c>
      <c r="D14" s="144" t="s">
        <v>5379</v>
      </c>
      <c r="E14" s="144" t="s">
        <v>5381</v>
      </c>
      <c r="F14" s="145">
        <v>42491</v>
      </c>
      <c r="G14" s="146">
        <v>43282</v>
      </c>
      <c r="H14" s="147" t="s">
        <v>5371</v>
      </c>
      <c r="I14" s="144" t="s">
        <v>5372</v>
      </c>
      <c r="K14" s="144" t="s">
        <v>5380</v>
      </c>
    </row>
    <row r="15" spans="1:12" x14ac:dyDescent="0.2">
      <c r="B15" s="108">
        <f t="shared" ref="B15:B75" si="0">B14+1</f>
        <v>13</v>
      </c>
      <c r="C15" s="108" t="s">
        <v>4585</v>
      </c>
      <c r="D15" s="108" t="s">
        <v>4586</v>
      </c>
      <c r="F15" s="129">
        <v>42491</v>
      </c>
      <c r="G15" s="127" t="s">
        <v>4645</v>
      </c>
      <c r="I15" s="108" t="s">
        <v>6078</v>
      </c>
      <c r="L15" s="108" t="s">
        <v>4970</v>
      </c>
    </row>
    <row r="16" spans="1:12" x14ac:dyDescent="0.2">
      <c r="B16" s="108">
        <f t="shared" si="0"/>
        <v>14</v>
      </c>
      <c r="C16" s="248" t="s">
        <v>4969</v>
      </c>
      <c r="D16" s="108" t="s">
        <v>6085</v>
      </c>
      <c r="E16" s="108" t="s">
        <v>4650</v>
      </c>
      <c r="F16" s="128">
        <v>42795</v>
      </c>
      <c r="G16" s="127" t="s">
        <v>4645</v>
      </c>
      <c r="L16" s="108" t="s">
        <v>4958</v>
      </c>
    </row>
    <row r="17" spans="2:12" x14ac:dyDescent="0.2">
      <c r="B17" s="108">
        <f t="shared" si="0"/>
        <v>15</v>
      </c>
      <c r="C17" s="108" t="s">
        <v>4676</v>
      </c>
      <c r="D17" s="108" t="s">
        <v>4677</v>
      </c>
      <c r="F17" s="129">
        <v>42879</v>
      </c>
      <c r="G17" s="127" t="s">
        <v>4645</v>
      </c>
      <c r="H17" s="25" t="s">
        <v>4973</v>
      </c>
      <c r="J17" s="25" t="s">
        <v>4974</v>
      </c>
      <c r="K17" s="108" t="s">
        <v>6086</v>
      </c>
      <c r="L17" s="108" t="s">
        <v>4972</v>
      </c>
    </row>
    <row r="18" spans="2:12" s="144" customFormat="1" x14ac:dyDescent="0.2">
      <c r="B18" s="144">
        <f t="shared" si="0"/>
        <v>16</v>
      </c>
      <c r="C18" s="144" t="s">
        <v>4954</v>
      </c>
      <c r="D18" s="144" t="s">
        <v>5305</v>
      </c>
      <c r="E18" s="144" t="s">
        <v>5306</v>
      </c>
      <c r="F18" s="145">
        <v>42887</v>
      </c>
      <c r="G18" s="146">
        <v>44440</v>
      </c>
      <c r="H18" s="147" t="s">
        <v>5304</v>
      </c>
      <c r="I18" s="144" t="s">
        <v>6080</v>
      </c>
      <c r="J18" s="147" t="s">
        <v>5303</v>
      </c>
      <c r="L18" s="144" t="s">
        <v>6079</v>
      </c>
    </row>
    <row r="19" spans="2:12" s="144" customFormat="1" x14ac:dyDescent="0.2">
      <c r="B19" s="144">
        <f t="shared" si="0"/>
        <v>17</v>
      </c>
      <c r="C19" s="144" t="s">
        <v>4951</v>
      </c>
      <c r="D19" s="144" t="s">
        <v>5311</v>
      </c>
      <c r="E19" s="144" t="s">
        <v>5307</v>
      </c>
      <c r="F19" s="145">
        <v>42887</v>
      </c>
      <c r="G19" s="146">
        <v>44348</v>
      </c>
      <c r="H19" s="147" t="s">
        <v>5309</v>
      </c>
      <c r="J19" s="147" t="s">
        <v>5310</v>
      </c>
      <c r="L19" s="144" t="s">
        <v>4955</v>
      </c>
    </row>
    <row r="20" spans="2:12" x14ac:dyDescent="0.2">
      <c r="B20" s="108">
        <f t="shared" si="0"/>
        <v>18</v>
      </c>
      <c r="C20" s="108" t="s">
        <v>4706</v>
      </c>
      <c r="D20" s="108" t="s">
        <v>5366</v>
      </c>
      <c r="E20" s="108" t="s">
        <v>5368</v>
      </c>
      <c r="F20" s="129">
        <v>42935</v>
      </c>
      <c r="G20" s="127" t="s">
        <v>4645</v>
      </c>
      <c r="H20" s="25" t="s">
        <v>5383</v>
      </c>
      <c r="I20" s="108" t="s">
        <v>6082</v>
      </c>
      <c r="J20" s="25" t="s">
        <v>5365</v>
      </c>
      <c r="L20" s="108" t="s">
        <v>6081</v>
      </c>
    </row>
    <row r="21" spans="2:12" s="148" customFormat="1" x14ac:dyDescent="0.2">
      <c r="B21" s="148">
        <f t="shared" si="0"/>
        <v>19</v>
      </c>
      <c r="C21" s="148" t="s">
        <v>4939</v>
      </c>
      <c r="D21" s="148" t="s">
        <v>1545</v>
      </c>
      <c r="E21" s="148" t="s">
        <v>5363</v>
      </c>
      <c r="F21" s="149">
        <v>42943</v>
      </c>
      <c r="G21" s="146">
        <v>44531</v>
      </c>
      <c r="H21" s="148" t="s">
        <v>1</v>
      </c>
      <c r="K21" s="148" t="s">
        <v>5364</v>
      </c>
      <c r="L21" s="148" t="s">
        <v>5358</v>
      </c>
    </row>
    <row r="22" spans="2:12" x14ac:dyDescent="0.2">
      <c r="B22" s="108">
        <f t="shared" si="0"/>
        <v>20</v>
      </c>
      <c r="C22" s="108" t="s">
        <v>4664</v>
      </c>
      <c r="D22" s="108" t="s">
        <v>4916</v>
      </c>
      <c r="E22" s="108" t="s">
        <v>4642</v>
      </c>
      <c r="F22" s="128">
        <v>43101</v>
      </c>
      <c r="G22" s="127" t="s">
        <v>4645</v>
      </c>
      <c r="I22" s="108" t="s">
        <v>6076</v>
      </c>
      <c r="K22" s="108" t="s">
        <v>6077</v>
      </c>
    </row>
    <row r="23" spans="2:12" x14ac:dyDescent="0.2">
      <c r="B23" s="108">
        <f t="shared" si="0"/>
        <v>21</v>
      </c>
      <c r="C23" s="108" t="s">
        <v>4665</v>
      </c>
      <c r="D23" s="108" t="s">
        <v>4666</v>
      </c>
      <c r="F23" s="128">
        <v>43125</v>
      </c>
      <c r="G23" s="127" t="s">
        <v>4645</v>
      </c>
      <c r="J23" s="25" t="s">
        <v>4983</v>
      </c>
      <c r="L23" s="108" t="s">
        <v>4980</v>
      </c>
    </row>
    <row r="24" spans="2:12" s="144" customFormat="1" x14ac:dyDescent="0.2">
      <c r="B24" s="108">
        <f t="shared" si="0"/>
        <v>22</v>
      </c>
      <c r="C24" s="144" t="s">
        <v>5359</v>
      </c>
      <c r="E24" s="144" t="s">
        <v>6286</v>
      </c>
      <c r="F24" s="145">
        <v>43132</v>
      </c>
      <c r="G24" s="146">
        <v>44805</v>
      </c>
      <c r="I24" s="144" t="s">
        <v>5357</v>
      </c>
    </row>
    <row r="25" spans="2:12" x14ac:dyDescent="0.2">
      <c r="B25" s="108">
        <f t="shared" si="0"/>
        <v>23</v>
      </c>
      <c r="C25" s="108" t="s">
        <v>4945</v>
      </c>
      <c r="D25" s="108" t="s">
        <v>5299</v>
      </c>
      <c r="E25" s="108" t="s">
        <v>5302</v>
      </c>
      <c r="F25" s="129">
        <v>43167</v>
      </c>
      <c r="G25" s="127" t="s">
        <v>4645</v>
      </c>
      <c r="H25" s="25" t="s">
        <v>5298</v>
      </c>
      <c r="I25" s="25" t="s">
        <v>6083</v>
      </c>
      <c r="J25" s="25" t="s">
        <v>5297</v>
      </c>
      <c r="L25" s="108" t="s">
        <v>6084</v>
      </c>
    </row>
    <row r="26" spans="2:12" x14ac:dyDescent="0.2">
      <c r="B26" s="108">
        <f t="shared" si="0"/>
        <v>24</v>
      </c>
      <c r="C26" s="108" t="s">
        <v>4922</v>
      </c>
      <c r="E26" s="108" t="s">
        <v>6114</v>
      </c>
      <c r="F26" s="128">
        <v>43191</v>
      </c>
      <c r="G26" s="127" t="s">
        <v>4645</v>
      </c>
      <c r="I26" s="108" t="s">
        <v>4921</v>
      </c>
      <c r="K26" s="108" t="s">
        <v>6278</v>
      </c>
    </row>
    <row r="27" spans="2:12" x14ac:dyDescent="0.2">
      <c r="B27" s="108">
        <f t="shared" si="0"/>
        <v>25</v>
      </c>
      <c r="C27" s="108" t="s">
        <v>4672</v>
      </c>
      <c r="D27" s="108" t="s">
        <v>4673</v>
      </c>
      <c r="E27" s="108" t="s">
        <v>6114</v>
      </c>
      <c r="F27" s="128">
        <v>43221</v>
      </c>
      <c r="G27" s="127" t="s">
        <v>4645</v>
      </c>
      <c r="I27" s="25" t="s">
        <v>6116</v>
      </c>
      <c r="K27" s="108" t="s">
        <v>6115</v>
      </c>
      <c r="L27" s="108" t="s">
        <v>4921</v>
      </c>
    </row>
    <row r="28" spans="2:12" x14ac:dyDescent="0.2">
      <c r="B28" s="108">
        <f t="shared" si="0"/>
        <v>26</v>
      </c>
      <c r="C28" s="108" t="s">
        <v>4619</v>
      </c>
      <c r="D28" s="108" t="s">
        <v>4586</v>
      </c>
      <c r="F28" s="128">
        <v>43252</v>
      </c>
      <c r="G28" s="127" t="s">
        <v>4645</v>
      </c>
      <c r="H28" s="25" t="s">
        <v>4953</v>
      </c>
      <c r="L28" s="108" t="s">
        <v>4950</v>
      </c>
    </row>
    <row r="29" spans="2:12" x14ac:dyDescent="0.2">
      <c r="B29" s="108">
        <f t="shared" si="0"/>
        <v>27</v>
      </c>
      <c r="C29" s="108" t="s">
        <v>4521</v>
      </c>
      <c r="D29" s="108" t="s">
        <v>4633</v>
      </c>
      <c r="E29" s="108" t="s">
        <v>4634</v>
      </c>
      <c r="F29" s="128">
        <v>43252</v>
      </c>
      <c r="G29" s="127" t="s">
        <v>4645</v>
      </c>
    </row>
    <row r="30" spans="2:12" x14ac:dyDescent="0.2">
      <c r="B30" s="108">
        <f t="shared" si="0"/>
        <v>28</v>
      </c>
      <c r="C30" s="108" t="s">
        <v>4520</v>
      </c>
      <c r="D30" s="108" t="s">
        <v>4630</v>
      </c>
      <c r="E30" s="108" t="s">
        <v>4629</v>
      </c>
      <c r="F30" s="128">
        <v>43313</v>
      </c>
      <c r="G30" s="127" t="s">
        <v>4645</v>
      </c>
      <c r="I30" s="248" t="s">
        <v>7898</v>
      </c>
    </row>
    <row r="31" spans="2:12" s="144" customFormat="1" x14ac:dyDescent="0.2">
      <c r="B31" s="108">
        <f t="shared" si="0"/>
        <v>29</v>
      </c>
      <c r="C31" s="144" t="s">
        <v>5360</v>
      </c>
      <c r="E31" s="144" t="s">
        <v>6287</v>
      </c>
      <c r="F31" s="145">
        <v>43344</v>
      </c>
      <c r="G31" s="146">
        <v>43525</v>
      </c>
      <c r="I31" s="144" t="s">
        <v>5357</v>
      </c>
    </row>
    <row r="32" spans="2:12" s="144" customFormat="1" ht="15" x14ac:dyDescent="0.25">
      <c r="B32" s="108">
        <f t="shared" si="0"/>
        <v>30</v>
      </c>
      <c r="C32" s="144" t="s">
        <v>5362</v>
      </c>
      <c r="E32" s="144" t="s">
        <v>6293</v>
      </c>
      <c r="F32" s="145">
        <v>43374</v>
      </c>
      <c r="G32" s="145">
        <v>43891</v>
      </c>
      <c r="I32" s="144" t="s">
        <v>6291</v>
      </c>
      <c r="J32" s="151" t="s">
        <v>6292</v>
      </c>
    </row>
    <row r="33" spans="2:12" x14ac:dyDescent="0.2">
      <c r="B33" s="108">
        <f t="shared" si="0"/>
        <v>31</v>
      </c>
      <c r="C33" s="108" t="s">
        <v>4682</v>
      </c>
      <c r="D33" s="108" t="s">
        <v>4920</v>
      </c>
      <c r="E33" s="108" t="s">
        <v>6114</v>
      </c>
      <c r="F33" s="128">
        <v>43435</v>
      </c>
      <c r="G33" s="127" t="s">
        <v>4645</v>
      </c>
      <c r="H33" s="25" t="s">
        <v>4948</v>
      </c>
      <c r="I33" s="108" t="s">
        <v>5355</v>
      </c>
    </row>
    <row r="34" spans="2:12" x14ac:dyDescent="0.2">
      <c r="B34" s="108">
        <f t="shared" si="0"/>
        <v>32</v>
      </c>
      <c r="C34" s="108" t="s">
        <v>4522</v>
      </c>
      <c r="D34" s="108" t="s">
        <v>4523</v>
      </c>
      <c r="F34" s="127">
        <v>2018</v>
      </c>
      <c r="G34" s="127" t="s">
        <v>4645</v>
      </c>
    </row>
    <row r="35" spans="2:12" x14ac:dyDescent="0.2">
      <c r="B35" s="108">
        <f t="shared" si="0"/>
        <v>33</v>
      </c>
      <c r="C35" s="108" t="s">
        <v>4542</v>
      </c>
      <c r="D35" s="108" t="s">
        <v>4799</v>
      </c>
      <c r="E35" s="108" t="s">
        <v>5344</v>
      </c>
      <c r="F35" s="128">
        <v>43525</v>
      </c>
      <c r="G35" s="127" t="s">
        <v>4645</v>
      </c>
      <c r="H35" s="25" t="s">
        <v>4918</v>
      </c>
      <c r="I35" s="108" t="s">
        <v>5355</v>
      </c>
      <c r="K35" s="108" t="s">
        <v>5345</v>
      </c>
    </row>
    <row r="36" spans="2:12" x14ac:dyDescent="0.2">
      <c r="B36" s="108">
        <f t="shared" si="0"/>
        <v>34</v>
      </c>
      <c r="C36" s="108" t="s">
        <v>4669</v>
      </c>
      <c r="D36" s="108" t="s">
        <v>5348</v>
      </c>
      <c r="E36" s="108" t="s">
        <v>5349</v>
      </c>
      <c r="F36" s="128">
        <v>43525</v>
      </c>
      <c r="G36" s="127" t="s">
        <v>4645</v>
      </c>
      <c r="I36" s="108" t="s">
        <v>5355</v>
      </c>
      <c r="K36" s="108" t="s">
        <v>5350</v>
      </c>
    </row>
    <row r="37" spans="2:12" x14ac:dyDescent="0.2">
      <c r="B37" s="108">
        <f t="shared" si="0"/>
        <v>35</v>
      </c>
      <c r="C37" s="108" t="s">
        <v>4678</v>
      </c>
      <c r="D37" s="108" t="s">
        <v>6273</v>
      </c>
      <c r="E37" s="108" t="s">
        <v>6274</v>
      </c>
      <c r="F37" s="128">
        <v>43525</v>
      </c>
      <c r="G37" s="127" t="s">
        <v>4645</v>
      </c>
      <c r="I37" s="108" t="s">
        <v>5355</v>
      </c>
      <c r="K37" s="108" t="s">
        <v>6275</v>
      </c>
    </row>
    <row r="38" spans="2:12" x14ac:dyDescent="0.2">
      <c r="B38" s="108">
        <f t="shared" si="0"/>
        <v>36</v>
      </c>
      <c r="C38" s="108" t="s">
        <v>4691</v>
      </c>
      <c r="D38" s="108" t="s">
        <v>6106</v>
      </c>
      <c r="E38" s="108" t="s">
        <v>6107</v>
      </c>
      <c r="F38" s="128">
        <v>43586</v>
      </c>
      <c r="G38" s="127" t="s">
        <v>4645</v>
      </c>
    </row>
    <row r="39" spans="2:12" x14ac:dyDescent="0.2">
      <c r="B39" s="108">
        <f t="shared" si="0"/>
        <v>37</v>
      </c>
      <c r="C39" s="108" t="s">
        <v>4674</v>
      </c>
      <c r="D39" s="108" t="s">
        <v>4675</v>
      </c>
      <c r="E39" s="108" t="s">
        <v>5343</v>
      </c>
      <c r="F39" s="128">
        <v>43647</v>
      </c>
      <c r="G39" s="127" t="s">
        <v>4645</v>
      </c>
      <c r="I39" s="108" t="s">
        <v>4960</v>
      </c>
      <c r="K39" s="108" t="s">
        <v>5342</v>
      </c>
    </row>
    <row r="40" spans="2:12" x14ac:dyDescent="0.2">
      <c r="B40" s="108">
        <f t="shared" si="0"/>
        <v>38</v>
      </c>
      <c r="C40" s="108" t="s">
        <v>4595</v>
      </c>
      <c r="D40" s="108" t="s">
        <v>4596</v>
      </c>
      <c r="E40" s="108" t="s">
        <v>4642</v>
      </c>
      <c r="F40" s="128">
        <v>43862</v>
      </c>
      <c r="G40" s="127" t="s">
        <v>4645</v>
      </c>
      <c r="I40" s="108" t="s">
        <v>4958</v>
      </c>
    </row>
    <row r="41" spans="2:12" x14ac:dyDescent="0.2">
      <c r="B41" s="108">
        <f t="shared" si="0"/>
        <v>39</v>
      </c>
      <c r="C41" s="108" t="s">
        <v>4680</v>
      </c>
      <c r="D41" s="108" t="s">
        <v>4681</v>
      </c>
      <c r="E41" s="108" t="s">
        <v>6282</v>
      </c>
      <c r="F41" s="128">
        <v>43952</v>
      </c>
      <c r="G41" s="127" t="s">
        <v>4645</v>
      </c>
      <c r="K41" s="108" t="s">
        <v>6283</v>
      </c>
    </row>
    <row r="42" spans="2:12" x14ac:dyDescent="0.2">
      <c r="B42" s="108">
        <f t="shared" si="0"/>
        <v>40</v>
      </c>
      <c r="C42" s="108" t="s">
        <v>4651</v>
      </c>
      <c r="D42" s="108" t="s">
        <v>4586</v>
      </c>
      <c r="E42" s="108" t="s">
        <v>4652</v>
      </c>
      <c r="F42" s="128">
        <v>43952</v>
      </c>
      <c r="G42" s="127" t="s">
        <v>4645</v>
      </c>
    </row>
    <row r="43" spans="2:12" x14ac:dyDescent="0.2">
      <c r="B43" s="108">
        <f t="shared" si="0"/>
        <v>41</v>
      </c>
      <c r="C43" s="108" t="s">
        <v>4667</v>
      </c>
      <c r="D43" s="108" t="s">
        <v>4666</v>
      </c>
      <c r="E43" s="108" t="s">
        <v>5335</v>
      </c>
      <c r="F43" s="128">
        <v>43983</v>
      </c>
      <c r="G43" s="127" t="s">
        <v>4645</v>
      </c>
      <c r="I43" s="108" t="s">
        <v>4921</v>
      </c>
    </row>
    <row r="44" spans="2:12" x14ac:dyDescent="0.2">
      <c r="B44" s="108">
        <f t="shared" si="0"/>
        <v>42</v>
      </c>
      <c r="C44" s="108" t="s">
        <v>4737</v>
      </c>
      <c r="F44" s="128">
        <v>44013</v>
      </c>
      <c r="H44" s="25" t="s">
        <v>6112</v>
      </c>
      <c r="I44" s="108" t="s">
        <v>6111</v>
      </c>
    </row>
    <row r="45" spans="2:12" x14ac:dyDescent="0.2">
      <c r="B45" s="108">
        <f t="shared" si="0"/>
        <v>43</v>
      </c>
      <c r="C45" s="108" t="s">
        <v>4933</v>
      </c>
      <c r="D45" s="108" t="s">
        <v>4804</v>
      </c>
      <c r="E45" s="108" t="s">
        <v>6096</v>
      </c>
      <c r="F45" s="128">
        <v>44075</v>
      </c>
      <c r="G45" s="127" t="s">
        <v>4645</v>
      </c>
      <c r="I45" s="25" t="s">
        <v>6095</v>
      </c>
      <c r="K45" s="108" t="s">
        <v>6097</v>
      </c>
      <c r="L45" s="108" t="s">
        <v>4921</v>
      </c>
    </row>
    <row r="46" spans="2:12" x14ac:dyDescent="0.2">
      <c r="B46" s="108">
        <f t="shared" si="0"/>
        <v>44</v>
      </c>
      <c r="C46" s="108" t="s">
        <v>4934</v>
      </c>
      <c r="D46" s="108" t="s">
        <v>4679</v>
      </c>
      <c r="E46" s="108" t="s">
        <v>6276</v>
      </c>
      <c r="F46" s="128">
        <v>44105</v>
      </c>
      <c r="G46" s="127" t="s">
        <v>4645</v>
      </c>
      <c r="I46" s="108" t="s">
        <v>4921</v>
      </c>
      <c r="K46" s="108" t="s">
        <v>6277</v>
      </c>
    </row>
    <row r="47" spans="2:12" x14ac:dyDescent="0.2">
      <c r="B47" s="108">
        <f t="shared" si="0"/>
        <v>45</v>
      </c>
      <c r="C47" s="108" t="s">
        <v>4690</v>
      </c>
      <c r="D47" s="108" t="s">
        <v>4685</v>
      </c>
      <c r="E47" s="108" t="s">
        <v>6104</v>
      </c>
      <c r="F47" s="128">
        <v>44166</v>
      </c>
      <c r="G47" s="127" t="s">
        <v>4645</v>
      </c>
      <c r="I47" s="248" t="s">
        <v>7904</v>
      </c>
      <c r="K47" s="108" t="s">
        <v>6105</v>
      </c>
    </row>
    <row r="48" spans="2:12" x14ac:dyDescent="0.2">
      <c r="B48" s="108">
        <f t="shared" si="0"/>
        <v>46</v>
      </c>
      <c r="C48" s="108" t="s">
        <v>4578</v>
      </c>
      <c r="D48" s="108" t="s">
        <v>4579</v>
      </c>
      <c r="E48" s="108" t="s">
        <v>4641</v>
      </c>
      <c r="F48" s="127">
        <v>2021</v>
      </c>
      <c r="G48" s="127" t="s">
        <v>4645</v>
      </c>
    </row>
    <row r="49" spans="2:12" x14ac:dyDescent="0.2">
      <c r="B49" s="108">
        <f t="shared" si="0"/>
        <v>47</v>
      </c>
      <c r="C49" s="108" t="s">
        <v>6284</v>
      </c>
      <c r="D49" s="108" t="s">
        <v>4547</v>
      </c>
      <c r="E49" s="108" t="s">
        <v>6285</v>
      </c>
      <c r="F49" s="127">
        <v>2021</v>
      </c>
      <c r="G49" s="127" t="s">
        <v>4645</v>
      </c>
    </row>
    <row r="50" spans="2:12" x14ac:dyDescent="0.2">
      <c r="B50" s="108">
        <f t="shared" si="0"/>
        <v>48</v>
      </c>
      <c r="C50" s="108" t="s">
        <v>4687</v>
      </c>
      <c r="D50" s="108" t="s">
        <v>6098</v>
      </c>
      <c r="E50" s="108" t="s">
        <v>6099</v>
      </c>
      <c r="F50" s="131" t="s">
        <v>6100</v>
      </c>
      <c r="G50" s="127" t="s">
        <v>4645</v>
      </c>
      <c r="I50" s="248" t="s">
        <v>7898</v>
      </c>
    </row>
    <row r="51" spans="2:12" x14ac:dyDescent="0.2">
      <c r="B51" s="108">
        <f t="shared" si="0"/>
        <v>49</v>
      </c>
      <c r="C51" s="108" t="s">
        <v>4692</v>
      </c>
      <c r="D51" s="108" t="s">
        <v>5336</v>
      </c>
      <c r="E51" s="108" t="s">
        <v>5337</v>
      </c>
      <c r="F51" s="128">
        <v>44197</v>
      </c>
      <c r="G51" s="127" t="s">
        <v>4645</v>
      </c>
      <c r="K51" s="108" t="s">
        <v>5338</v>
      </c>
    </row>
    <row r="52" spans="2:12" x14ac:dyDescent="0.2">
      <c r="B52" s="108">
        <f t="shared" si="0"/>
        <v>50</v>
      </c>
      <c r="C52" s="108" t="s">
        <v>4670</v>
      </c>
      <c r="D52" s="108" t="s">
        <v>4671</v>
      </c>
      <c r="E52" s="108" t="s">
        <v>4642</v>
      </c>
      <c r="F52" s="128">
        <v>44228</v>
      </c>
      <c r="G52" s="127" t="s">
        <v>4645</v>
      </c>
      <c r="I52" s="25" t="s">
        <v>6108</v>
      </c>
      <c r="J52" s="25" t="s">
        <v>6109</v>
      </c>
      <c r="L52" s="108" t="s">
        <v>6110</v>
      </c>
    </row>
    <row r="53" spans="2:12" x14ac:dyDescent="0.2">
      <c r="B53" s="108">
        <f t="shared" si="0"/>
        <v>51</v>
      </c>
      <c r="C53" s="108" t="s">
        <v>4529</v>
      </c>
      <c r="D53" s="108" t="s">
        <v>4530</v>
      </c>
      <c r="F53" s="128">
        <v>44256</v>
      </c>
      <c r="G53" s="127" t="s">
        <v>4645</v>
      </c>
    </row>
    <row r="54" spans="2:12" x14ac:dyDescent="0.2">
      <c r="B54" s="108">
        <f t="shared" si="0"/>
        <v>52</v>
      </c>
      <c r="C54" s="108" t="s">
        <v>4668</v>
      </c>
      <c r="D54" s="108" t="s">
        <v>4794</v>
      </c>
      <c r="E54" s="108" t="s">
        <v>5347</v>
      </c>
      <c r="F54" s="128">
        <v>44287</v>
      </c>
      <c r="G54" s="128">
        <v>45047</v>
      </c>
      <c r="K54" s="108" t="s">
        <v>5346</v>
      </c>
    </row>
    <row r="55" spans="2:12" x14ac:dyDescent="0.2">
      <c r="B55" s="49">
        <f t="shared" si="0"/>
        <v>53</v>
      </c>
      <c r="C55" s="49" t="s">
        <v>4519</v>
      </c>
      <c r="D55" s="49" t="s">
        <v>4628</v>
      </c>
      <c r="E55" s="49" t="s">
        <v>4627</v>
      </c>
      <c r="F55" s="130">
        <v>44287</v>
      </c>
      <c r="G55" s="100" t="s">
        <v>4645</v>
      </c>
      <c r="I55" s="248" t="s">
        <v>7898</v>
      </c>
    </row>
    <row r="56" spans="2:12" x14ac:dyDescent="0.2">
      <c r="B56" s="108">
        <f t="shared" si="0"/>
        <v>54</v>
      </c>
      <c r="C56" s="108" t="s">
        <v>4548</v>
      </c>
      <c r="D56" s="108" t="s">
        <v>4544</v>
      </c>
      <c r="F56" s="128">
        <v>44287</v>
      </c>
      <c r="G56" s="127" t="s">
        <v>4645</v>
      </c>
    </row>
    <row r="57" spans="2:12" x14ac:dyDescent="0.2">
      <c r="B57" s="108">
        <f t="shared" si="0"/>
        <v>55</v>
      </c>
      <c r="C57" s="108" t="s">
        <v>4684</v>
      </c>
      <c r="D57" s="108" t="s">
        <v>4685</v>
      </c>
      <c r="E57" s="108" t="s">
        <v>6091</v>
      </c>
      <c r="F57" s="128">
        <v>44317</v>
      </c>
      <c r="G57" s="127" t="s">
        <v>4645</v>
      </c>
      <c r="K57" s="108" t="s">
        <v>6092</v>
      </c>
    </row>
    <row r="58" spans="2:12" x14ac:dyDescent="0.2">
      <c r="B58" s="108">
        <f t="shared" si="0"/>
        <v>56</v>
      </c>
      <c r="C58" s="108" t="s">
        <v>4537</v>
      </c>
      <c r="D58" s="108" t="s">
        <v>3977</v>
      </c>
      <c r="E58" s="108" t="s">
        <v>4642</v>
      </c>
      <c r="F58" s="128">
        <v>44531</v>
      </c>
      <c r="G58" s="127" t="s">
        <v>4645</v>
      </c>
    </row>
    <row r="59" spans="2:12" x14ac:dyDescent="0.2">
      <c r="B59" s="108">
        <f t="shared" si="0"/>
        <v>57</v>
      </c>
      <c r="C59" s="208" t="s">
        <v>7081</v>
      </c>
      <c r="D59" s="208" t="s">
        <v>7082</v>
      </c>
      <c r="E59" s="208" t="s">
        <v>4641</v>
      </c>
      <c r="F59" s="128">
        <v>44531</v>
      </c>
      <c r="G59" s="209" t="s">
        <v>4645</v>
      </c>
    </row>
    <row r="60" spans="2:12" s="49" customFormat="1" x14ac:dyDescent="0.2">
      <c r="B60" s="49">
        <f t="shared" si="0"/>
        <v>58</v>
      </c>
      <c r="C60" s="49" t="s">
        <v>4663</v>
      </c>
      <c r="D60" s="49" t="s">
        <v>4729</v>
      </c>
      <c r="E60" s="49" t="s">
        <v>4914</v>
      </c>
      <c r="F60" s="130">
        <v>44621</v>
      </c>
      <c r="G60" s="100" t="s">
        <v>4645</v>
      </c>
      <c r="I60" s="49" t="s">
        <v>4915</v>
      </c>
    </row>
    <row r="61" spans="2:12" x14ac:dyDescent="0.2">
      <c r="B61" s="108">
        <f t="shared" si="0"/>
        <v>59</v>
      </c>
      <c r="C61" s="108" t="s">
        <v>4688</v>
      </c>
      <c r="D61" s="108" t="s">
        <v>4832</v>
      </c>
      <c r="E61" s="108" t="s">
        <v>6101</v>
      </c>
      <c r="F61" s="128">
        <v>44621</v>
      </c>
      <c r="G61" s="127" t="s">
        <v>4645</v>
      </c>
    </row>
    <row r="62" spans="2:12" x14ac:dyDescent="0.2">
      <c r="B62" s="108">
        <f t="shared" si="0"/>
        <v>60</v>
      </c>
      <c r="C62" s="108" t="s">
        <v>4526</v>
      </c>
      <c r="D62" s="108" t="s">
        <v>4527</v>
      </c>
      <c r="F62" s="128">
        <v>44713</v>
      </c>
      <c r="G62" s="127" t="s">
        <v>4645</v>
      </c>
    </row>
    <row r="63" spans="2:12" x14ac:dyDescent="0.2">
      <c r="B63" s="108">
        <f t="shared" si="0"/>
        <v>61</v>
      </c>
      <c r="C63" s="108" t="s">
        <v>4686</v>
      </c>
      <c r="D63" s="108" t="s">
        <v>4685</v>
      </c>
      <c r="E63" s="108" t="s">
        <v>6093</v>
      </c>
      <c r="F63" s="128">
        <v>44713</v>
      </c>
      <c r="G63" s="127" t="s">
        <v>4645</v>
      </c>
      <c r="K63" s="108" t="s">
        <v>6094</v>
      </c>
    </row>
    <row r="64" spans="2:12" s="208" customFormat="1" x14ac:dyDescent="0.2">
      <c r="B64" s="208">
        <f t="shared" si="0"/>
        <v>62</v>
      </c>
      <c r="C64" s="208" t="s">
        <v>4552</v>
      </c>
      <c r="D64" s="208" t="s">
        <v>4551</v>
      </c>
      <c r="E64" s="208" t="s">
        <v>7083</v>
      </c>
      <c r="F64" s="210">
        <v>44774</v>
      </c>
      <c r="G64" s="209" t="s">
        <v>4645</v>
      </c>
      <c r="H64" s="28" t="s">
        <v>7087</v>
      </c>
      <c r="I64" s="28" t="s">
        <v>7084</v>
      </c>
      <c r="J64" s="28" t="s">
        <v>7085</v>
      </c>
      <c r="K64" s="208" t="s">
        <v>7086</v>
      </c>
    </row>
    <row r="65" spans="2:11" x14ac:dyDescent="0.2">
      <c r="B65" s="108">
        <f t="shared" si="0"/>
        <v>63</v>
      </c>
      <c r="C65" s="108" t="s">
        <v>4528</v>
      </c>
      <c r="D65" s="108" t="s">
        <v>2931</v>
      </c>
      <c r="E65" s="108" t="s">
        <v>4642</v>
      </c>
      <c r="F65" s="128">
        <v>44805</v>
      </c>
      <c r="G65" s="127" t="s">
        <v>4645</v>
      </c>
    </row>
    <row r="66" spans="2:11" x14ac:dyDescent="0.2">
      <c r="B66" s="108">
        <f t="shared" si="0"/>
        <v>64</v>
      </c>
      <c r="C66" s="108" t="s">
        <v>4531</v>
      </c>
      <c r="D66" s="108" t="s">
        <v>4532</v>
      </c>
      <c r="E66" s="108" t="s">
        <v>4635</v>
      </c>
      <c r="F66" s="128">
        <v>44866</v>
      </c>
      <c r="G66" s="127" t="s">
        <v>4645</v>
      </c>
    </row>
    <row r="67" spans="2:11" x14ac:dyDescent="0.2">
      <c r="B67" s="108">
        <f t="shared" si="0"/>
        <v>65</v>
      </c>
      <c r="C67" s="108" t="s">
        <v>4543</v>
      </c>
      <c r="D67" s="108" t="s">
        <v>4544</v>
      </c>
      <c r="E67" s="108" t="s">
        <v>4650</v>
      </c>
      <c r="F67" s="128">
        <v>44866</v>
      </c>
      <c r="G67" s="127" t="s">
        <v>4645</v>
      </c>
      <c r="I67" s="108" t="s">
        <v>4850</v>
      </c>
    </row>
    <row r="68" spans="2:11" x14ac:dyDescent="0.2">
      <c r="B68" s="108">
        <f t="shared" si="0"/>
        <v>66</v>
      </c>
      <c r="C68" s="108" t="s">
        <v>6087</v>
      </c>
      <c r="D68" s="208" t="s">
        <v>7078</v>
      </c>
      <c r="E68" s="208" t="s">
        <v>7079</v>
      </c>
      <c r="F68" s="128">
        <v>44927</v>
      </c>
      <c r="G68" s="209" t="s">
        <v>4645</v>
      </c>
      <c r="I68" s="25" t="s">
        <v>7080</v>
      </c>
    </row>
    <row r="69" spans="2:11" x14ac:dyDescent="0.2">
      <c r="B69" s="108">
        <f t="shared" si="0"/>
        <v>67</v>
      </c>
      <c r="C69" s="108" t="s">
        <v>4524</v>
      </c>
      <c r="D69" s="108" t="s">
        <v>4525</v>
      </c>
      <c r="E69" s="108" t="s">
        <v>4635</v>
      </c>
      <c r="F69" s="128">
        <v>44958</v>
      </c>
      <c r="G69" s="127" t="s">
        <v>4645</v>
      </c>
    </row>
    <row r="70" spans="2:11" x14ac:dyDescent="0.2">
      <c r="B70" s="108">
        <f t="shared" si="0"/>
        <v>68</v>
      </c>
      <c r="C70" s="108" t="s">
        <v>4545</v>
      </c>
      <c r="D70" s="108" t="s">
        <v>4546</v>
      </c>
      <c r="E70" s="108" t="s">
        <v>4650</v>
      </c>
      <c r="F70" s="128">
        <v>44958</v>
      </c>
      <c r="G70" s="127" t="s">
        <v>4645</v>
      </c>
    </row>
    <row r="71" spans="2:11" x14ac:dyDescent="0.2">
      <c r="B71" s="108">
        <f t="shared" si="0"/>
        <v>69</v>
      </c>
      <c r="C71" s="108" t="s">
        <v>4540</v>
      </c>
      <c r="D71" s="108" t="s">
        <v>4539</v>
      </c>
      <c r="E71" s="108" t="s">
        <v>4635</v>
      </c>
      <c r="F71" s="128">
        <v>44986</v>
      </c>
      <c r="G71" s="127" t="s">
        <v>4645</v>
      </c>
      <c r="K71" s="108" t="s">
        <v>6271</v>
      </c>
    </row>
    <row r="72" spans="2:11" x14ac:dyDescent="0.2">
      <c r="B72" s="108">
        <f t="shared" si="0"/>
        <v>70</v>
      </c>
      <c r="C72" s="108" t="s">
        <v>4535</v>
      </c>
      <c r="D72" s="108" t="s">
        <v>4536</v>
      </c>
      <c r="E72" s="108" t="s">
        <v>4650</v>
      </c>
      <c r="F72" s="128">
        <v>45017</v>
      </c>
      <c r="G72" s="127" t="s">
        <v>4645</v>
      </c>
      <c r="I72" s="248" t="s">
        <v>7904</v>
      </c>
    </row>
    <row r="73" spans="2:11" x14ac:dyDescent="0.2">
      <c r="B73" s="108">
        <f t="shared" si="0"/>
        <v>71</v>
      </c>
      <c r="C73" s="108" t="s">
        <v>4541</v>
      </c>
      <c r="D73" s="108" t="s">
        <v>4539</v>
      </c>
      <c r="E73" s="108" t="s">
        <v>4635</v>
      </c>
      <c r="F73" s="128">
        <v>45017</v>
      </c>
      <c r="G73" s="127" t="s">
        <v>4645</v>
      </c>
      <c r="K73" s="108" t="s">
        <v>6272</v>
      </c>
    </row>
    <row r="74" spans="2:11" x14ac:dyDescent="0.2">
      <c r="B74" s="108">
        <f t="shared" si="0"/>
        <v>72</v>
      </c>
      <c r="C74" s="108" t="s">
        <v>4538</v>
      </c>
      <c r="D74" s="108" t="s">
        <v>4539</v>
      </c>
      <c r="E74" s="108" t="s">
        <v>4635</v>
      </c>
      <c r="F74" s="128">
        <v>45047</v>
      </c>
      <c r="G74" s="127" t="s">
        <v>4645</v>
      </c>
      <c r="K74" s="108" t="s">
        <v>6117</v>
      </c>
    </row>
    <row r="75" spans="2:11" x14ac:dyDescent="0.2">
      <c r="B75" s="108">
        <f t="shared" si="0"/>
        <v>73</v>
      </c>
      <c r="C75" s="108" t="s">
        <v>4533</v>
      </c>
      <c r="D75" s="108" t="s">
        <v>4534</v>
      </c>
      <c r="E75" s="108" t="s">
        <v>4635</v>
      </c>
      <c r="F75" s="128">
        <v>45078</v>
      </c>
      <c r="G75" s="127" t="s">
        <v>4645</v>
      </c>
    </row>
    <row r="76" spans="2:11" x14ac:dyDescent="0.2">
      <c r="B76" s="108">
        <f>B75+1</f>
        <v>74</v>
      </c>
      <c r="C76" s="108" t="s">
        <v>4689</v>
      </c>
      <c r="D76" s="108" t="s">
        <v>4685</v>
      </c>
      <c r="E76" s="108" t="s">
        <v>4642</v>
      </c>
      <c r="F76" s="108"/>
      <c r="G76" s="108"/>
      <c r="I76" s="25" t="s">
        <v>6102</v>
      </c>
      <c r="J76" s="25" t="s">
        <v>6103</v>
      </c>
    </row>
    <row r="77" spans="2:11" x14ac:dyDescent="0.2">
      <c r="C77" s="108" t="s">
        <v>4574</v>
      </c>
      <c r="D77" s="108" t="s">
        <v>4818</v>
      </c>
      <c r="I77" s="230" t="s">
        <v>7304</v>
      </c>
    </row>
    <row r="78" spans="2:11" x14ac:dyDescent="0.2">
      <c r="C78" s="108" t="s">
        <v>4549</v>
      </c>
      <c r="D78" s="108" t="s">
        <v>4550</v>
      </c>
      <c r="I78" s="108" t="s">
        <v>5355</v>
      </c>
    </row>
    <row r="79" spans="2:11" x14ac:dyDescent="0.2">
      <c r="C79" s="108" t="s">
        <v>4553</v>
      </c>
      <c r="D79" s="108" t="s">
        <v>4554</v>
      </c>
    </row>
    <row r="80" spans="2:11" x14ac:dyDescent="0.2">
      <c r="C80" s="108" t="s">
        <v>4555</v>
      </c>
      <c r="D80" s="108" t="s">
        <v>4556</v>
      </c>
      <c r="I80" s="248" t="s">
        <v>7906</v>
      </c>
    </row>
    <row r="81" spans="3:9" x14ac:dyDescent="0.2">
      <c r="C81" s="108" t="s">
        <v>4557</v>
      </c>
    </row>
    <row r="82" spans="3:9" x14ac:dyDescent="0.2">
      <c r="C82" s="108" t="s">
        <v>4558</v>
      </c>
    </row>
    <row r="83" spans="3:9" x14ac:dyDescent="0.2">
      <c r="C83" s="108" t="s">
        <v>4559</v>
      </c>
      <c r="D83" s="108" t="s">
        <v>4560</v>
      </c>
    </row>
    <row r="84" spans="3:9" x14ac:dyDescent="0.2">
      <c r="C84" s="108" t="s">
        <v>4561</v>
      </c>
      <c r="D84" s="108" t="s">
        <v>4562</v>
      </c>
    </row>
    <row r="85" spans="3:9" x14ac:dyDescent="0.2">
      <c r="C85" s="108" t="s">
        <v>4563</v>
      </c>
      <c r="D85" s="108" t="s">
        <v>4544</v>
      </c>
      <c r="I85" s="108" t="s">
        <v>4960</v>
      </c>
    </row>
    <row r="86" spans="3:9" x14ac:dyDescent="0.2">
      <c r="C86" s="108" t="s">
        <v>4564</v>
      </c>
      <c r="D86" s="108" t="s">
        <v>4565</v>
      </c>
    </row>
    <row r="87" spans="3:9" x14ac:dyDescent="0.2">
      <c r="C87" s="108" t="s">
        <v>4566</v>
      </c>
      <c r="D87" s="108" t="s">
        <v>3104</v>
      </c>
    </row>
    <row r="88" spans="3:9" x14ac:dyDescent="0.2">
      <c r="C88" s="108" t="s">
        <v>4567</v>
      </c>
      <c r="D88" s="108" t="s">
        <v>3104</v>
      </c>
    </row>
    <row r="89" spans="3:9" x14ac:dyDescent="0.2">
      <c r="C89" s="108" t="s">
        <v>4568</v>
      </c>
      <c r="D89" s="108" t="s">
        <v>4569</v>
      </c>
      <c r="I89" s="248" t="s">
        <v>7905</v>
      </c>
    </row>
    <row r="90" spans="3:9" x14ac:dyDescent="0.2">
      <c r="C90" s="108" t="s">
        <v>4570</v>
      </c>
      <c r="D90" s="108" t="s">
        <v>4571</v>
      </c>
    </row>
    <row r="91" spans="3:9" x14ac:dyDescent="0.2">
      <c r="C91" s="108" t="s">
        <v>4572</v>
      </c>
      <c r="D91" s="108" t="s">
        <v>4573</v>
      </c>
    </row>
    <row r="92" spans="3:9" x14ac:dyDescent="0.2">
      <c r="C92" s="108" t="s">
        <v>4575</v>
      </c>
      <c r="D92" s="108" t="s">
        <v>4817</v>
      </c>
      <c r="I92" s="108" t="s">
        <v>4921</v>
      </c>
    </row>
    <row r="93" spans="3:9" x14ac:dyDescent="0.2">
      <c r="C93" s="108" t="s">
        <v>4576</v>
      </c>
      <c r="D93" s="108" t="s">
        <v>4577</v>
      </c>
    </row>
    <row r="94" spans="3:9" x14ac:dyDescent="0.2">
      <c r="C94" s="108" t="s">
        <v>4580</v>
      </c>
      <c r="D94" s="108" t="s">
        <v>4581</v>
      </c>
    </row>
    <row r="95" spans="3:9" x14ac:dyDescent="0.2">
      <c r="C95" s="108" t="s">
        <v>4582</v>
      </c>
      <c r="D95" s="108" t="s">
        <v>4544</v>
      </c>
    </row>
    <row r="96" spans="3:9" x14ac:dyDescent="0.2">
      <c r="C96" s="108" t="s">
        <v>4583</v>
      </c>
      <c r="D96" s="108" t="s">
        <v>4584</v>
      </c>
      <c r="I96" s="248" t="s">
        <v>7903</v>
      </c>
    </row>
    <row r="97" spans="3:9" x14ac:dyDescent="0.2">
      <c r="C97" s="108" t="s">
        <v>4587</v>
      </c>
      <c r="D97" s="108" t="s">
        <v>4588</v>
      </c>
    </row>
    <row r="98" spans="3:9" x14ac:dyDescent="0.2">
      <c r="C98" s="108" t="s">
        <v>4589</v>
      </c>
      <c r="D98" s="108" t="s">
        <v>4590</v>
      </c>
    </row>
    <row r="99" spans="3:9" x14ac:dyDescent="0.2">
      <c r="C99" s="108" t="s">
        <v>4591</v>
      </c>
      <c r="D99" s="108" t="s">
        <v>4565</v>
      </c>
    </row>
    <row r="100" spans="3:9" x14ac:dyDescent="0.2">
      <c r="C100" s="108" t="s">
        <v>4592</v>
      </c>
      <c r="D100" s="108" t="s">
        <v>4534</v>
      </c>
      <c r="I100" s="248" t="s">
        <v>7902</v>
      </c>
    </row>
    <row r="101" spans="3:9" x14ac:dyDescent="0.2">
      <c r="C101" s="108" t="s">
        <v>4593</v>
      </c>
      <c r="D101" s="108" t="s">
        <v>4544</v>
      </c>
    </row>
    <row r="102" spans="3:9" x14ac:dyDescent="0.2">
      <c r="C102" s="108" t="s">
        <v>4594</v>
      </c>
      <c r="D102" s="108" t="s">
        <v>4800</v>
      </c>
      <c r="I102" s="248" t="s">
        <v>7902</v>
      </c>
    </row>
    <row r="103" spans="3:9" x14ac:dyDescent="0.2">
      <c r="C103" s="108" t="s">
        <v>4597</v>
      </c>
      <c r="D103" s="108" t="s">
        <v>4544</v>
      </c>
    </row>
    <row r="104" spans="3:9" x14ac:dyDescent="0.2">
      <c r="C104" s="108" t="s">
        <v>4598</v>
      </c>
      <c r="D104" s="108" t="s">
        <v>4599</v>
      </c>
    </row>
    <row r="105" spans="3:9" x14ac:dyDescent="0.2">
      <c r="C105" s="108" t="s">
        <v>4600</v>
      </c>
      <c r="D105" s="108" t="s">
        <v>4544</v>
      </c>
    </row>
    <row r="106" spans="3:9" x14ac:dyDescent="0.2">
      <c r="C106" s="108" t="s">
        <v>4601</v>
      </c>
      <c r="D106" s="108" t="s">
        <v>4816</v>
      </c>
    </row>
    <row r="107" spans="3:9" x14ac:dyDescent="0.2">
      <c r="C107" s="108" t="s">
        <v>4602</v>
      </c>
      <c r="D107" s="108" t="s">
        <v>4603</v>
      </c>
      <c r="I107" s="248" t="s">
        <v>7901</v>
      </c>
    </row>
    <row r="108" spans="3:9" x14ac:dyDescent="0.2">
      <c r="C108" s="108" t="s">
        <v>4604</v>
      </c>
      <c r="D108" s="108" t="s">
        <v>4544</v>
      </c>
    </row>
    <row r="109" spans="3:9" x14ac:dyDescent="0.2">
      <c r="C109" s="108" t="s">
        <v>4605</v>
      </c>
      <c r="D109" s="108" t="s">
        <v>4606</v>
      </c>
    </row>
    <row r="110" spans="3:9" x14ac:dyDescent="0.2">
      <c r="C110" s="108" t="s">
        <v>4607</v>
      </c>
      <c r="D110" s="108" t="s">
        <v>4608</v>
      </c>
      <c r="I110" s="108" t="s">
        <v>4921</v>
      </c>
    </row>
    <row r="111" spans="3:9" x14ac:dyDescent="0.2">
      <c r="C111" s="108" t="s">
        <v>4609</v>
      </c>
      <c r="D111" s="108" t="s">
        <v>2129</v>
      </c>
    </row>
    <row r="112" spans="3:9" x14ac:dyDescent="0.2">
      <c r="C112" s="108" t="s">
        <v>4610</v>
      </c>
      <c r="D112" s="108" t="s">
        <v>2129</v>
      </c>
    </row>
    <row r="113" spans="3:9" x14ac:dyDescent="0.2">
      <c r="C113" s="108" t="s">
        <v>4611</v>
      </c>
      <c r="D113" s="108" t="s">
        <v>2129</v>
      </c>
    </row>
    <row r="114" spans="3:9" x14ac:dyDescent="0.2">
      <c r="C114" s="108" t="s">
        <v>4612</v>
      </c>
      <c r="D114" s="108" t="s">
        <v>4532</v>
      </c>
    </row>
    <row r="115" spans="3:9" x14ac:dyDescent="0.2">
      <c r="C115" s="108" t="s">
        <v>4613</v>
      </c>
      <c r="D115" s="108" t="s">
        <v>4826</v>
      </c>
    </row>
    <row r="116" spans="3:9" x14ac:dyDescent="0.2">
      <c r="C116" s="108" t="s">
        <v>4614</v>
      </c>
      <c r="D116" s="108" t="s">
        <v>2129</v>
      </c>
    </row>
    <row r="117" spans="3:9" x14ac:dyDescent="0.2">
      <c r="C117" s="108" t="s">
        <v>4615</v>
      </c>
      <c r="D117" s="108" t="s">
        <v>4586</v>
      </c>
    </row>
    <row r="118" spans="3:9" x14ac:dyDescent="0.2">
      <c r="C118" s="108" t="s">
        <v>4616</v>
      </c>
      <c r="D118" s="108" t="s">
        <v>4586</v>
      </c>
    </row>
    <row r="119" spans="3:9" x14ac:dyDescent="0.2">
      <c r="C119" s="108" t="s">
        <v>4617</v>
      </c>
      <c r="D119" s="108" t="s">
        <v>4618</v>
      </c>
    </row>
    <row r="120" spans="3:9" x14ac:dyDescent="0.2">
      <c r="C120" s="108" t="s">
        <v>4623</v>
      </c>
      <c r="D120" s="108" t="s">
        <v>4624</v>
      </c>
      <c r="F120" s="128"/>
      <c r="G120" s="128">
        <v>45108</v>
      </c>
    </row>
    <row r="121" spans="3:9" x14ac:dyDescent="0.2">
      <c r="C121" s="108" t="s">
        <v>4632</v>
      </c>
    </row>
    <row r="122" spans="3:9" x14ac:dyDescent="0.2">
      <c r="C122" s="108" t="s">
        <v>4639</v>
      </c>
      <c r="D122" s="108" t="s">
        <v>4539</v>
      </c>
      <c r="I122" s="248" t="s">
        <v>7901</v>
      </c>
    </row>
    <row r="123" spans="3:9" x14ac:dyDescent="0.2">
      <c r="C123" s="108" t="s">
        <v>4640</v>
      </c>
    </row>
    <row r="124" spans="3:9" x14ac:dyDescent="0.2">
      <c r="C124" s="108" t="s">
        <v>4646</v>
      </c>
    </row>
    <row r="125" spans="3:9" x14ac:dyDescent="0.2">
      <c r="C125" s="108" t="s">
        <v>4647</v>
      </c>
    </row>
    <row r="126" spans="3:9" x14ac:dyDescent="0.2">
      <c r="C126" s="108" t="s">
        <v>4648</v>
      </c>
      <c r="D126" s="108" t="s">
        <v>4807</v>
      </c>
    </row>
    <row r="127" spans="3:9" x14ac:dyDescent="0.2">
      <c r="C127" s="108" t="s">
        <v>4693</v>
      </c>
      <c r="D127" s="108" t="s">
        <v>4793</v>
      </c>
    </row>
    <row r="128" spans="3:9" x14ac:dyDescent="0.2">
      <c r="C128" s="108" t="s">
        <v>4649</v>
      </c>
    </row>
    <row r="129" spans="3:9" x14ac:dyDescent="0.2">
      <c r="C129" s="108" t="s">
        <v>4694</v>
      </c>
      <c r="D129" s="108" t="s">
        <v>5300</v>
      </c>
      <c r="G129" s="127" t="s">
        <v>5301</v>
      </c>
      <c r="H129" s="25" t="s">
        <v>4949</v>
      </c>
    </row>
    <row r="130" spans="3:9" x14ac:dyDescent="0.2">
      <c r="C130" s="108" t="s">
        <v>4695</v>
      </c>
      <c r="D130" s="108" t="s">
        <v>4727</v>
      </c>
      <c r="I130" s="108" t="s">
        <v>4921</v>
      </c>
    </row>
    <row r="131" spans="3:9" x14ac:dyDescent="0.2">
      <c r="C131" s="108" t="s">
        <v>4696</v>
      </c>
    </row>
    <row r="132" spans="3:9" x14ac:dyDescent="0.2">
      <c r="C132" s="108" t="s">
        <v>4697</v>
      </c>
    </row>
    <row r="133" spans="3:9" x14ac:dyDescent="0.2">
      <c r="C133" s="108" t="s">
        <v>4698</v>
      </c>
    </row>
    <row r="134" spans="3:9" x14ac:dyDescent="0.2">
      <c r="C134" s="108" t="s">
        <v>4699</v>
      </c>
      <c r="D134" s="108" t="s">
        <v>4795</v>
      </c>
    </row>
    <row r="135" spans="3:9" x14ac:dyDescent="0.2">
      <c r="C135" s="108" t="s">
        <v>4700</v>
      </c>
      <c r="D135" s="108" t="s">
        <v>2931</v>
      </c>
    </row>
    <row r="136" spans="3:9" x14ac:dyDescent="0.2">
      <c r="C136" s="108" t="s">
        <v>4701</v>
      </c>
    </row>
    <row r="137" spans="3:9" x14ac:dyDescent="0.2">
      <c r="C137" s="108" t="s">
        <v>4702</v>
      </c>
      <c r="D137" s="108" t="s">
        <v>4795</v>
      </c>
    </row>
    <row r="138" spans="3:9" x14ac:dyDescent="0.2">
      <c r="C138" s="108" t="s">
        <v>4703</v>
      </c>
    </row>
    <row r="139" spans="3:9" x14ac:dyDescent="0.2">
      <c r="C139" s="108" t="s">
        <v>4704</v>
      </c>
      <c r="D139" s="108" t="s">
        <v>4787</v>
      </c>
    </row>
    <row r="140" spans="3:9" x14ac:dyDescent="0.2">
      <c r="C140" s="108" t="s">
        <v>4705</v>
      </c>
      <c r="D140" s="108" t="s">
        <v>4795</v>
      </c>
    </row>
    <row r="141" spans="3:9" x14ac:dyDescent="0.2">
      <c r="C141" s="108" t="s">
        <v>4707</v>
      </c>
    </row>
    <row r="142" spans="3:9" x14ac:dyDescent="0.2">
      <c r="C142" s="108" t="s">
        <v>4708</v>
      </c>
    </row>
    <row r="143" spans="3:9" x14ac:dyDescent="0.2">
      <c r="C143" s="108" t="s">
        <v>4709</v>
      </c>
      <c r="D143" s="108" t="s">
        <v>4814</v>
      </c>
    </row>
    <row r="144" spans="3:9" x14ac:dyDescent="0.2">
      <c r="C144" s="108" t="s">
        <v>4943</v>
      </c>
      <c r="I144" s="108" t="s">
        <v>4960</v>
      </c>
    </row>
    <row r="145" spans="3:9" x14ac:dyDescent="0.2">
      <c r="C145" s="108" t="s">
        <v>4710</v>
      </c>
      <c r="D145" s="108" t="s">
        <v>4727</v>
      </c>
      <c r="I145" s="108" t="s">
        <v>4960</v>
      </c>
    </row>
    <row r="146" spans="3:9" x14ac:dyDescent="0.2">
      <c r="C146" s="108" t="s">
        <v>4711</v>
      </c>
    </row>
    <row r="147" spans="3:9" x14ac:dyDescent="0.2">
      <c r="C147" s="108" t="s">
        <v>4712</v>
      </c>
      <c r="I147" s="108" t="s">
        <v>4958</v>
      </c>
    </row>
    <row r="148" spans="3:9" x14ac:dyDescent="0.2">
      <c r="C148" s="108" t="s">
        <v>4713</v>
      </c>
    </row>
    <row r="149" spans="3:9" x14ac:dyDescent="0.2">
      <c r="C149" s="108" t="s">
        <v>4714</v>
      </c>
    </row>
    <row r="150" spans="3:9" x14ac:dyDescent="0.2">
      <c r="C150" s="108" t="s">
        <v>4715</v>
      </c>
      <c r="I150" s="108" t="s">
        <v>5354</v>
      </c>
    </row>
    <row r="151" spans="3:9" x14ac:dyDescent="0.2">
      <c r="C151" s="108" t="s">
        <v>4716</v>
      </c>
    </row>
    <row r="152" spans="3:9" x14ac:dyDescent="0.2">
      <c r="C152" s="108" t="s">
        <v>4717</v>
      </c>
      <c r="I152" s="108" t="s">
        <v>4958</v>
      </c>
    </row>
    <row r="153" spans="3:9" x14ac:dyDescent="0.2">
      <c r="C153" s="108" t="s">
        <v>4718</v>
      </c>
      <c r="D153" s="108" t="s">
        <v>4801</v>
      </c>
      <c r="I153" s="108" t="s">
        <v>4958</v>
      </c>
    </row>
    <row r="154" spans="3:9" x14ac:dyDescent="0.2">
      <c r="C154" s="108" t="s">
        <v>4719</v>
      </c>
      <c r="I154" s="108" t="s">
        <v>4921</v>
      </c>
    </row>
    <row r="155" spans="3:9" x14ac:dyDescent="0.2">
      <c r="C155" s="108" t="s">
        <v>4952</v>
      </c>
      <c r="I155" s="108" t="s">
        <v>4950</v>
      </c>
    </row>
    <row r="156" spans="3:9" x14ac:dyDescent="0.2">
      <c r="C156" s="108" t="s">
        <v>4720</v>
      </c>
    </row>
    <row r="157" spans="3:9" x14ac:dyDescent="0.2">
      <c r="C157" s="108" t="s">
        <v>4721</v>
      </c>
    </row>
    <row r="158" spans="3:9" x14ac:dyDescent="0.2">
      <c r="C158" s="108" t="s">
        <v>4734</v>
      </c>
      <c r="I158" s="108" t="s">
        <v>4921</v>
      </c>
    </row>
    <row r="159" spans="3:9" x14ac:dyDescent="0.2">
      <c r="C159" s="108" t="s">
        <v>4722</v>
      </c>
    </row>
    <row r="160" spans="3:9" x14ac:dyDescent="0.2">
      <c r="C160" s="108" t="s">
        <v>4723</v>
      </c>
    </row>
    <row r="161" spans="3:9" x14ac:dyDescent="0.2">
      <c r="C161" s="108" t="s">
        <v>4724</v>
      </c>
      <c r="I161" s="108" t="s">
        <v>4921</v>
      </c>
    </row>
    <row r="162" spans="3:9" x14ac:dyDescent="0.2">
      <c r="C162" s="108" t="s">
        <v>4725</v>
      </c>
      <c r="D162" s="108" t="s">
        <v>4728</v>
      </c>
    </row>
    <row r="163" spans="3:9" x14ac:dyDescent="0.2">
      <c r="C163" s="108" t="s">
        <v>4726</v>
      </c>
      <c r="D163" s="108" t="s">
        <v>4727</v>
      </c>
      <c r="I163" s="108" t="s">
        <v>6113</v>
      </c>
    </row>
    <row r="164" spans="3:9" x14ac:dyDescent="0.2">
      <c r="C164" s="108" t="s">
        <v>5373</v>
      </c>
      <c r="H164" s="25" t="s">
        <v>5374</v>
      </c>
      <c r="I164" s="108" t="s">
        <v>5372</v>
      </c>
    </row>
    <row r="165" spans="3:9" x14ac:dyDescent="0.2">
      <c r="C165" s="108" t="s">
        <v>4730</v>
      </c>
      <c r="D165" s="108" t="s">
        <v>4919</v>
      </c>
      <c r="H165" s="25" t="s">
        <v>4917</v>
      </c>
      <c r="I165" s="108" t="s">
        <v>4960</v>
      </c>
    </row>
    <row r="166" spans="3:9" x14ac:dyDescent="0.2">
      <c r="C166" s="108" t="s">
        <v>4731</v>
      </c>
    </row>
    <row r="167" spans="3:9" x14ac:dyDescent="0.2">
      <c r="C167" s="108" t="s">
        <v>4732</v>
      </c>
    </row>
    <row r="168" spans="3:9" x14ac:dyDescent="0.2">
      <c r="C168" s="108" t="s">
        <v>4733</v>
      </c>
    </row>
    <row r="169" spans="3:9" x14ac:dyDescent="0.2">
      <c r="C169" s="108" t="s">
        <v>4735</v>
      </c>
    </row>
    <row r="170" spans="3:9" x14ac:dyDescent="0.2">
      <c r="C170" s="108" t="s">
        <v>4736</v>
      </c>
      <c r="I170" s="108" t="s">
        <v>4921</v>
      </c>
    </row>
    <row r="171" spans="3:9" x14ac:dyDescent="0.2">
      <c r="C171" s="108" t="s">
        <v>4738</v>
      </c>
    </row>
    <row r="172" spans="3:9" x14ac:dyDescent="0.2">
      <c r="C172" s="108" t="s">
        <v>4739</v>
      </c>
    </row>
    <row r="173" spans="3:9" x14ac:dyDescent="0.2">
      <c r="C173" s="108" t="s">
        <v>4740</v>
      </c>
    </row>
    <row r="174" spans="3:9" x14ac:dyDescent="0.2">
      <c r="C174" s="108" t="s">
        <v>4741</v>
      </c>
    </row>
    <row r="175" spans="3:9" x14ac:dyDescent="0.2">
      <c r="C175" s="108" t="s">
        <v>4742</v>
      </c>
    </row>
    <row r="176" spans="3:9" x14ac:dyDescent="0.2">
      <c r="C176" s="108" t="s">
        <v>4743</v>
      </c>
      <c r="I176" s="108" t="s">
        <v>4921</v>
      </c>
    </row>
    <row r="177" spans="3:9" x14ac:dyDescent="0.2">
      <c r="C177" s="108" t="s">
        <v>4744</v>
      </c>
    </row>
    <row r="178" spans="3:9" x14ac:dyDescent="0.2">
      <c r="C178" s="108" t="s">
        <v>4745</v>
      </c>
      <c r="I178" s="108" t="s">
        <v>4958</v>
      </c>
    </row>
    <row r="179" spans="3:9" x14ac:dyDescent="0.2">
      <c r="C179" s="108" t="s">
        <v>4746</v>
      </c>
      <c r="D179" s="108" t="s">
        <v>4795</v>
      </c>
      <c r="I179" s="108" t="s">
        <v>5351</v>
      </c>
    </row>
    <row r="180" spans="3:9" x14ac:dyDescent="0.2">
      <c r="C180" s="108" t="s">
        <v>5352</v>
      </c>
      <c r="I180" s="108" t="s">
        <v>5351</v>
      </c>
    </row>
    <row r="181" spans="3:9" x14ac:dyDescent="0.2">
      <c r="C181" s="108" t="s">
        <v>5353</v>
      </c>
      <c r="I181" s="108" t="s">
        <v>5351</v>
      </c>
    </row>
    <row r="182" spans="3:9" x14ac:dyDescent="0.2">
      <c r="C182" s="108" t="s">
        <v>4747</v>
      </c>
    </row>
    <row r="183" spans="3:9" x14ac:dyDescent="0.2">
      <c r="C183" s="108" t="s">
        <v>4748</v>
      </c>
      <c r="D183" s="108" t="s">
        <v>4791</v>
      </c>
    </row>
    <row r="184" spans="3:9" x14ac:dyDescent="0.2">
      <c r="C184" s="108" t="s">
        <v>4749</v>
      </c>
    </row>
    <row r="185" spans="3:9" x14ac:dyDescent="0.2">
      <c r="C185" s="108" t="s">
        <v>4750</v>
      </c>
      <c r="D185" s="108" t="s">
        <v>4791</v>
      </c>
    </row>
    <row r="186" spans="3:9" x14ac:dyDescent="0.2">
      <c r="C186" s="108" t="s">
        <v>4751</v>
      </c>
      <c r="D186" s="108" t="s">
        <v>2931</v>
      </c>
    </row>
    <row r="187" spans="3:9" x14ac:dyDescent="0.2">
      <c r="C187" s="108" t="s">
        <v>4752</v>
      </c>
      <c r="D187" s="108" t="s">
        <v>4792</v>
      </c>
    </row>
    <row r="188" spans="3:9" x14ac:dyDescent="0.2">
      <c r="C188" s="108" t="s">
        <v>4753</v>
      </c>
      <c r="D188" s="108" t="s">
        <v>4788</v>
      </c>
    </row>
    <row r="189" spans="3:9" x14ac:dyDescent="0.2">
      <c r="C189" s="108" t="s">
        <v>4754</v>
      </c>
      <c r="D189" s="108" t="s">
        <v>4796</v>
      </c>
    </row>
    <row r="190" spans="3:9" x14ac:dyDescent="0.2">
      <c r="C190" s="108" t="s">
        <v>4755</v>
      </c>
      <c r="D190" s="108" t="s">
        <v>4756</v>
      </c>
    </row>
    <row r="191" spans="3:9" x14ac:dyDescent="0.2">
      <c r="C191" s="108" t="s">
        <v>4757</v>
      </c>
      <c r="D191" s="108" t="s">
        <v>4792</v>
      </c>
      <c r="E191" s="108" t="s">
        <v>5367</v>
      </c>
    </row>
    <row r="192" spans="3:9" x14ac:dyDescent="0.2">
      <c r="C192" s="108" t="s">
        <v>4758</v>
      </c>
      <c r="D192" s="108" t="s">
        <v>2931</v>
      </c>
    </row>
    <row r="193" spans="3:9" x14ac:dyDescent="0.2">
      <c r="C193" s="108" t="s">
        <v>4759</v>
      </c>
    </row>
    <row r="194" spans="3:9" x14ac:dyDescent="0.2">
      <c r="C194" s="108" t="s">
        <v>4760</v>
      </c>
      <c r="D194" s="108" t="s">
        <v>4795</v>
      </c>
    </row>
    <row r="195" spans="3:9" x14ac:dyDescent="0.2">
      <c r="C195" s="108" t="s">
        <v>4761</v>
      </c>
      <c r="D195" s="108" t="s">
        <v>2931</v>
      </c>
    </row>
    <row r="196" spans="3:9" x14ac:dyDescent="0.2">
      <c r="C196" s="108" t="s">
        <v>4762</v>
      </c>
      <c r="D196" s="108" t="s">
        <v>4791</v>
      </c>
    </row>
    <row r="197" spans="3:9" x14ac:dyDescent="0.2">
      <c r="C197" s="108" t="s">
        <v>4763</v>
      </c>
      <c r="D197" s="108" t="s">
        <v>4787</v>
      </c>
    </row>
    <row r="198" spans="3:9" x14ac:dyDescent="0.2">
      <c r="C198" s="108" t="s">
        <v>4764</v>
      </c>
      <c r="D198" s="108" t="s">
        <v>2931</v>
      </c>
    </row>
    <row r="199" spans="3:9" x14ac:dyDescent="0.2">
      <c r="C199" s="108" t="s">
        <v>4765</v>
      </c>
      <c r="D199" s="108" t="s">
        <v>4805</v>
      </c>
    </row>
    <row r="200" spans="3:9" x14ac:dyDescent="0.2">
      <c r="C200" s="108" t="s">
        <v>4766</v>
      </c>
    </row>
    <row r="201" spans="3:9" x14ac:dyDescent="0.2">
      <c r="C201" s="108" t="s">
        <v>4767</v>
      </c>
      <c r="D201" s="108" t="s">
        <v>2931</v>
      </c>
    </row>
    <row r="202" spans="3:9" x14ac:dyDescent="0.2">
      <c r="C202" s="108" t="s">
        <v>4768</v>
      </c>
    </row>
    <row r="203" spans="3:9" x14ac:dyDescent="0.2">
      <c r="C203" s="108" t="s">
        <v>4769</v>
      </c>
      <c r="D203" s="108" t="s">
        <v>2931</v>
      </c>
    </row>
    <row r="204" spans="3:9" x14ac:dyDescent="0.2">
      <c r="C204" s="108" t="s">
        <v>4770</v>
      </c>
      <c r="D204" s="108" t="s">
        <v>4797</v>
      </c>
    </row>
    <row r="205" spans="3:9" x14ac:dyDescent="0.2">
      <c r="C205" s="108" t="s">
        <v>4771</v>
      </c>
    </row>
    <row r="206" spans="3:9" x14ac:dyDescent="0.2">
      <c r="C206" s="108" t="s">
        <v>4772</v>
      </c>
    </row>
    <row r="207" spans="3:9" x14ac:dyDescent="0.2">
      <c r="C207" s="108" t="s">
        <v>5356</v>
      </c>
      <c r="I207" s="108" t="s">
        <v>5357</v>
      </c>
    </row>
    <row r="208" spans="3:9" x14ac:dyDescent="0.2">
      <c r="C208" s="108" t="s">
        <v>4824</v>
      </c>
      <c r="D208" s="108" t="s">
        <v>2931</v>
      </c>
    </row>
    <row r="209" spans="3:9" x14ac:dyDescent="0.2">
      <c r="C209" s="108" t="s">
        <v>4773</v>
      </c>
    </row>
    <row r="210" spans="3:9" x14ac:dyDescent="0.2">
      <c r="C210" s="108" t="s">
        <v>4967</v>
      </c>
      <c r="I210" s="108" t="s">
        <v>4958</v>
      </c>
    </row>
    <row r="211" spans="3:9" x14ac:dyDescent="0.2">
      <c r="C211" s="108" t="s">
        <v>4981</v>
      </c>
      <c r="F211" s="129">
        <v>43125</v>
      </c>
      <c r="I211" s="108" t="s">
        <v>4982</v>
      </c>
    </row>
    <row r="212" spans="3:9" x14ac:dyDescent="0.2">
      <c r="C212" s="108" t="s">
        <v>4774</v>
      </c>
      <c r="D212" s="108" t="s">
        <v>4805</v>
      </c>
    </row>
    <row r="213" spans="3:9" x14ac:dyDescent="0.2">
      <c r="C213" s="108" t="s">
        <v>4775</v>
      </c>
      <c r="D213" s="108" t="s">
        <v>4795</v>
      </c>
    </row>
    <row r="214" spans="3:9" x14ac:dyDescent="0.2">
      <c r="C214" s="108" t="s">
        <v>4776</v>
      </c>
      <c r="D214" s="108" t="s">
        <v>4815</v>
      </c>
    </row>
    <row r="215" spans="3:9" x14ac:dyDescent="0.2">
      <c r="C215" s="108" t="s">
        <v>4777</v>
      </c>
      <c r="D215" s="108" t="s">
        <v>4795</v>
      </c>
    </row>
    <row r="216" spans="3:9" x14ac:dyDescent="0.2">
      <c r="C216" s="108" t="s">
        <v>4778</v>
      </c>
      <c r="D216" s="108" t="s">
        <v>4825</v>
      </c>
    </row>
    <row r="217" spans="3:9" x14ac:dyDescent="0.2">
      <c r="C217" s="108" t="s">
        <v>4779</v>
      </c>
      <c r="D217" s="108" t="s">
        <v>4825</v>
      </c>
    </row>
    <row r="218" spans="3:9" x14ac:dyDescent="0.2">
      <c r="C218" s="108" t="s">
        <v>4780</v>
      </c>
      <c r="D218" s="108" t="s">
        <v>4795</v>
      </c>
      <c r="I218" s="108" t="s">
        <v>4921</v>
      </c>
    </row>
    <row r="219" spans="3:9" x14ac:dyDescent="0.2">
      <c r="C219" s="108" t="s">
        <v>4781</v>
      </c>
    </row>
    <row r="220" spans="3:9" x14ac:dyDescent="0.2">
      <c r="C220" s="108" t="s">
        <v>4782</v>
      </c>
    </row>
    <row r="221" spans="3:9" x14ac:dyDescent="0.2">
      <c r="C221" s="108" t="s">
        <v>4783</v>
      </c>
      <c r="D221" s="108" t="s">
        <v>2931</v>
      </c>
      <c r="I221" s="108" t="s">
        <v>4921</v>
      </c>
    </row>
    <row r="222" spans="3:9" x14ac:dyDescent="0.2">
      <c r="C222" s="108" t="s">
        <v>4784</v>
      </c>
      <c r="D222" s="108" t="s">
        <v>2931</v>
      </c>
    </row>
    <row r="223" spans="3:9" x14ac:dyDescent="0.2">
      <c r="C223" s="108" t="s">
        <v>4785</v>
      </c>
      <c r="D223" s="108" t="s">
        <v>4815</v>
      </c>
    </row>
    <row r="224" spans="3:9" x14ac:dyDescent="0.2">
      <c r="C224" s="108" t="s">
        <v>4786</v>
      </c>
      <c r="D224" s="108" t="s">
        <v>2931</v>
      </c>
    </row>
    <row r="225" spans="3:11" x14ac:dyDescent="0.2">
      <c r="C225" s="108" t="s">
        <v>4789</v>
      </c>
      <c r="D225" s="108" t="s">
        <v>4787</v>
      </c>
    </row>
    <row r="226" spans="3:11" x14ac:dyDescent="0.2">
      <c r="C226" s="108" t="s">
        <v>4790</v>
      </c>
      <c r="D226" s="108" t="s">
        <v>4787</v>
      </c>
    </row>
    <row r="227" spans="3:11" x14ac:dyDescent="0.2">
      <c r="C227" s="108" t="s">
        <v>4798</v>
      </c>
      <c r="D227" s="108" t="s">
        <v>4811</v>
      </c>
    </row>
    <row r="228" spans="3:11" x14ac:dyDescent="0.2">
      <c r="C228" s="108" t="s">
        <v>4802</v>
      </c>
      <c r="D228" s="108" t="s">
        <v>4803</v>
      </c>
    </row>
    <row r="229" spans="3:11" x14ac:dyDescent="0.2">
      <c r="C229" s="108" t="s">
        <v>4806</v>
      </c>
      <c r="D229" s="108" t="s">
        <v>4807</v>
      </c>
    </row>
    <row r="230" spans="3:11" x14ac:dyDescent="0.2">
      <c r="C230" s="108" t="s">
        <v>5339</v>
      </c>
      <c r="D230" s="108" t="s">
        <v>4544</v>
      </c>
      <c r="E230" s="108" t="s">
        <v>5340</v>
      </c>
      <c r="F230" s="127">
        <v>2022</v>
      </c>
      <c r="G230" s="127" t="s">
        <v>4645</v>
      </c>
      <c r="K230" s="108" t="s">
        <v>5341</v>
      </c>
    </row>
    <row r="231" spans="3:11" x14ac:dyDescent="0.2">
      <c r="C231" s="108" t="s">
        <v>4808</v>
      </c>
      <c r="D231" s="108" t="s">
        <v>4801</v>
      </c>
      <c r="I231" s="108" t="s">
        <v>4960</v>
      </c>
    </row>
    <row r="232" spans="3:11" x14ac:dyDescent="0.2">
      <c r="C232" s="108" t="s">
        <v>4809</v>
      </c>
      <c r="D232" s="108" t="s">
        <v>4810</v>
      </c>
    </row>
    <row r="233" spans="3:11" x14ac:dyDescent="0.2">
      <c r="C233" s="108" t="s">
        <v>4812</v>
      </c>
      <c r="D233" s="108" t="s">
        <v>4813</v>
      </c>
    </row>
    <row r="234" spans="3:11" x14ac:dyDescent="0.2">
      <c r="C234" s="108" t="s">
        <v>4819</v>
      </c>
      <c r="D234" s="108" t="s">
        <v>4820</v>
      </c>
    </row>
    <row r="235" spans="3:11" x14ac:dyDescent="0.2">
      <c r="C235" s="108" t="s">
        <v>4821</v>
      </c>
      <c r="D235" s="108" t="s">
        <v>4822</v>
      </c>
    </row>
    <row r="236" spans="3:11" x14ac:dyDescent="0.2">
      <c r="C236" s="108" t="s">
        <v>4823</v>
      </c>
    </row>
    <row r="237" spans="3:11" x14ac:dyDescent="0.2">
      <c r="C237" s="108" t="s">
        <v>4827</v>
      </c>
      <c r="I237" s="108" t="s">
        <v>4921</v>
      </c>
    </row>
    <row r="238" spans="3:11" x14ac:dyDescent="0.2">
      <c r="C238" s="108" t="s">
        <v>4828</v>
      </c>
      <c r="I238" s="248" t="s">
        <v>7906</v>
      </c>
    </row>
    <row r="239" spans="3:11" x14ac:dyDescent="0.2">
      <c r="C239" s="108" t="s">
        <v>4829</v>
      </c>
      <c r="D239" s="108" t="s">
        <v>4830</v>
      </c>
    </row>
    <row r="240" spans="3:11" x14ac:dyDescent="0.2">
      <c r="C240" s="108" t="s">
        <v>4831</v>
      </c>
      <c r="D240" s="108" t="s">
        <v>2459</v>
      </c>
    </row>
    <row r="241" spans="3:9" x14ac:dyDescent="0.2">
      <c r="C241" s="108" t="s">
        <v>4833</v>
      </c>
      <c r="D241" s="108" t="s">
        <v>6088</v>
      </c>
    </row>
    <row r="242" spans="3:9" x14ac:dyDescent="0.2">
      <c r="C242" s="108" t="s">
        <v>6089</v>
      </c>
      <c r="D242" s="108" t="s">
        <v>6090</v>
      </c>
    </row>
    <row r="243" spans="3:9" x14ac:dyDescent="0.2">
      <c r="C243" s="108" t="s">
        <v>4834</v>
      </c>
      <c r="D243" s="108" t="s">
        <v>4835</v>
      </c>
    </row>
    <row r="244" spans="3:9" x14ac:dyDescent="0.2">
      <c r="C244" s="108" t="s">
        <v>4836</v>
      </c>
      <c r="D244" s="108" t="s">
        <v>4835</v>
      </c>
    </row>
    <row r="245" spans="3:9" x14ac:dyDescent="0.2">
      <c r="C245" s="108" t="s">
        <v>4837</v>
      </c>
      <c r="D245" s="108" t="s">
        <v>4835</v>
      </c>
    </row>
    <row r="246" spans="3:9" x14ac:dyDescent="0.2">
      <c r="C246" s="108" t="s">
        <v>4838</v>
      </c>
      <c r="D246" s="108" t="s">
        <v>2085</v>
      </c>
      <c r="I246" s="248" t="s">
        <v>7902</v>
      </c>
    </row>
    <row r="247" spans="3:9" x14ac:dyDescent="0.2">
      <c r="C247" s="108" t="s">
        <v>4839</v>
      </c>
      <c r="D247" s="108" t="s">
        <v>2085</v>
      </c>
    </row>
    <row r="248" spans="3:9" x14ac:dyDescent="0.2">
      <c r="C248" s="108" t="s">
        <v>4840</v>
      </c>
      <c r="D248" s="108" t="s">
        <v>2085</v>
      </c>
    </row>
    <row r="249" spans="3:9" x14ac:dyDescent="0.2">
      <c r="C249" s="108" t="s">
        <v>4841</v>
      </c>
      <c r="D249" s="108" t="s">
        <v>2085</v>
      </c>
    </row>
    <row r="250" spans="3:9" x14ac:dyDescent="0.2">
      <c r="C250" s="108" t="s">
        <v>4842</v>
      </c>
      <c r="D250" s="108" t="s">
        <v>2085</v>
      </c>
      <c r="G250" s="127" t="s">
        <v>4921</v>
      </c>
      <c r="I250" s="248" t="s">
        <v>7902</v>
      </c>
    </row>
    <row r="251" spans="3:9" x14ac:dyDescent="0.2">
      <c r="C251" s="108" t="s">
        <v>4843</v>
      </c>
      <c r="D251" s="108" t="s">
        <v>2085</v>
      </c>
    </row>
    <row r="252" spans="3:9" x14ac:dyDescent="0.2">
      <c r="C252" s="108" t="s">
        <v>4844</v>
      </c>
      <c r="D252" s="108" t="s">
        <v>2085</v>
      </c>
    </row>
    <row r="253" spans="3:9" x14ac:dyDescent="0.2">
      <c r="C253" s="108" t="s">
        <v>4845</v>
      </c>
      <c r="D253" s="108" t="s">
        <v>2454</v>
      </c>
    </row>
    <row r="254" spans="3:9" x14ac:dyDescent="0.2">
      <c r="C254" s="108" t="s">
        <v>4846</v>
      </c>
      <c r="D254" s="108" t="s">
        <v>2454</v>
      </c>
      <c r="G254" s="127" t="s">
        <v>4921</v>
      </c>
    </row>
    <row r="255" spans="3:9" x14ac:dyDescent="0.2">
      <c r="C255" s="108" t="s">
        <v>4847</v>
      </c>
      <c r="D255" s="108" t="s">
        <v>2454</v>
      </c>
    </row>
    <row r="256" spans="3:9" x14ac:dyDescent="0.2">
      <c r="C256" s="108" t="s">
        <v>4848</v>
      </c>
    </row>
    <row r="257" spans="3:7" x14ac:dyDescent="0.2">
      <c r="C257" s="108" t="s">
        <v>4927</v>
      </c>
      <c r="D257" s="108" t="s">
        <v>1545</v>
      </c>
      <c r="G257" s="127" t="s">
        <v>4921</v>
      </c>
    </row>
    <row r="258" spans="3:7" x14ac:dyDescent="0.2">
      <c r="C258" s="108" t="s">
        <v>4926</v>
      </c>
      <c r="D258" s="108" t="s">
        <v>1545</v>
      </c>
      <c r="G258" s="127" t="s">
        <v>4921</v>
      </c>
    </row>
    <row r="259" spans="3:7" x14ac:dyDescent="0.2">
      <c r="C259" s="108" t="s">
        <v>4929</v>
      </c>
      <c r="D259" s="108" t="s">
        <v>1545</v>
      </c>
      <c r="G259" s="127" t="s">
        <v>4921</v>
      </c>
    </row>
    <row r="260" spans="3:7" x14ac:dyDescent="0.2">
      <c r="C260" s="108" t="s">
        <v>4932</v>
      </c>
      <c r="D260" s="108" t="s">
        <v>1545</v>
      </c>
      <c r="G260" s="127" t="s">
        <v>4960</v>
      </c>
    </row>
    <row r="261" spans="3:7" x14ac:dyDescent="0.2">
      <c r="C261" s="108" t="s">
        <v>4935</v>
      </c>
      <c r="D261" s="108" t="s">
        <v>1545</v>
      </c>
      <c r="G261" s="127" t="s">
        <v>4921</v>
      </c>
    </row>
    <row r="262" spans="3:7" x14ac:dyDescent="0.2">
      <c r="C262" s="108" t="s">
        <v>4938</v>
      </c>
      <c r="D262" s="108" t="s">
        <v>1545</v>
      </c>
      <c r="G262" s="127" t="s">
        <v>4921</v>
      </c>
    </row>
    <row r="263" spans="3:7" x14ac:dyDescent="0.2">
      <c r="C263" s="108" t="s">
        <v>4940</v>
      </c>
      <c r="D263" s="108" t="s">
        <v>1545</v>
      </c>
      <c r="G263" s="127" t="s">
        <v>4921</v>
      </c>
    </row>
    <row r="264" spans="3:7" x14ac:dyDescent="0.2">
      <c r="C264" s="108" t="s">
        <v>4941</v>
      </c>
      <c r="D264" s="108" t="s">
        <v>1545</v>
      </c>
      <c r="G264" s="127" t="s">
        <v>4921</v>
      </c>
    </row>
    <row r="265" spans="3:7" x14ac:dyDescent="0.2">
      <c r="C265" s="108" t="s">
        <v>4942</v>
      </c>
      <c r="D265" s="108" t="s">
        <v>1545</v>
      </c>
      <c r="G265" s="127" t="s">
        <v>4921</v>
      </c>
    </row>
    <row r="266" spans="3:7" x14ac:dyDescent="0.2">
      <c r="C266" s="108" t="s">
        <v>4944</v>
      </c>
      <c r="D266" s="108" t="s">
        <v>1545</v>
      </c>
      <c r="G266" s="127" t="s">
        <v>4921</v>
      </c>
    </row>
    <row r="267" spans="3:7" x14ac:dyDescent="0.2">
      <c r="C267" s="108" t="s">
        <v>4946</v>
      </c>
      <c r="D267" s="108" t="s">
        <v>1545</v>
      </c>
      <c r="G267" s="127" t="s">
        <v>4921</v>
      </c>
    </row>
    <row r="268" spans="3:7" x14ac:dyDescent="0.2">
      <c r="C268" s="108" t="s">
        <v>4947</v>
      </c>
      <c r="D268" s="108" t="s">
        <v>1545</v>
      </c>
      <c r="G268" s="127" t="s">
        <v>4921</v>
      </c>
    </row>
    <row r="269" spans="3:7" x14ac:dyDescent="0.2">
      <c r="C269" s="108" t="s">
        <v>4957</v>
      </c>
      <c r="G269" s="127" t="s">
        <v>4958</v>
      </c>
    </row>
    <row r="270" spans="3:7" x14ac:dyDescent="0.2">
      <c r="C270" s="108" t="s">
        <v>4959</v>
      </c>
      <c r="G270" s="127" t="s">
        <v>4958</v>
      </c>
    </row>
    <row r="271" spans="3:7" x14ac:dyDescent="0.2">
      <c r="C271" s="108" t="s">
        <v>4961</v>
      </c>
      <c r="G271" s="127" t="s">
        <v>4958</v>
      </c>
    </row>
    <row r="272" spans="3:7" x14ac:dyDescent="0.2">
      <c r="C272" s="108" t="s">
        <v>4963</v>
      </c>
      <c r="G272" s="127" t="s">
        <v>4958</v>
      </c>
    </row>
    <row r="273" spans="3:10" x14ac:dyDescent="0.2">
      <c r="C273" s="108" t="s">
        <v>4964</v>
      </c>
      <c r="G273" s="127" t="s">
        <v>4958</v>
      </c>
    </row>
    <row r="274" spans="3:10" x14ac:dyDescent="0.2">
      <c r="C274" s="108" t="s">
        <v>4965</v>
      </c>
      <c r="G274" s="127" t="s">
        <v>4958</v>
      </c>
    </row>
    <row r="275" spans="3:10" x14ac:dyDescent="0.2">
      <c r="C275" s="108" t="s">
        <v>4966</v>
      </c>
      <c r="G275" s="127" t="s">
        <v>4958</v>
      </c>
    </row>
    <row r="276" spans="3:10" x14ac:dyDescent="0.2">
      <c r="C276" s="108" t="s">
        <v>4968</v>
      </c>
      <c r="G276" s="127" t="s">
        <v>4958</v>
      </c>
    </row>
    <row r="277" spans="3:10" x14ac:dyDescent="0.2">
      <c r="C277" s="248" t="s">
        <v>7899</v>
      </c>
      <c r="I277" s="248" t="s">
        <v>7900</v>
      </c>
    </row>
    <row r="278" spans="3:10" x14ac:dyDescent="0.2">
      <c r="C278" s="108" t="s">
        <v>4923</v>
      </c>
      <c r="D278" s="108" t="s">
        <v>4925</v>
      </c>
      <c r="G278" s="127" t="s">
        <v>4962</v>
      </c>
    </row>
    <row r="279" spans="3:10" x14ac:dyDescent="0.2">
      <c r="C279" s="108" t="s">
        <v>4928</v>
      </c>
      <c r="D279" s="108" t="s">
        <v>4925</v>
      </c>
      <c r="G279" s="127" t="s">
        <v>4924</v>
      </c>
    </row>
    <row r="280" spans="3:10" x14ac:dyDescent="0.2">
      <c r="C280" s="108" t="s">
        <v>4936</v>
      </c>
      <c r="D280" s="108" t="s">
        <v>4925</v>
      </c>
      <c r="G280" s="127" t="s">
        <v>4962</v>
      </c>
    </row>
    <row r="281" spans="3:10" x14ac:dyDescent="0.2">
      <c r="C281" s="108" t="s">
        <v>4937</v>
      </c>
      <c r="D281" s="108" t="s">
        <v>4925</v>
      </c>
      <c r="G281" s="127" t="s">
        <v>4924</v>
      </c>
    </row>
    <row r="282" spans="3:10" x14ac:dyDescent="0.2">
      <c r="C282" s="108" t="s">
        <v>4930</v>
      </c>
      <c r="D282" s="108" t="s">
        <v>4931</v>
      </c>
    </row>
    <row r="283" spans="3:10" x14ac:dyDescent="0.2">
      <c r="C283" s="248" t="s">
        <v>7907</v>
      </c>
      <c r="I283" s="248" t="s">
        <v>7904</v>
      </c>
    </row>
    <row r="284" spans="3:10" x14ac:dyDescent="0.2">
      <c r="C284" s="248" t="s">
        <v>7908</v>
      </c>
    </row>
    <row r="285" spans="3:10" x14ac:dyDescent="0.2">
      <c r="C285" s="108" t="s">
        <v>4975</v>
      </c>
      <c r="D285" s="108" t="s">
        <v>4977</v>
      </c>
      <c r="F285" s="129">
        <v>42879</v>
      </c>
      <c r="H285" s="25"/>
      <c r="I285" s="108" t="s">
        <v>4978</v>
      </c>
      <c r="J285" s="25" t="s">
        <v>4976</v>
      </c>
    </row>
  </sheetData>
  <hyperlinks>
    <hyperlink ref="H8" r:id="rId1" xr:uid="{798ED00F-DFA6-4EE1-9257-9C35EF3FC55A}"/>
    <hyperlink ref="H165" r:id="rId2" xr:uid="{D544E45F-95B2-49E7-8409-133EF4A58ABE}"/>
    <hyperlink ref="H35" r:id="rId3" xr:uid="{EDBB7E11-A5BA-46C9-85EF-DF3E3C3D7D1A}"/>
    <hyperlink ref="H33" r:id="rId4" xr:uid="{9094A79A-04AF-4419-A574-9CA4960D5A88}"/>
    <hyperlink ref="H129" r:id="rId5" xr:uid="{02197E27-4CCD-4B89-AF6C-5E128A03AAC4}"/>
    <hyperlink ref="H28" r:id="rId6" xr:uid="{771325DD-69DE-4DEB-8C96-996AF3F476E5}"/>
    <hyperlink ref="H25" r:id="rId7" display="alex@openai.com" xr:uid="{559FAF39-EA61-4923-8B27-0FB8E40F8C7D}"/>
    <hyperlink ref="H7" r:id="rId8" xr:uid="{573A50BF-AB4D-4EBA-A8C3-E395FFF9E9D7}"/>
    <hyperlink ref="H17" r:id="rId9" xr:uid="{426FBAF9-D10A-4EF4-8EF7-CA43E0DFF84A}"/>
    <hyperlink ref="J17" r:id="rId10" xr:uid="{D7116D52-7415-4DC8-BCCF-2CA8627E9F42}"/>
    <hyperlink ref="J7" r:id="rId11" xr:uid="{1B7A4A39-EE9E-435B-977C-105C0B04051B}"/>
    <hyperlink ref="J23" r:id="rId12" xr:uid="{D411BB9B-6963-4139-A89D-E8219F9D9691}"/>
    <hyperlink ref="A1" location="Main!A1" display="Main" xr:uid="{451B8011-1F05-4B9E-80AB-3D74F1846F2B}"/>
    <hyperlink ref="J25" r:id="rId13" xr:uid="{B061B28B-C3DD-2D45-ACFD-908D38C17E0E}"/>
    <hyperlink ref="J18" r:id="rId14" xr:uid="{DB010C7E-CEBC-9145-A4E7-99263CF85B6F}"/>
    <hyperlink ref="H18" r:id="rId15" xr:uid="{FC04CD60-00DA-0F4B-9DFA-2200D7963CFC}"/>
    <hyperlink ref="H19" r:id="rId16" xr:uid="{8A4FB973-B9C1-0B41-934A-EADE81762CDF}"/>
    <hyperlink ref="J19" r:id="rId17" xr:uid="{0B081C15-7170-D845-A18F-29C57496B907}"/>
    <hyperlink ref="H20" r:id="rId18" display="alec.radford@gmail.com" xr:uid="{344D682A-4905-124C-A259-5E531D5E8CDE}"/>
    <hyperlink ref="J20" r:id="rId19" xr:uid="{873F6252-94EC-7E42-A282-0D32AC8DE45E}"/>
    <hyperlink ref="H9" r:id="rId20" xr:uid="{F879B4A3-0B18-144F-B18B-46E62B99F82C}"/>
    <hyperlink ref="H14" r:id="rId21" xr:uid="{67636BE2-FE4A-AE45-BDA6-80637EF54833}"/>
    <hyperlink ref="H164" r:id="rId22" xr:uid="{5C0A5878-5971-E54A-8182-BA562BAF716B}"/>
    <hyperlink ref="I25" r:id="rId23" xr:uid="{27854B00-5825-4B85-8CED-9EC8E5C0F5A4}"/>
    <hyperlink ref="I45" r:id="rId24" display="https://twitter.com/mobav0?lang=en" xr:uid="{23DE7B11-6680-46C4-B467-078198C01E1C}"/>
    <hyperlink ref="I76" r:id="rId25" display="https://bmk.sh/" xr:uid="{5FCB4286-6FDC-473E-9C04-C88A521186AF}"/>
    <hyperlink ref="J76" r:id="rId26" xr:uid="{846FFB69-EA69-4C0C-8CF7-82E4E7CF2D4A}"/>
    <hyperlink ref="I52" r:id="rId27" xr:uid="{6BCB60AC-494A-44B9-B38E-93CEC7EA6CAA}"/>
    <hyperlink ref="J52" r:id="rId28" xr:uid="{F5DC8D0B-8B73-48F9-8511-AC5E5D410309}"/>
    <hyperlink ref="H44" r:id="rId29" xr:uid="{B014EC1E-A044-474A-9C75-15DD07DB9671}"/>
    <hyperlink ref="I27" r:id="rId30" display="https://twitter.com/mpetrov?lang=en" xr:uid="{96DA0531-85E6-4E47-99A3-2CB35498FB24}"/>
    <hyperlink ref="J32" r:id="rId31" xr:uid="{18FB2407-E806-2D4B-9310-03A5ECF72036}"/>
    <hyperlink ref="I68" r:id="rId32" xr:uid="{4CE9AD53-D894-2C4F-8581-58A57D32D4B3}"/>
    <hyperlink ref="I64" r:id="rId33" xr:uid="{413F5259-C1EC-1B4B-9A79-1B4079FA2979}"/>
    <hyperlink ref="J64" r:id="rId34" xr:uid="{7639B64D-2AFA-A245-B703-015C668209FE}"/>
    <hyperlink ref="H64" r:id="rId35" xr:uid="{E963C412-645B-A749-BE0A-E93B0401EC2E}"/>
  </hyperlinks>
  <pageMargins left="0.7" right="0.7" top="0.75" bottom="0.75" header="0.3" footer="0.3"/>
  <pageSetup orientation="portrait" r:id="rId36"/>
  <legacyDrawing r:id="rId37"/>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832B0-0F10-1D47-925E-C8001FE36760}">
  <dimension ref="A1:K19"/>
  <sheetViews>
    <sheetView zoomScale="150" zoomScaleNormal="150" workbookViewId="0">
      <pane xSplit="2" ySplit="2" topLeftCell="C3" activePane="bottomRight" state="frozen"/>
      <selection pane="topRight" activeCell="C1" sqref="C1"/>
      <selection pane="bottomLeft" activeCell="A3" sqref="A3"/>
      <selection pane="bottomRight" activeCell="C19" sqref="C19"/>
    </sheetView>
  </sheetViews>
  <sheetFormatPr defaultColWidth="10.875" defaultRowHeight="12.75" x14ac:dyDescent="0.2"/>
  <cols>
    <col min="1" max="1" width="4.875" style="96" bestFit="1" customWidth="1"/>
    <col min="2" max="2" width="16.375" style="96" bestFit="1" customWidth="1"/>
    <col min="3" max="16384" width="10.875" style="96"/>
  </cols>
  <sheetData>
    <row r="1" spans="1:11" x14ac:dyDescent="0.2">
      <c r="A1" s="25" t="s">
        <v>1165</v>
      </c>
    </row>
    <row r="2" spans="1:11" x14ac:dyDescent="0.2">
      <c r="A2" s="25"/>
      <c r="B2" s="169" t="s">
        <v>3981</v>
      </c>
      <c r="C2" s="169" t="s">
        <v>6589</v>
      </c>
      <c r="D2" s="169" t="s">
        <v>4643</v>
      </c>
      <c r="E2" s="169" t="s">
        <v>4626</v>
      </c>
      <c r="F2" s="169" t="s">
        <v>4505</v>
      </c>
      <c r="G2" s="169" t="s">
        <v>4644</v>
      </c>
      <c r="H2" s="169" t="s">
        <v>1150</v>
      </c>
      <c r="I2" s="169" t="s">
        <v>4971</v>
      </c>
      <c r="J2" s="169" t="s">
        <v>2293</v>
      </c>
      <c r="K2" s="169" t="s">
        <v>4234</v>
      </c>
    </row>
    <row r="3" spans="1:11" x14ac:dyDescent="0.2">
      <c r="B3" s="96" t="s">
        <v>5469</v>
      </c>
      <c r="K3" s="169" t="s">
        <v>6591</v>
      </c>
    </row>
    <row r="4" spans="1:11" x14ac:dyDescent="0.2">
      <c r="B4" s="96" t="s">
        <v>5470</v>
      </c>
      <c r="K4" s="169" t="s">
        <v>6591</v>
      </c>
    </row>
    <row r="5" spans="1:11" x14ac:dyDescent="0.2">
      <c r="B5" s="96" t="s">
        <v>5471</v>
      </c>
      <c r="K5" s="169" t="s">
        <v>6591</v>
      </c>
    </row>
    <row r="6" spans="1:11" x14ac:dyDescent="0.2">
      <c r="B6" s="96" t="s">
        <v>5472</v>
      </c>
      <c r="K6" s="169" t="s">
        <v>6591</v>
      </c>
    </row>
    <row r="7" spans="1:11" x14ac:dyDescent="0.2">
      <c r="B7" s="96" t="s">
        <v>5473</v>
      </c>
      <c r="K7" s="169" t="s">
        <v>6591</v>
      </c>
    </row>
    <row r="8" spans="1:11" x14ac:dyDescent="0.2">
      <c r="B8" s="169" t="s">
        <v>6590</v>
      </c>
      <c r="K8" s="169" t="s">
        <v>6592</v>
      </c>
    </row>
    <row r="9" spans="1:11" x14ac:dyDescent="0.2">
      <c r="B9" s="169" t="s">
        <v>6593</v>
      </c>
      <c r="K9" s="169" t="s">
        <v>6592</v>
      </c>
    </row>
    <row r="10" spans="1:11" x14ac:dyDescent="0.2">
      <c r="B10" s="169" t="s">
        <v>6594</v>
      </c>
      <c r="K10" s="169" t="s">
        <v>6592</v>
      </c>
    </row>
    <row r="11" spans="1:11" x14ac:dyDescent="0.2">
      <c r="B11" s="169" t="s">
        <v>6595</v>
      </c>
      <c r="K11" s="169" t="s">
        <v>6592</v>
      </c>
    </row>
    <row r="12" spans="1:11" x14ac:dyDescent="0.2">
      <c r="B12" s="169" t="s">
        <v>6596</v>
      </c>
      <c r="K12" s="169" t="s">
        <v>6592</v>
      </c>
    </row>
    <row r="13" spans="1:11" x14ac:dyDescent="0.2">
      <c r="B13" s="169" t="s">
        <v>6597</v>
      </c>
      <c r="K13" s="169" t="s">
        <v>6592</v>
      </c>
    </row>
    <row r="14" spans="1:11" x14ac:dyDescent="0.2">
      <c r="B14" s="169" t="s">
        <v>6598</v>
      </c>
      <c r="K14" s="169" t="s">
        <v>6592</v>
      </c>
    </row>
    <row r="15" spans="1:11" x14ac:dyDescent="0.2">
      <c r="B15" s="169" t="s">
        <v>6599</v>
      </c>
      <c r="K15" s="169" t="s">
        <v>6592</v>
      </c>
    </row>
    <row r="16" spans="1:11" x14ac:dyDescent="0.2">
      <c r="B16" s="169" t="s">
        <v>6600</v>
      </c>
      <c r="K16" s="169" t="s">
        <v>6592</v>
      </c>
    </row>
    <row r="17" spans="2:11" x14ac:dyDescent="0.2">
      <c r="B17" s="169" t="s">
        <v>6601</v>
      </c>
      <c r="K17" s="169" t="s">
        <v>6592</v>
      </c>
    </row>
    <row r="18" spans="2:11" x14ac:dyDescent="0.2">
      <c r="B18" s="169" t="s">
        <v>6602</v>
      </c>
      <c r="K18" s="169" t="s">
        <v>6592</v>
      </c>
    </row>
    <row r="19" spans="2:11" x14ac:dyDescent="0.2">
      <c r="B19" s="208" t="s">
        <v>7075</v>
      </c>
    </row>
  </sheetData>
  <hyperlinks>
    <hyperlink ref="A1" location="Main!A1" display="Main" xr:uid="{58B34881-70EF-4040-8B38-772ED68EE767}"/>
  </hyperlinks>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0EDBD-979B-D14F-960B-8DA316BE6679}">
  <dimension ref="A1:C38"/>
  <sheetViews>
    <sheetView topLeftCell="A21" zoomScale="170" zoomScaleNormal="170" workbookViewId="0">
      <selection activeCell="B39" sqref="B39"/>
    </sheetView>
  </sheetViews>
  <sheetFormatPr defaultColWidth="10.875" defaultRowHeight="12.75" x14ac:dyDescent="0.2"/>
  <cols>
    <col min="1" max="1" width="4.875" style="96" bestFit="1" customWidth="1"/>
    <col min="2" max="2" width="17.625" style="96" bestFit="1" customWidth="1"/>
    <col min="3" max="16384" width="10.875" style="96"/>
  </cols>
  <sheetData>
    <row r="1" spans="1:3" x14ac:dyDescent="0.2">
      <c r="A1" s="25" t="s">
        <v>1165</v>
      </c>
    </row>
    <row r="2" spans="1:3" x14ac:dyDescent="0.2">
      <c r="B2" s="96" t="s">
        <v>5979</v>
      </c>
      <c r="C2" s="96" t="s">
        <v>5980</v>
      </c>
    </row>
    <row r="3" spans="1:3" x14ac:dyDescent="0.2">
      <c r="B3" s="96" t="s">
        <v>5994</v>
      </c>
      <c r="C3" s="96" t="s">
        <v>5995</v>
      </c>
    </row>
    <row r="4" spans="1:3" x14ac:dyDescent="0.2">
      <c r="B4" s="96" t="s">
        <v>5982</v>
      </c>
      <c r="C4" s="96" t="s">
        <v>5983</v>
      </c>
    </row>
    <row r="5" spans="1:3" x14ac:dyDescent="0.2">
      <c r="B5" s="96" t="s">
        <v>5996</v>
      </c>
      <c r="C5" s="96" t="s">
        <v>5997</v>
      </c>
    </row>
    <row r="6" spans="1:3" x14ac:dyDescent="0.2">
      <c r="B6" s="96" t="s">
        <v>6005</v>
      </c>
    </row>
    <row r="7" spans="1:3" x14ac:dyDescent="0.2">
      <c r="B7" s="96" t="s">
        <v>5992</v>
      </c>
      <c r="C7" s="96" t="s">
        <v>5993</v>
      </c>
    </row>
    <row r="8" spans="1:3" x14ac:dyDescent="0.2">
      <c r="B8" s="96" t="s">
        <v>5989</v>
      </c>
      <c r="C8" s="96" t="s">
        <v>5990</v>
      </c>
    </row>
    <row r="9" spans="1:3" x14ac:dyDescent="0.2">
      <c r="B9" s="96" t="s">
        <v>5987</v>
      </c>
      <c r="C9" s="96" t="s">
        <v>5988</v>
      </c>
    </row>
    <row r="10" spans="1:3" x14ac:dyDescent="0.2">
      <c r="B10" s="96" t="s">
        <v>5999</v>
      </c>
      <c r="C10" s="96" t="s">
        <v>6000</v>
      </c>
    </row>
    <row r="11" spans="1:3" x14ac:dyDescent="0.2">
      <c r="B11" s="96" t="s">
        <v>6004</v>
      </c>
    </row>
    <row r="12" spans="1:3" x14ac:dyDescent="0.2">
      <c r="B12" s="96" t="s">
        <v>5975</v>
      </c>
      <c r="C12" s="96" t="s">
        <v>5976</v>
      </c>
    </row>
    <row r="13" spans="1:3" x14ac:dyDescent="0.2">
      <c r="B13" s="96" t="s">
        <v>6001</v>
      </c>
      <c r="C13" s="96" t="s">
        <v>6002</v>
      </c>
    </row>
    <row r="14" spans="1:3" x14ac:dyDescent="0.2">
      <c r="B14" s="96" t="s">
        <v>5985</v>
      </c>
      <c r="C14" s="96" t="s">
        <v>5986</v>
      </c>
    </row>
    <row r="15" spans="1:3" x14ac:dyDescent="0.2">
      <c r="B15" s="96" t="s">
        <v>5981</v>
      </c>
      <c r="C15" s="96" t="s">
        <v>5984</v>
      </c>
    </row>
    <row r="16" spans="1:3" x14ac:dyDescent="0.2">
      <c r="B16" s="96" t="s">
        <v>5970</v>
      </c>
      <c r="C16" s="96" t="s">
        <v>5971</v>
      </c>
    </row>
    <row r="17" spans="2:3" x14ac:dyDescent="0.2">
      <c r="B17" s="96" t="s">
        <v>6003</v>
      </c>
    </row>
    <row r="18" spans="2:3" x14ac:dyDescent="0.2">
      <c r="B18" s="248" t="s">
        <v>7683</v>
      </c>
    </row>
    <row r="19" spans="2:3" x14ac:dyDescent="0.2">
      <c r="B19" s="96" t="s">
        <v>5978</v>
      </c>
      <c r="C19" s="96" t="s">
        <v>5973</v>
      </c>
    </row>
    <row r="20" spans="2:3" x14ac:dyDescent="0.2">
      <c r="B20" s="96" t="s">
        <v>5977</v>
      </c>
      <c r="C20" s="96" t="s">
        <v>5998</v>
      </c>
    </row>
    <row r="21" spans="2:3" x14ac:dyDescent="0.2">
      <c r="B21" s="96" t="s">
        <v>5972</v>
      </c>
      <c r="C21" s="96" t="s">
        <v>5974</v>
      </c>
    </row>
    <row r="26" spans="2:3" ht="15.75" x14ac:dyDescent="0.25">
      <c r="B26"/>
    </row>
    <row r="27" spans="2:3" x14ac:dyDescent="0.2">
      <c r="B27" s="248" t="s">
        <v>7679</v>
      </c>
    </row>
    <row r="28" spans="2:3" x14ac:dyDescent="0.2">
      <c r="B28" s="248" t="s">
        <v>7680</v>
      </c>
    </row>
    <row r="30" spans="2:3" ht="15.75" x14ac:dyDescent="0.25">
      <c r="B30"/>
    </row>
    <row r="32" spans="2:3" x14ac:dyDescent="0.2">
      <c r="B32" s="248" t="s">
        <v>7681</v>
      </c>
    </row>
    <row r="33" spans="2:2" x14ac:dyDescent="0.2">
      <c r="B33" s="248" t="s">
        <v>7682</v>
      </c>
    </row>
    <row r="35" spans="2:2" ht="15.75" x14ac:dyDescent="0.25">
      <c r="B35"/>
    </row>
    <row r="38" spans="2:2" x14ac:dyDescent="0.2">
      <c r="B38" s="248" t="s">
        <v>7684</v>
      </c>
    </row>
  </sheetData>
  <hyperlinks>
    <hyperlink ref="A1" location="Main!A1" display="Main" xr:uid="{86B213B9-E3BC-924C-877F-49F15CDE5EA2}"/>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Main</vt:lpstr>
      <vt:lpstr>Companies</vt:lpstr>
      <vt:lpstr>Investors</vt:lpstr>
      <vt:lpstr>EO Avoid List</vt:lpstr>
      <vt:lpstr>Glossary</vt:lpstr>
      <vt:lpstr>Papers</vt:lpstr>
      <vt:lpstr>Top Papers</vt:lpstr>
      <vt:lpstr>LLM Vendors</vt:lpstr>
      <vt:lpstr>Inference</vt:lpstr>
      <vt:lpstr>Audio</vt:lpstr>
      <vt:lpstr>ASR</vt:lpstr>
      <vt:lpstr>Repos</vt:lpstr>
      <vt:lpstr>People</vt:lpstr>
      <vt:lpstr>Transformer</vt:lpstr>
      <vt:lpstr>DeepMind</vt:lpstr>
      <vt:lpstr>OpenAI</vt:lpstr>
      <vt:lpstr>Meta</vt:lpstr>
      <vt:lpstr>Math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Shkreli</dc:creator>
  <cp:lastModifiedBy>Martin Shkreli</cp:lastModifiedBy>
  <dcterms:created xsi:type="dcterms:W3CDTF">2023-07-10T18:09:47Z</dcterms:created>
  <dcterms:modified xsi:type="dcterms:W3CDTF">2023-12-19T16:02:06Z</dcterms:modified>
</cp:coreProperties>
</file>