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https://d.docs.live.net/9ffda80931a57275/Models Backup/"/>
    </mc:Choice>
  </mc:AlternateContent>
  <xr:revisionPtr revIDLastSave="1584" documentId="13_ncr:4000b_{C3F697F3-269C-46B4-8DC3-DD890000F191}" xr6:coauthVersionLast="47" xr6:coauthVersionMax="47" xr10:uidLastSave="{7CD8F3EC-47B0-47F0-A2FB-AF387EFF1F29}"/>
  <bookViews>
    <workbookView xWindow="-24600" yWindow="270" windowWidth="24000" windowHeight="20565" activeTab="1" xr2:uid="{00000000-000D-0000-FFFF-FFFF00000000}"/>
  </bookViews>
  <sheets>
    <sheet name="Master" sheetId="75" r:id="rId1"/>
    <sheet name="Main" sheetId="1" r:id="rId2"/>
    <sheet name="Model" sheetId="27" r:id="rId3"/>
    <sheet name="Enbrel" sheetId="52" r:id="rId4"/>
    <sheet name="Lumakras" sheetId="76" r:id="rId5"/>
    <sheet name="Neulasta" sheetId="56" r:id="rId6"/>
    <sheet name="Neupogen" sheetId="57" r:id="rId7"/>
    <sheet name="Epogen" sheetId="64" r:id="rId8"/>
    <sheet name="EPO safety" sheetId="66" r:id="rId9"/>
    <sheet name="Aranesp" sheetId="2" r:id="rId10"/>
    <sheet name="G-CSF" sheetId="30" r:id="rId11"/>
    <sheet name="Sensipar" sheetId="54" r:id="rId12"/>
    <sheet name="Vectibix" sheetId="6" r:id="rId13"/>
    <sheet name="Denosumab" sheetId="9" r:id="rId14"/>
    <sheet name="Denosumab trials" sheetId="50" r:id="rId15"/>
    <sheet name="Kineret" sheetId="63" r:id="rId16"/>
    <sheet name="706" sheetId="7" r:id="rId17"/>
    <sheet name="531" sheetId="8" r:id="rId18"/>
    <sheet name="108" sheetId="46" r:id="rId19"/>
    <sheet name="114" sheetId="15" r:id="rId20"/>
    <sheet name="223" sheetId="71" r:id="rId21"/>
    <sheet name="386" sheetId="51" r:id="rId22"/>
    <sheet name="479" sheetId="58" r:id="rId23"/>
    <sheet name="102" sheetId="55" r:id="rId24"/>
    <sheet name="655" sheetId="74" r:id="rId25"/>
    <sheet name="785" sheetId="70" r:id="rId26"/>
    <sheet name="811" sheetId="73" r:id="rId27"/>
    <sheet name="208" sheetId="72" r:id="rId28"/>
    <sheet name="714" sheetId="53" r:id="rId29"/>
    <sheet name="Failures" sheetId="10" r:id="rId30"/>
    <sheet name="Kepivance" sheetId="5" r:id="rId31"/>
  </sheets>
  <externalReferences>
    <externalReference r:id="rId32"/>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Model!$B$1:$CZ$49</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C35" i="27" l="1"/>
  <c r="EB35" i="27"/>
  <c r="EA35" i="27"/>
  <c r="DZ35" i="27"/>
  <c r="DY35" i="27"/>
  <c r="DX35" i="27"/>
  <c r="DW35" i="27"/>
  <c r="DV35" i="27"/>
  <c r="DU35" i="27"/>
  <c r="DT35" i="27"/>
  <c r="DS35" i="27"/>
  <c r="DR35" i="27"/>
  <c r="DQ35" i="27"/>
  <c r="DY34" i="27"/>
  <c r="DZ34" i="27" s="1"/>
  <c r="EA34" i="27" s="1"/>
  <c r="EB34" i="27" s="1"/>
  <c r="EC34" i="27" s="1"/>
  <c r="DX34" i="27"/>
  <c r="DW34" i="27"/>
  <c r="DV34" i="27"/>
  <c r="DU34" i="27"/>
  <c r="DT34" i="27"/>
  <c r="DS34" i="27"/>
  <c r="DR34" i="27"/>
  <c r="DP34" i="27"/>
  <c r="DT44" i="27"/>
  <c r="DS49" i="27"/>
  <c r="DT49" i="27" s="1"/>
  <c r="DU49" i="27" s="1"/>
  <c r="DV49" i="27" s="1"/>
  <c r="DW49" i="27" s="1"/>
  <c r="DX49" i="27" s="1"/>
  <c r="DY49" i="27" s="1"/>
  <c r="DZ49" i="27" s="1"/>
  <c r="EA49" i="27" s="1"/>
  <c r="EB49" i="27" s="1"/>
  <c r="EC49" i="27" s="1"/>
  <c r="DR49" i="27"/>
  <c r="DR41" i="27"/>
  <c r="DR42" i="27" s="1"/>
  <c r="DQ41" i="27"/>
  <c r="DP41" i="27"/>
  <c r="DO41" i="27"/>
  <c r="DN41" i="27"/>
  <c r="DP51" i="27"/>
  <c r="DO51" i="27"/>
  <c r="DN51" i="27"/>
  <c r="DQ42" i="27"/>
  <c r="DQ49" i="27"/>
  <c r="DP49" i="27"/>
  <c r="DT11" i="27"/>
  <c r="DU11" i="27" s="1"/>
  <c r="DV11" i="27" s="1"/>
  <c r="DW11" i="27" s="1"/>
  <c r="DX11" i="27" s="1"/>
  <c r="DY11" i="27" s="1"/>
  <c r="DZ11" i="27" s="1"/>
  <c r="EA11" i="27" s="1"/>
  <c r="EB11" i="27" s="1"/>
  <c r="EC11" i="27" s="1"/>
  <c r="DS11" i="27"/>
  <c r="DS10" i="27"/>
  <c r="DT10" i="27" s="1"/>
  <c r="DU10" i="27" s="1"/>
  <c r="DV10" i="27" s="1"/>
  <c r="DW10" i="27" s="1"/>
  <c r="DX10" i="27" s="1"/>
  <c r="DY10" i="27" s="1"/>
  <c r="DZ10" i="27" s="1"/>
  <c r="EA10" i="27" s="1"/>
  <c r="EB10" i="27" s="1"/>
  <c r="EC10" i="27" s="1"/>
  <c r="DR10" i="27"/>
  <c r="DY9" i="27"/>
  <c r="DZ9" i="27" s="1"/>
  <c r="EA9" i="27" s="1"/>
  <c r="EB9" i="27" s="1"/>
  <c r="EC9" i="27" s="1"/>
  <c r="DX9" i="27"/>
  <c r="DW9" i="27"/>
  <c r="DV9" i="27"/>
  <c r="DU9" i="27"/>
  <c r="DT9" i="27"/>
  <c r="DS9" i="27"/>
  <c r="DR9" i="27"/>
  <c r="DS36" i="27"/>
  <c r="DT36" i="27" s="1"/>
  <c r="DR36" i="27"/>
  <c r="DR37" i="27"/>
  <c r="DR39" i="27" s="1"/>
  <c r="DR33" i="27"/>
  <c r="DS33" i="27" s="1"/>
  <c r="DT33" i="27" s="1"/>
  <c r="DU33" i="27" s="1"/>
  <c r="DV33" i="27" s="1"/>
  <c r="DW33" i="27" s="1"/>
  <c r="DX33" i="27" s="1"/>
  <c r="DY33" i="27" s="1"/>
  <c r="DZ33" i="27" s="1"/>
  <c r="EA33" i="27" s="1"/>
  <c r="EB33" i="27" s="1"/>
  <c r="EC33" i="27" s="1"/>
  <c r="DR32" i="27"/>
  <c r="DS32" i="27" s="1"/>
  <c r="DT32" i="27" s="1"/>
  <c r="DU32" i="27" s="1"/>
  <c r="DV32" i="27" s="1"/>
  <c r="DW32" i="27" s="1"/>
  <c r="DX32" i="27" s="1"/>
  <c r="DY32" i="27" s="1"/>
  <c r="DZ32" i="27" s="1"/>
  <c r="EA32" i="27" s="1"/>
  <c r="EB32" i="27" s="1"/>
  <c r="EC32" i="27" s="1"/>
  <c r="DS31" i="27"/>
  <c r="DT31" i="27" s="1"/>
  <c r="DU31" i="27" s="1"/>
  <c r="DV31" i="27" s="1"/>
  <c r="DW31" i="27" s="1"/>
  <c r="DX31" i="27" s="1"/>
  <c r="DY31" i="27" s="1"/>
  <c r="DZ31" i="27" s="1"/>
  <c r="EA31" i="27" s="1"/>
  <c r="EB31" i="27" s="1"/>
  <c r="EC31" i="27" s="1"/>
  <c r="DR31" i="27"/>
  <c r="EC30" i="27"/>
  <c r="EB30" i="27"/>
  <c r="EA30" i="27"/>
  <c r="DZ30" i="27"/>
  <c r="DY30" i="27"/>
  <c r="DX30" i="27"/>
  <c r="DW30" i="27"/>
  <c r="DV30" i="27"/>
  <c r="DU30" i="27"/>
  <c r="DT30" i="27"/>
  <c r="DS30" i="27"/>
  <c r="DR30" i="27"/>
  <c r="EC29" i="27"/>
  <c r="EB29" i="27"/>
  <c r="EA29" i="27"/>
  <c r="DZ29" i="27"/>
  <c r="DY29" i="27"/>
  <c r="DX29" i="27"/>
  <c r="DW29" i="27"/>
  <c r="DV29" i="27"/>
  <c r="DU29" i="27"/>
  <c r="DT29" i="27"/>
  <c r="DS29" i="27"/>
  <c r="DR29" i="27"/>
  <c r="DX28" i="27"/>
  <c r="DY28" i="27" s="1"/>
  <c r="DZ28" i="27" s="1"/>
  <c r="EA28" i="27" s="1"/>
  <c r="EB28" i="27" s="1"/>
  <c r="EC28" i="27" s="1"/>
  <c r="DW28" i="27"/>
  <c r="DV28" i="27"/>
  <c r="DU28" i="27"/>
  <c r="DT28" i="27"/>
  <c r="DS28" i="27"/>
  <c r="DR28" i="27"/>
  <c r="EC27" i="27"/>
  <c r="EB27" i="27"/>
  <c r="EA27" i="27"/>
  <c r="DZ27" i="27"/>
  <c r="DY27" i="27"/>
  <c r="DX27" i="27"/>
  <c r="DW27" i="27"/>
  <c r="DV27" i="27"/>
  <c r="DU27" i="27"/>
  <c r="DT27" i="27"/>
  <c r="DS27" i="27"/>
  <c r="DR27" i="27"/>
  <c r="EC26" i="27"/>
  <c r="EB26" i="27"/>
  <c r="EA26" i="27"/>
  <c r="DZ26" i="27"/>
  <c r="DY26" i="27"/>
  <c r="DX26" i="27"/>
  <c r="DW26" i="27"/>
  <c r="DV26" i="27"/>
  <c r="DU26" i="27"/>
  <c r="DT26" i="27"/>
  <c r="DS26" i="27"/>
  <c r="DR26" i="27"/>
  <c r="CP26" i="27"/>
  <c r="CO26" i="27"/>
  <c r="CN26" i="27"/>
  <c r="CM26" i="27"/>
  <c r="EC25" i="27"/>
  <c r="EB25" i="27"/>
  <c r="EA25" i="27"/>
  <c r="DZ25" i="27"/>
  <c r="DY25" i="27"/>
  <c r="DX25" i="27"/>
  <c r="DW25" i="27"/>
  <c r="DV25" i="27"/>
  <c r="DU25" i="27"/>
  <c r="DT25" i="27"/>
  <c r="DS25" i="27"/>
  <c r="DR25" i="27"/>
  <c r="DS24" i="27"/>
  <c r="DT24" i="27" s="1"/>
  <c r="DU24" i="27" s="1"/>
  <c r="DV24" i="27" s="1"/>
  <c r="DW24" i="27" s="1"/>
  <c r="DX24" i="27" s="1"/>
  <c r="DY24" i="27" s="1"/>
  <c r="DZ24" i="27" s="1"/>
  <c r="EA24" i="27" s="1"/>
  <c r="EB24" i="27" s="1"/>
  <c r="EC24" i="27" s="1"/>
  <c r="DR24" i="27"/>
  <c r="DR23" i="27"/>
  <c r="DS23" i="27" s="1"/>
  <c r="DT23" i="27" s="1"/>
  <c r="DU23" i="27" s="1"/>
  <c r="DV23" i="27" s="1"/>
  <c r="DW23" i="27" s="1"/>
  <c r="DX23" i="27" s="1"/>
  <c r="DY23" i="27" s="1"/>
  <c r="DZ23" i="27" s="1"/>
  <c r="EA23" i="27" s="1"/>
  <c r="EB23" i="27" s="1"/>
  <c r="EC23" i="27" s="1"/>
  <c r="DS22" i="27"/>
  <c r="DT22" i="27" s="1"/>
  <c r="DU22" i="27" s="1"/>
  <c r="DV22" i="27" s="1"/>
  <c r="DW22" i="27" s="1"/>
  <c r="DX22" i="27" s="1"/>
  <c r="DY22" i="27" s="1"/>
  <c r="DZ22" i="27" s="1"/>
  <c r="EA22" i="27" s="1"/>
  <c r="EB22" i="27" s="1"/>
  <c r="EC22" i="27" s="1"/>
  <c r="DR22" i="27"/>
  <c r="EC21" i="27"/>
  <c r="EB21" i="27"/>
  <c r="EA21" i="27"/>
  <c r="DZ21" i="27"/>
  <c r="DY21" i="27"/>
  <c r="DX21" i="27"/>
  <c r="DW21" i="27"/>
  <c r="DV21" i="27"/>
  <c r="DS21" i="27"/>
  <c r="DT21" i="27" s="1"/>
  <c r="DU21" i="27" s="1"/>
  <c r="DR21" i="27"/>
  <c r="DY20" i="27"/>
  <c r="DZ20" i="27" s="1"/>
  <c r="EA20" i="27" s="1"/>
  <c r="EB20" i="27" s="1"/>
  <c r="EC20" i="27" s="1"/>
  <c r="DX20" i="27"/>
  <c r="DW20" i="27"/>
  <c r="DV20" i="27"/>
  <c r="DU20" i="27"/>
  <c r="DT20" i="27"/>
  <c r="DS20" i="27"/>
  <c r="DR20" i="27"/>
  <c r="EC19" i="27"/>
  <c r="EB19" i="27"/>
  <c r="EA19" i="27"/>
  <c r="DZ19" i="27"/>
  <c r="DY19" i="27"/>
  <c r="DX19" i="27"/>
  <c r="DW19" i="27"/>
  <c r="DV19" i="27"/>
  <c r="DU19" i="27"/>
  <c r="DT19" i="27"/>
  <c r="DS19" i="27"/>
  <c r="DR19" i="27"/>
  <c r="DS18" i="27"/>
  <c r="DT18" i="27" s="1"/>
  <c r="DU18" i="27" s="1"/>
  <c r="DV18" i="27" s="1"/>
  <c r="DW18" i="27" s="1"/>
  <c r="DX18" i="27" s="1"/>
  <c r="DY18" i="27" s="1"/>
  <c r="DZ18" i="27" s="1"/>
  <c r="EA18" i="27" s="1"/>
  <c r="EB18" i="27" s="1"/>
  <c r="EC18" i="27" s="1"/>
  <c r="DR18" i="27"/>
  <c r="DR17" i="27"/>
  <c r="DS17" i="27" s="1"/>
  <c r="DT17" i="27" s="1"/>
  <c r="DU17" i="27" s="1"/>
  <c r="DV17" i="27" s="1"/>
  <c r="DW17" i="27" s="1"/>
  <c r="DX17" i="27" s="1"/>
  <c r="DY17" i="27" s="1"/>
  <c r="DZ17" i="27" s="1"/>
  <c r="EA17" i="27" s="1"/>
  <c r="EB17" i="27" s="1"/>
  <c r="EC17" i="27" s="1"/>
  <c r="DS16" i="27"/>
  <c r="DT16" i="27" s="1"/>
  <c r="DU16" i="27" s="1"/>
  <c r="DV16" i="27" s="1"/>
  <c r="DW16" i="27" s="1"/>
  <c r="DX16" i="27" s="1"/>
  <c r="DY16" i="27" s="1"/>
  <c r="DZ16" i="27" s="1"/>
  <c r="EA16" i="27" s="1"/>
  <c r="EB16" i="27" s="1"/>
  <c r="EC16" i="27" s="1"/>
  <c r="DR16" i="27"/>
  <c r="DR8" i="27"/>
  <c r="DS8" i="27" s="1"/>
  <c r="DT8" i="27" s="1"/>
  <c r="DU8" i="27" s="1"/>
  <c r="DV8" i="27" s="1"/>
  <c r="DW8" i="27" s="1"/>
  <c r="DX8" i="27" s="1"/>
  <c r="DY8" i="27" s="1"/>
  <c r="DZ8" i="27" s="1"/>
  <c r="EA8" i="27" s="1"/>
  <c r="EB8" i="27" s="1"/>
  <c r="EC8" i="27" s="1"/>
  <c r="DS7" i="27"/>
  <c r="DT7" i="27" s="1"/>
  <c r="DU7" i="27" s="1"/>
  <c r="DV7" i="27" s="1"/>
  <c r="DW7" i="27" s="1"/>
  <c r="DX7" i="27" s="1"/>
  <c r="DY7" i="27" s="1"/>
  <c r="DZ7" i="27" s="1"/>
  <c r="EA7" i="27" s="1"/>
  <c r="EB7" i="27" s="1"/>
  <c r="EC7" i="27" s="1"/>
  <c r="DR7" i="27"/>
  <c r="DR6" i="27"/>
  <c r="DS6" i="27" s="1"/>
  <c r="DT6" i="27" s="1"/>
  <c r="DU6" i="27" s="1"/>
  <c r="DV6" i="27" s="1"/>
  <c r="DW6" i="27" s="1"/>
  <c r="DX6" i="27" s="1"/>
  <c r="DY6" i="27" s="1"/>
  <c r="DZ6" i="27" s="1"/>
  <c r="EA6" i="27" s="1"/>
  <c r="EB6" i="27" s="1"/>
  <c r="EC6" i="27" s="1"/>
  <c r="DR4" i="27"/>
  <c r="DS4" i="27" s="1"/>
  <c r="DT4" i="27" s="1"/>
  <c r="DU4" i="27" s="1"/>
  <c r="DV4" i="27" s="1"/>
  <c r="DW4" i="27" s="1"/>
  <c r="DX4" i="27" s="1"/>
  <c r="DY4" i="27" s="1"/>
  <c r="DZ4" i="27" s="1"/>
  <c r="EA4" i="27" s="1"/>
  <c r="EB4" i="27" s="1"/>
  <c r="EC4" i="27" s="1"/>
  <c r="EC3" i="27"/>
  <c r="EB3" i="27"/>
  <c r="EA3" i="27"/>
  <c r="DZ3" i="27"/>
  <c r="DY3" i="27"/>
  <c r="DX3" i="27"/>
  <c r="DW3" i="27"/>
  <c r="DV3" i="27"/>
  <c r="DU3" i="27"/>
  <c r="DT3" i="27"/>
  <c r="DS3" i="27"/>
  <c r="DR3" i="27"/>
  <c r="EC2" i="27"/>
  <c r="DW2" i="27"/>
  <c r="DX2" i="27" s="1"/>
  <c r="DY2" i="27" s="1"/>
  <c r="DZ2" i="27" s="1"/>
  <c r="EA2" i="27" s="1"/>
  <c r="EB2" i="27" s="1"/>
  <c r="DV2" i="27"/>
  <c r="DP46" i="27"/>
  <c r="DP44" i="27"/>
  <c r="DP42" i="27"/>
  <c r="DP40" i="27"/>
  <c r="DP38" i="27"/>
  <c r="DQ36" i="27"/>
  <c r="DP35" i="27"/>
  <c r="DQ33" i="27"/>
  <c r="DQ32" i="27"/>
  <c r="DQ31" i="27"/>
  <c r="DQ30" i="27"/>
  <c r="DQ29" i="27"/>
  <c r="DQ28" i="27"/>
  <c r="DQ27" i="27"/>
  <c r="DQ25" i="27"/>
  <c r="DQ24" i="27"/>
  <c r="DQ23" i="27"/>
  <c r="DQ22" i="27"/>
  <c r="DQ21" i="27"/>
  <c r="DQ20" i="27"/>
  <c r="DQ19" i="27"/>
  <c r="DQ18" i="27"/>
  <c r="DQ17" i="27"/>
  <c r="DQ16" i="27"/>
  <c r="DQ8" i="27"/>
  <c r="DQ7" i="27"/>
  <c r="DQ6" i="27"/>
  <c r="DQ4" i="27"/>
  <c r="DP33" i="27"/>
  <c r="DP32" i="27"/>
  <c r="DP31" i="27"/>
  <c r="DP30" i="27"/>
  <c r="DP29" i="27"/>
  <c r="DP28" i="27"/>
  <c r="DP27" i="27"/>
  <c r="DP26" i="27"/>
  <c r="DP25" i="27"/>
  <c r="DP24" i="27"/>
  <c r="DP23" i="27"/>
  <c r="DP22" i="27"/>
  <c r="DP21" i="27"/>
  <c r="DP20" i="27"/>
  <c r="DP19" i="27"/>
  <c r="DP18" i="27"/>
  <c r="DP17" i="27"/>
  <c r="DP16" i="27"/>
  <c r="DP8" i="27"/>
  <c r="DP7" i="27"/>
  <c r="DP6" i="27"/>
  <c r="DP4" i="27"/>
  <c r="DP36" i="27"/>
  <c r="DO36" i="27"/>
  <c r="DO33" i="27"/>
  <c r="DO32" i="27"/>
  <c r="DO31" i="27"/>
  <c r="DO30" i="27"/>
  <c r="DO29" i="27"/>
  <c r="DO28" i="27"/>
  <c r="DO27" i="27"/>
  <c r="DO26" i="27"/>
  <c r="DO25" i="27"/>
  <c r="DO24" i="27"/>
  <c r="DO23" i="27"/>
  <c r="DO22" i="27"/>
  <c r="DO21" i="27"/>
  <c r="DO20" i="27"/>
  <c r="DO19" i="27"/>
  <c r="DO18" i="27"/>
  <c r="DO17" i="27"/>
  <c r="DO16" i="27"/>
  <c r="DO8" i="27"/>
  <c r="DO7" i="27"/>
  <c r="DO6" i="27"/>
  <c r="DO4" i="27"/>
  <c r="DN36" i="27"/>
  <c r="DN33" i="27"/>
  <c r="DN32" i="27"/>
  <c r="DN31" i="27"/>
  <c r="DN30" i="27"/>
  <c r="DN29" i="27"/>
  <c r="DN28" i="27"/>
  <c r="DN27" i="27"/>
  <c r="DN26" i="27"/>
  <c r="DN25" i="27"/>
  <c r="DN24" i="27"/>
  <c r="DN23" i="27"/>
  <c r="DN22" i="27"/>
  <c r="DN21" i="27"/>
  <c r="DN20" i="27"/>
  <c r="DN19" i="27"/>
  <c r="DN18" i="27"/>
  <c r="DN17" i="27"/>
  <c r="DN16" i="27"/>
  <c r="DN8" i="27"/>
  <c r="DN7" i="27"/>
  <c r="DN6" i="27"/>
  <c r="DN4" i="27"/>
  <c r="DM36" i="27"/>
  <c r="DM35" i="27"/>
  <c r="DM33" i="27"/>
  <c r="DM32" i="27"/>
  <c r="DM31" i="27"/>
  <c r="DM30" i="27"/>
  <c r="DM29" i="27"/>
  <c r="DM28" i="27"/>
  <c r="DM27" i="27"/>
  <c r="DM26" i="27"/>
  <c r="DM25" i="27"/>
  <c r="DM24" i="27"/>
  <c r="DM23" i="27"/>
  <c r="DM22" i="27"/>
  <c r="DM21" i="27"/>
  <c r="DM20" i="27"/>
  <c r="DM19" i="27"/>
  <c r="DM18" i="27"/>
  <c r="DM17" i="27"/>
  <c r="DM16" i="27"/>
  <c r="DM8" i="27"/>
  <c r="DM7" i="27"/>
  <c r="DM6" i="27"/>
  <c r="DM4" i="27"/>
  <c r="DQ3" i="27"/>
  <c r="DP3" i="27"/>
  <c r="DO3" i="27"/>
  <c r="DN3" i="27"/>
  <c r="DM3" i="27"/>
  <c r="BV56" i="27"/>
  <c r="BV55" i="27"/>
  <c r="BV54" i="27"/>
  <c r="BV53" i="27"/>
  <c r="BV52" i="27"/>
  <c r="BV51" i="27"/>
  <c r="BZ56" i="27"/>
  <c r="BZ55" i="27"/>
  <c r="BZ54" i="27"/>
  <c r="BZ53" i="27"/>
  <c r="BZ52" i="27"/>
  <c r="BZ51" i="27"/>
  <c r="BV47" i="27"/>
  <c r="BV45" i="27"/>
  <c r="BV44" i="27"/>
  <c r="BV48" i="27"/>
  <c r="BZ44" i="27"/>
  <c r="BV42" i="27"/>
  <c r="BV37" i="27"/>
  <c r="BV39" i="27" s="1"/>
  <c r="BW44" i="27"/>
  <c r="BW54" i="27"/>
  <c r="BW53" i="27"/>
  <c r="BW52" i="27"/>
  <c r="BW51" i="27"/>
  <c r="BX56" i="27"/>
  <c r="BX55" i="27"/>
  <c r="BX54" i="27"/>
  <c r="BX53" i="27"/>
  <c r="BX52" i="27"/>
  <c r="BX51" i="27"/>
  <c r="CE58" i="27"/>
  <c r="CA56" i="27"/>
  <c r="CA54" i="27"/>
  <c r="CA53" i="27"/>
  <c r="CA52" i="27"/>
  <c r="CA51" i="27"/>
  <c r="CA44" i="27"/>
  <c r="BW42" i="27"/>
  <c r="BW37" i="27"/>
  <c r="BW39" i="27" s="1"/>
  <c r="CK44" i="27"/>
  <c r="CL44" i="27"/>
  <c r="CL37" i="27"/>
  <c r="CL39" i="27" s="1"/>
  <c r="CL43" i="27" s="1"/>
  <c r="BX44" i="27"/>
  <c r="CB42" i="27"/>
  <c r="CA42" i="27"/>
  <c r="BZ42" i="27"/>
  <c r="BY42" i="27"/>
  <c r="BX42" i="27"/>
  <c r="CB37" i="27"/>
  <c r="CB39" i="27" s="1"/>
  <c r="CB51" i="27" s="1"/>
  <c r="CA37" i="27"/>
  <c r="CA39" i="27" s="1"/>
  <c r="BZ37" i="27"/>
  <c r="BZ39" i="27" s="1"/>
  <c r="BY37" i="27"/>
  <c r="BY39" i="27" s="1"/>
  <c r="BX37" i="27"/>
  <c r="BX39" i="27" s="1"/>
  <c r="CL67" i="27"/>
  <c r="CK67" i="27"/>
  <c r="CI67" i="27"/>
  <c r="CH67" i="27"/>
  <c r="CG67" i="27"/>
  <c r="CJ67" i="27"/>
  <c r="CF44" i="27"/>
  <c r="CJ44" i="27"/>
  <c r="CM44" i="27" s="1"/>
  <c r="CN41" i="27"/>
  <c r="CM41" i="27"/>
  <c r="CP41" i="27"/>
  <c r="CO41" i="27"/>
  <c r="CN40" i="27"/>
  <c r="CM40" i="27"/>
  <c r="CP40" i="27"/>
  <c r="CO40" i="27"/>
  <c r="CM49" i="27"/>
  <c r="CK42" i="27"/>
  <c r="CO21" i="27"/>
  <c r="CN21" i="27"/>
  <c r="CM21" i="27"/>
  <c r="CP21" i="27"/>
  <c r="CN20" i="27"/>
  <c r="CN67" i="27" s="1"/>
  <c r="CM20" i="27"/>
  <c r="CM67" i="27" s="1"/>
  <c r="CP20" i="27"/>
  <c r="CP67" i="27" s="1"/>
  <c r="CO20" i="27"/>
  <c r="CO67" i="27" s="1"/>
  <c r="CN32" i="27"/>
  <c r="CM32" i="27"/>
  <c r="CP32" i="27"/>
  <c r="CO32" i="27"/>
  <c r="CO31" i="27"/>
  <c r="CN31" i="27"/>
  <c r="CM31" i="27"/>
  <c r="CP31" i="27"/>
  <c r="CN30" i="27"/>
  <c r="CM30" i="27"/>
  <c r="CP30" i="27"/>
  <c r="CO30" i="27"/>
  <c r="CN29" i="27"/>
  <c r="CM29" i="27"/>
  <c r="CP29" i="27"/>
  <c r="CO29" i="27"/>
  <c r="CO28" i="27"/>
  <c r="CN28" i="27"/>
  <c r="CM28" i="27"/>
  <c r="CP28" i="27"/>
  <c r="CM27" i="27"/>
  <c r="CN27" i="27" s="1"/>
  <c r="CO27" i="27" s="1"/>
  <c r="CP27" i="27" s="1"/>
  <c r="CM25" i="27"/>
  <c r="CN25" i="27" s="1"/>
  <c r="CO25" i="27" s="1"/>
  <c r="CP25" i="27" s="1"/>
  <c r="CO24" i="27"/>
  <c r="CN24" i="27"/>
  <c r="CM24" i="27"/>
  <c r="CP24" i="27"/>
  <c r="CO23" i="27"/>
  <c r="CN23" i="27"/>
  <c r="CM23" i="27"/>
  <c r="CP23" i="27"/>
  <c r="CM22" i="27"/>
  <c r="CN22" i="27" s="1"/>
  <c r="CO22" i="27" s="1"/>
  <c r="CP22" i="27" s="1"/>
  <c r="CO18" i="27"/>
  <c r="CN18" i="27"/>
  <c r="CM18" i="27"/>
  <c r="CP18" i="27"/>
  <c r="CN17" i="27"/>
  <c r="CM17" i="27"/>
  <c r="CP17" i="27"/>
  <c r="CO17" i="27"/>
  <c r="CN16" i="27"/>
  <c r="CM16" i="27"/>
  <c r="CP16" i="27"/>
  <c r="CO16" i="27"/>
  <c r="CN3" i="27"/>
  <c r="CM3" i="27"/>
  <c r="CP3" i="27"/>
  <c r="CO3" i="27"/>
  <c r="CN4" i="27"/>
  <c r="CM4" i="27"/>
  <c r="CP4" i="27"/>
  <c r="CO4" i="27"/>
  <c r="CO8" i="27"/>
  <c r="CN8" i="27"/>
  <c r="CM8" i="27"/>
  <c r="CP8" i="27"/>
  <c r="CN7" i="27"/>
  <c r="CM7" i="27"/>
  <c r="CP7" i="27"/>
  <c r="CO7" i="27"/>
  <c r="CN6" i="27"/>
  <c r="CM6" i="27"/>
  <c r="CP6" i="27"/>
  <c r="CO6" i="27"/>
  <c r="CL65" i="27"/>
  <c r="CK65" i="27"/>
  <c r="CO19" i="27"/>
  <c r="CO65" i="27" s="1"/>
  <c r="CN19" i="27"/>
  <c r="CN65" i="27" s="1"/>
  <c r="CM19" i="27"/>
  <c r="CM65" i="27" s="1"/>
  <c r="CP19" i="27"/>
  <c r="CP65" i="27" s="1"/>
  <c r="CI65" i="27"/>
  <c r="CH65" i="27"/>
  <c r="CG65" i="27"/>
  <c r="CJ65" i="27"/>
  <c r="CJ42" i="27"/>
  <c r="CJ37" i="27"/>
  <c r="CJ39" i="27" s="1"/>
  <c r="CJ51" i="27" s="1"/>
  <c r="CC42" i="27"/>
  <c r="CC37" i="27"/>
  <c r="CC39" i="27" s="1"/>
  <c r="CC51" i="27" s="1"/>
  <c r="DM42" i="27"/>
  <c r="DM43" i="27" s="1"/>
  <c r="DL42" i="27"/>
  <c r="DL43" i="27" s="1"/>
  <c r="DO42" i="27"/>
  <c r="DN42" i="27"/>
  <c r="CD42" i="27"/>
  <c r="CD37" i="27"/>
  <c r="CD39" i="27" s="1"/>
  <c r="CD51" i="27" s="1"/>
  <c r="DR43" i="27" l="1"/>
  <c r="DR45" i="27" s="1"/>
  <c r="DS41" i="27"/>
  <c r="DS37" i="27"/>
  <c r="DS39" i="27" s="1"/>
  <c r="DU36" i="27"/>
  <c r="DV36" i="27" s="1"/>
  <c r="DW36" i="27" s="1"/>
  <c r="DX36" i="27" s="1"/>
  <c r="DY36" i="27" s="1"/>
  <c r="DZ36" i="27" s="1"/>
  <c r="EA36" i="27" s="1"/>
  <c r="EB36" i="27" s="1"/>
  <c r="EC36" i="27" s="1"/>
  <c r="DQ26" i="27"/>
  <c r="DQ37" i="27" s="1"/>
  <c r="DQ39" i="27" s="1"/>
  <c r="DQ51" i="27" s="1"/>
  <c r="DP37" i="27"/>
  <c r="DP39" i="27" s="1"/>
  <c r="DP43" i="27" s="1"/>
  <c r="DP45" i="27" s="1"/>
  <c r="DP47" i="27" s="1"/>
  <c r="DP48" i="27" s="1"/>
  <c r="DO35" i="27"/>
  <c r="DO37" i="27" s="1"/>
  <c r="DO39" i="27" s="1"/>
  <c r="DO43" i="27" s="1"/>
  <c r="DN35" i="27"/>
  <c r="DN37" i="27" s="1"/>
  <c r="DN39" i="27" s="1"/>
  <c r="DN43" i="27" s="1"/>
  <c r="BV43" i="27"/>
  <c r="BW43" i="27"/>
  <c r="BW45" i="27" s="1"/>
  <c r="CM42" i="27"/>
  <c r="CJ52" i="27"/>
  <c r="CN42" i="27"/>
  <c r="CP42" i="27"/>
  <c r="CL42" i="27"/>
  <c r="CJ53" i="27"/>
  <c r="CB52" i="27"/>
  <c r="CB53" i="27"/>
  <c r="CO42" i="27"/>
  <c r="BY43" i="27"/>
  <c r="BY45" i="27" s="1"/>
  <c r="BY47" i="27" s="1"/>
  <c r="BY48" i="27" s="1"/>
  <c r="BZ43" i="27"/>
  <c r="BZ45" i="27" s="1"/>
  <c r="BZ47" i="27" s="1"/>
  <c r="BZ48" i="27" s="1"/>
  <c r="CA43" i="27"/>
  <c r="CA45" i="27" s="1"/>
  <c r="CA47" i="27" s="1"/>
  <c r="BX43" i="27"/>
  <c r="BX45" i="27" s="1"/>
  <c r="BX47" i="27" s="1"/>
  <c r="BX48" i="27" s="1"/>
  <c r="CB43" i="27"/>
  <c r="CN44" i="27"/>
  <c r="CN49" i="27"/>
  <c r="CK37" i="27"/>
  <c r="CK39" i="27" s="1"/>
  <c r="CM36" i="27"/>
  <c r="CN36" i="27" s="1"/>
  <c r="CJ43" i="27"/>
  <c r="CC52" i="27"/>
  <c r="CC53" i="27"/>
  <c r="CC43" i="27"/>
  <c r="CD52" i="27"/>
  <c r="CD53" i="27"/>
  <c r="CD43" i="27"/>
  <c r="DR46" i="27" l="1"/>
  <c r="DR47" i="27"/>
  <c r="DR48" i="27" s="1"/>
  <c r="DQ43" i="27"/>
  <c r="DQ45" i="27" s="1"/>
  <c r="DS42" i="27"/>
  <c r="DS43" i="27" s="1"/>
  <c r="DS45" i="27" s="1"/>
  <c r="DT41" i="27"/>
  <c r="DT37" i="27"/>
  <c r="DT39" i="27" s="1"/>
  <c r="BW47" i="27"/>
  <c r="BW56" i="27"/>
  <c r="BW48" i="27"/>
  <c r="BW55" i="27"/>
  <c r="CA48" i="27"/>
  <c r="CA55" i="27"/>
  <c r="CB54" i="27"/>
  <c r="CB45" i="27"/>
  <c r="DO54" i="27"/>
  <c r="DO45" i="27"/>
  <c r="DN54" i="27"/>
  <c r="DN45" i="27"/>
  <c r="DN47" i="27" s="1"/>
  <c r="CK52" i="27"/>
  <c r="CK43" i="27"/>
  <c r="CK45" i="27" s="1"/>
  <c r="CO44" i="27"/>
  <c r="CO49" i="27"/>
  <c r="CK53" i="27"/>
  <c r="CM33" i="27"/>
  <c r="CN33" i="27" s="1"/>
  <c r="CO36" i="27"/>
  <c r="CJ54" i="27"/>
  <c r="CJ45" i="27"/>
  <c r="CC45" i="27"/>
  <c r="CC54" i="27"/>
  <c r="CD54" i="27"/>
  <c r="CD45" i="27"/>
  <c r="DS46" i="27" l="1"/>
  <c r="DS47" i="27" s="1"/>
  <c r="DS48" i="27" s="1"/>
  <c r="DQ46" i="27"/>
  <c r="DQ47" i="27" s="1"/>
  <c r="DQ48" i="27" s="1"/>
  <c r="DT42" i="27"/>
  <c r="DT43" i="27" s="1"/>
  <c r="DU41" i="27"/>
  <c r="DU37" i="27"/>
  <c r="DU39" i="27" s="1"/>
  <c r="DO47" i="27"/>
  <c r="DO55" i="27" s="1"/>
  <c r="DN48" i="27"/>
  <c r="DN55" i="27"/>
  <c r="CB56" i="27"/>
  <c r="CB47" i="27"/>
  <c r="CM37" i="27"/>
  <c r="CM39" i="27" s="1"/>
  <c r="CM43" i="27" s="1"/>
  <c r="CM45" i="27" s="1"/>
  <c r="CM46" i="27" s="1"/>
  <c r="CM56" i="27" s="1"/>
  <c r="CK51" i="27"/>
  <c r="CK54" i="27"/>
  <c r="CL45" i="27"/>
  <c r="CK56" i="27"/>
  <c r="CP44" i="27"/>
  <c r="CP49" i="27"/>
  <c r="CL52" i="27"/>
  <c r="CL53" i="27"/>
  <c r="CN37" i="27"/>
  <c r="CO33" i="27"/>
  <c r="CO37" i="27" s="1"/>
  <c r="CP36" i="27"/>
  <c r="CJ56" i="27"/>
  <c r="CJ47" i="27"/>
  <c r="CC56" i="27"/>
  <c r="CC47" i="27"/>
  <c r="CD47" i="27"/>
  <c r="CD56" i="27"/>
  <c r="DU42" i="27" l="1"/>
  <c r="DU43" i="27" s="1"/>
  <c r="DV41" i="27"/>
  <c r="DV37" i="27"/>
  <c r="DV39" i="27" s="1"/>
  <c r="CM52" i="27"/>
  <c r="CB55" i="27"/>
  <c r="CB48" i="27"/>
  <c r="CM53" i="27"/>
  <c r="CP33" i="27"/>
  <c r="CP37" i="27"/>
  <c r="CM51" i="27"/>
  <c r="CL54" i="27"/>
  <c r="CL51" i="27"/>
  <c r="CM54" i="27"/>
  <c r="CM47" i="27"/>
  <c r="CK47" i="27"/>
  <c r="CK55" i="27" s="1"/>
  <c r="CN39" i="27"/>
  <c r="CN43" i="27" s="1"/>
  <c r="CN45" i="27" s="1"/>
  <c r="CN46" i="27" s="1"/>
  <c r="CN56" i="27" s="1"/>
  <c r="CM38" i="27"/>
  <c r="CP39" i="27"/>
  <c r="CP43" i="27" s="1"/>
  <c r="CP45" i="27" s="1"/>
  <c r="CP46" i="27" s="1"/>
  <c r="CP56" i="27" s="1"/>
  <c r="CL56" i="27"/>
  <c r="CO39" i="27"/>
  <c r="CO43" i="27" s="1"/>
  <c r="CO45" i="27" s="1"/>
  <c r="CO46" i="27" s="1"/>
  <c r="CO56" i="27" s="1"/>
  <c r="CP53" i="27"/>
  <c r="CP58" i="27"/>
  <c r="CP52" i="27"/>
  <c r="CN53" i="27"/>
  <c r="CN52" i="27"/>
  <c r="CN58" i="27"/>
  <c r="CO52" i="27"/>
  <c r="CO53" i="27"/>
  <c r="CO58" i="27"/>
  <c r="CJ48" i="27"/>
  <c r="CJ55" i="27"/>
  <c r="CC55" i="27"/>
  <c r="CC48" i="27"/>
  <c r="CD55" i="27"/>
  <c r="CD48" i="27"/>
  <c r="DW41" i="27" l="1"/>
  <c r="DV42" i="27"/>
  <c r="DV43" i="27" s="1"/>
  <c r="DW37" i="27"/>
  <c r="DW39" i="27" s="1"/>
  <c r="CN54" i="27"/>
  <c r="CK48" i="27"/>
  <c r="CN47" i="27"/>
  <c r="CN48" i="27" s="1"/>
  <c r="CN38" i="27"/>
  <c r="CL47" i="27"/>
  <c r="CL55" i="27" s="1"/>
  <c r="CP54" i="27"/>
  <c r="CP51" i="27"/>
  <c r="CM48" i="27"/>
  <c r="CM55" i="27"/>
  <c r="CN51" i="27"/>
  <c r="CP38" i="27"/>
  <c r="CO38" i="27"/>
  <c r="CO54" i="27"/>
  <c r="CL48" i="27"/>
  <c r="CO51" i="27"/>
  <c r="CP47" i="27"/>
  <c r="CP48" i="27" s="1"/>
  <c r="CO47" i="27"/>
  <c r="CH42" i="27"/>
  <c r="CG42" i="27"/>
  <c r="CF42" i="27"/>
  <c r="CE42" i="27"/>
  <c r="CI42" i="27"/>
  <c r="CI37" i="27"/>
  <c r="CM58" i="27" s="1"/>
  <c r="CH37" i="27"/>
  <c r="CL58" i="27" s="1"/>
  <c r="CG37" i="27"/>
  <c r="CF37" i="27"/>
  <c r="CE37" i="27"/>
  <c r="BD44" i="27"/>
  <c r="BD42" i="27"/>
  <c r="BD5" i="27"/>
  <c r="BD35" i="27" s="1"/>
  <c r="BD37" i="27" s="1"/>
  <c r="BD39" i="27" s="1"/>
  <c r="BC5" i="27"/>
  <c r="BC35" i="27" s="1"/>
  <c r="BB5" i="27"/>
  <c r="BB35" i="27" s="1"/>
  <c r="BA5" i="27"/>
  <c r="BA35" i="27" s="1"/>
  <c r="AZ5" i="27"/>
  <c r="AZ35" i="27" s="1"/>
  <c r="AY5" i="27"/>
  <c r="AY35" i="27" s="1"/>
  <c r="AV67" i="27"/>
  <c r="AV70" i="27"/>
  <c r="AU70" i="27"/>
  <c r="AV69" i="27"/>
  <c r="AU69" i="27"/>
  <c r="AV61" i="27"/>
  <c r="AV44" i="27"/>
  <c r="AV42" i="27"/>
  <c r="AV36" i="27"/>
  <c r="AW36" i="27" s="1"/>
  <c r="AX36" i="27" s="1"/>
  <c r="AV35" i="27"/>
  <c r="AV37" i="27" s="1"/>
  <c r="AV5" i="27"/>
  <c r="AW16" i="27"/>
  <c r="AX16" i="27" s="1"/>
  <c r="AW18" i="27"/>
  <c r="AX18" i="27" s="1"/>
  <c r="AW19" i="27"/>
  <c r="AX19" i="27" s="1"/>
  <c r="AW20" i="27"/>
  <c r="AX20" i="27" s="1"/>
  <c r="AW29" i="27"/>
  <c r="AX29" i="27" s="1"/>
  <c r="AU3" i="27"/>
  <c r="AS49" i="27"/>
  <c r="AS41" i="27"/>
  <c r="AS42" i="27" s="1"/>
  <c r="AR61" i="27"/>
  <c r="AR44" i="27"/>
  <c r="AR42" i="27"/>
  <c r="AR36" i="27"/>
  <c r="AR29" i="27"/>
  <c r="AS29" i="27" s="1"/>
  <c r="AT29" i="27" s="1"/>
  <c r="AR19" i="27"/>
  <c r="AV65" i="27" s="1"/>
  <c r="AR18" i="27"/>
  <c r="AS18" i="27" s="1"/>
  <c r="AT18" i="27" s="1"/>
  <c r="AR16" i="27"/>
  <c r="AV68" i="27" s="1"/>
  <c r="AR8" i="27"/>
  <c r="AR7" i="27"/>
  <c r="AV62" i="27" s="1"/>
  <c r="AR6" i="27"/>
  <c r="AR4" i="27"/>
  <c r="AV60" i="27" s="1"/>
  <c r="AQ44" i="27"/>
  <c r="AQ42" i="27"/>
  <c r="AQ19" i="27"/>
  <c r="AQ29" i="27"/>
  <c r="AQ18" i="27"/>
  <c r="AQ16" i="27"/>
  <c r="AQ8" i="27"/>
  <c r="AU8" i="27" s="1"/>
  <c r="AQ7" i="27"/>
  <c r="AU7" i="27" s="1"/>
  <c r="AU62" i="27" s="1"/>
  <c r="AQ6" i="27"/>
  <c r="AU6" i="27" s="1"/>
  <c r="AQ4" i="27"/>
  <c r="AU4" i="27" s="1"/>
  <c r="AU60" i="27" s="1"/>
  <c r="AT40" i="27"/>
  <c r="AT69" i="27" s="1"/>
  <c r="DD49" i="27"/>
  <c r="DD46" i="27"/>
  <c r="DD41" i="27"/>
  <c r="DD40" i="27"/>
  <c r="DD38" i="27"/>
  <c r="DD36" i="27"/>
  <c r="AQ70" i="27"/>
  <c r="AP70" i="27"/>
  <c r="AO70" i="27"/>
  <c r="AS69" i="27"/>
  <c r="AR69" i="27"/>
  <c r="AQ69" i="27"/>
  <c r="AP69" i="27"/>
  <c r="AO69" i="27"/>
  <c r="AS20" i="27"/>
  <c r="AT20" i="27" s="1"/>
  <c r="AU20" i="27" s="1"/>
  <c r="AU67" i="27" s="1"/>
  <c r="AT49" i="27"/>
  <c r="DE49" i="27" s="1"/>
  <c r="DF49" i="27" s="1"/>
  <c r="DG49" i="27" s="1"/>
  <c r="DH49" i="27" s="1"/>
  <c r="DI49" i="27" s="1"/>
  <c r="DJ49" i="27" s="1"/>
  <c r="DK49" i="27" s="1"/>
  <c r="DL49" i="27" s="1"/>
  <c r="AT41" i="27"/>
  <c r="AR70" i="27"/>
  <c r="AP42" i="27"/>
  <c r="AP64" i="27"/>
  <c r="AP61" i="27"/>
  <c r="AT3" i="27"/>
  <c r="AT61" i="27" s="1"/>
  <c r="AS3" i="27"/>
  <c r="AW3" i="27" s="1"/>
  <c r="AQ61" i="27"/>
  <c r="AP29" i="27"/>
  <c r="AP19" i="27"/>
  <c r="DD19" i="27" s="1"/>
  <c r="AP18" i="27"/>
  <c r="AP16" i="27"/>
  <c r="AP8" i="27"/>
  <c r="AT8" i="27" s="1"/>
  <c r="AP7" i="27"/>
  <c r="AT7" i="27" s="1"/>
  <c r="AX7" i="27" s="1"/>
  <c r="AP6" i="27"/>
  <c r="AT6" i="27" s="1"/>
  <c r="AX6" i="27" s="1"/>
  <c r="AP4" i="27"/>
  <c r="AP5" i="27" s="1"/>
  <c r="AO64" i="27"/>
  <c r="AO61" i="27"/>
  <c r="AO44" i="27"/>
  <c r="AO42" i="27"/>
  <c r="AO29" i="27"/>
  <c r="AO18" i="27"/>
  <c r="AO16" i="27"/>
  <c r="AO8" i="27"/>
  <c r="AS8" i="27" s="1"/>
  <c r="AW8" i="27" s="1"/>
  <c r="AO7" i="27"/>
  <c r="AS7" i="27" s="1"/>
  <c r="AO6" i="27"/>
  <c r="DD3" i="27"/>
  <c r="AO4" i="27"/>
  <c r="AO5" i="27" s="1"/>
  <c r="AN70" i="27"/>
  <c r="AN69" i="27"/>
  <c r="AN64" i="27"/>
  <c r="AN61" i="27"/>
  <c r="AN44" i="27"/>
  <c r="AN18" i="27"/>
  <c r="AN29" i="27"/>
  <c r="AN16" i="27"/>
  <c r="AN8" i="27"/>
  <c r="AN7" i="27"/>
  <c r="AN6" i="27"/>
  <c r="AN4" i="27"/>
  <c r="AN5" i="27" s="1"/>
  <c r="CW7" i="27"/>
  <c r="AM102" i="27"/>
  <c r="AM107" i="27" s="1"/>
  <c r="AM109" i="27" s="1"/>
  <c r="AM95" i="27"/>
  <c r="AM93" i="27"/>
  <c r="DC3" i="27"/>
  <c r="AN42" i="27"/>
  <c r="DC41" i="27"/>
  <c r="DC40" i="27"/>
  <c r="DC36" i="27"/>
  <c r="AM70" i="27"/>
  <c r="AM69" i="27"/>
  <c r="AM64" i="27"/>
  <c r="AM61" i="27"/>
  <c r="AL44" i="27"/>
  <c r="AL18" i="27"/>
  <c r="AL16" i="27"/>
  <c r="AL15" i="27"/>
  <c r="AL8" i="27"/>
  <c r="AL7" i="27"/>
  <c r="AL6" i="27"/>
  <c r="AL4" i="27"/>
  <c r="AL5" i="27" s="1"/>
  <c r="AM44" i="27"/>
  <c r="AM42" i="27"/>
  <c r="AM29" i="27"/>
  <c r="AM18" i="27"/>
  <c r="AM16" i="27"/>
  <c r="AM8" i="27"/>
  <c r="AM7" i="27"/>
  <c r="AM6" i="27"/>
  <c r="AM4" i="27"/>
  <c r="AK44" i="27"/>
  <c r="AK18" i="27"/>
  <c r="AK16" i="27"/>
  <c r="AK15" i="27"/>
  <c r="AK8" i="27"/>
  <c r="AK7" i="27"/>
  <c r="AK6" i="27"/>
  <c r="AK4" i="27"/>
  <c r="AK5" i="27" s="1"/>
  <c r="AJ44" i="27"/>
  <c r="AJ15" i="27"/>
  <c r="AJ18" i="27"/>
  <c r="AJ16" i="27"/>
  <c r="AJ8" i="27"/>
  <c r="AJ7" i="27"/>
  <c r="AJ6" i="27"/>
  <c r="AJ4" i="27"/>
  <c r="AJ5" i="27" s="1"/>
  <c r="DB3" i="27"/>
  <c r="AJ64" i="27"/>
  <c r="AK64" i="27"/>
  <c r="AL64" i="27"/>
  <c r="AJ70" i="27"/>
  <c r="AJ42" i="27"/>
  <c r="AI70" i="27"/>
  <c r="AH70" i="27"/>
  <c r="AG70" i="27"/>
  <c r="AF70" i="27"/>
  <c r="AE70" i="27"/>
  <c r="AI69" i="27"/>
  <c r="AH69" i="27"/>
  <c r="AG69" i="27"/>
  <c r="AF69" i="27"/>
  <c r="AE69" i="27"/>
  <c r="AH15" i="27"/>
  <c r="AH18" i="27"/>
  <c r="AH16" i="27"/>
  <c r="AH8" i="27"/>
  <c r="AH7" i="27"/>
  <c r="AH6" i="27"/>
  <c r="AH4" i="27"/>
  <c r="AH5" i="27" s="1"/>
  <c r="AI64" i="27"/>
  <c r="AH64" i="27"/>
  <c r="AG64" i="27"/>
  <c r="AI61" i="27"/>
  <c r="AH61" i="27"/>
  <c r="AG61" i="27"/>
  <c r="AI42" i="27"/>
  <c r="AI18" i="27"/>
  <c r="AI16" i="27"/>
  <c r="AI8" i="27"/>
  <c r="AI7" i="27"/>
  <c r="AI6" i="27"/>
  <c r="AI4" i="27"/>
  <c r="AI5" i="27" s="1"/>
  <c r="AE6" i="27"/>
  <c r="AF6" i="27"/>
  <c r="AG6" i="27"/>
  <c r="AD6" i="27"/>
  <c r="AA6" i="27"/>
  <c r="AC6" i="27"/>
  <c r="AE7" i="27"/>
  <c r="AF7" i="27"/>
  <c r="AG7" i="27"/>
  <c r="AD7" i="27"/>
  <c r="AA7" i="27"/>
  <c r="AB7" i="27"/>
  <c r="AC7" i="27"/>
  <c r="DA3" i="27"/>
  <c r="AE8" i="27"/>
  <c r="AF8" i="27"/>
  <c r="AG8" i="27"/>
  <c r="AD8" i="27"/>
  <c r="AA8" i="27"/>
  <c r="AB8" i="27"/>
  <c r="AE4" i="27"/>
  <c r="AE5" i="27" s="1"/>
  <c r="AF4" i="27"/>
  <c r="AF5" i="27" s="1"/>
  <c r="AG4" i="27"/>
  <c r="AG5" i="27" s="1"/>
  <c r="AD4" i="27"/>
  <c r="AD5" i="27" s="1"/>
  <c r="AE15" i="27"/>
  <c r="AF15" i="27"/>
  <c r="AG15" i="27"/>
  <c r="AE16" i="27"/>
  <c r="AF16" i="27"/>
  <c r="AG16" i="27"/>
  <c r="AG68" i="27" s="1"/>
  <c r="AE18" i="27"/>
  <c r="AF18" i="27"/>
  <c r="AG18" i="27"/>
  <c r="DB36" i="27"/>
  <c r="DB41" i="27"/>
  <c r="AA15" i="27"/>
  <c r="AB15" i="27"/>
  <c r="AA4" i="27"/>
  <c r="AA5" i="27" s="1"/>
  <c r="AB4" i="27"/>
  <c r="AB5" i="27" s="1"/>
  <c r="AH42" i="27"/>
  <c r="DD52" i="27"/>
  <c r="DE52" i="27" s="1"/>
  <c r="DF52" i="27" s="1"/>
  <c r="DG52" i="27" s="1"/>
  <c r="DH52" i="27" s="1"/>
  <c r="DI52" i="27" s="1"/>
  <c r="DJ52" i="27" s="1"/>
  <c r="DK52" i="27" s="1"/>
  <c r="DL52" i="27" s="1"/>
  <c r="DB49" i="27"/>
  <c r="DC49" i="27" s="1"/>
  <c r="DB40" i="27"/>
  <c r="DB44" i="27"/>
  <c r="DB46" i="27"/>
  <c r="AG42" i="27"/>
  <c r="AA16" i="27"/>
  <c r="AB16" i="27"/>
  <c r="AD16" i="27"/>
  <c r="DA18" i="27"/>
  <c r="DA36" i="27"/>
  <c r="AE61" i="27"/>
  <c r="AE64" i="27"/>
  <c r="AE42" i="27"/>
  <c r="AF64" i="27"/>
  <c r="AF61" i="27"/>
  <c r="AF42" i="27"/>
  <c r="DA49" i="27"/>
  <c r="CW3" i="27"/>
  <c r="CW61" i="27" s="1"/>
  <c r="CX3" i="27"/>
  <c r="CY3" i="27"/>
  <c r="CZ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35" i="27" s="1"/>
  <c r="I4" i="27"/>
  <c r="I60" i="27" s="1"/>
  <c r="J4" i="27"/>
  <c r="J5" i="27" s="1"/>
  <c r="CT5" i="27"/>
  <c r="CU5" i="27"/>
  <c r="CV5" i="27"/>
  <c r="C5" i="27"/>
  <c r="D5" i="27"/>
  <c r="E5" i="27"/>
  <c r="F5" i="27"/>
  <c r="P5" i="27"/>
  <c r="AC5" i="27"/>
  <c r="CW6" i="27"/>
  <c r="O6" i="27"/>
  <c r="Q6" i="27"/>
  <c r="S6" i="27"/>
  <c r="T6" i="27"/>
  <c r="U6" i="27"/>
  <c r="V6" i="27"/>
  <c r="W6" i="27"/>
  <c r="X6" i="27"/>
  <c r="Y6" i="27"/>
  <c r="Z6" i="27"/>
  <c r="G6" i="27"/>
  <c r="G35" i="27" s="1"/>
  <c r="I6" i="27"/>
  <c r="J6" i="27"/>
  <c r="L6" i="27"/>
  <c r="M6" i="27"/>
  <c r="N6" i="27"/>
  <c r="O7" i="27"/>
  <c r="O62" i="27" s="1"/>
  <c r="Q7" i="27"/>
  <c r="R7" i="27"/>
  <c r="S7" i="27"/>
  <c r="T7" i="27"/>
  <c r="T62" i="27" s="1"/>
  <c r="U7" i="27"/>
  <c r="V7" i="27"/>
  <c r="W7" i="27"/>
  <c r="X7" i="27"/>
  <c r="Y7" i="27"/>
  <c r="Z7" i="27"/>
  <c r="I7" i="27"/>
  <c r="L7" i="27"/>
  <c r="L62" i="27" s="1"/>
  <c r="M7" i="27"/>
  <c r="N7" i="27"/>
  <c r="N62" i="27" s="1"/>
  <c r="CW8" i="27"/>
  <c r="CX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68" i="27" s="1"/>
  <c r="V16" i="27"/>
  <c r="V68" i="27" s="1"/>
  <c r="W16" i="27"/>
  <c r="X16" i="27"/>
  <c r="Y16" i="27"/>
  <c r="Y68" i="27" s="1"/>
  <c r="Z16" i="27"/>
  <c r="CZ18" i="27"/>
  <c r="CT35" i="27"/>
  <c r="CT37" i="27" s="1"/>
  <c r="CT39" i="27" s="1"/>
  <c r="CU35" i="27"/>
  <c r="CU37" i="27" s="1"/>
  <c r="CV35" i="27"/>
  <c r="CV37" i="27" s="1"/>
  <c r="C35" i="27"/>
  <c r="D35" i="27"/>
  <c r="E35" i="27"/>
  <c r="F35" i="27"/>
  <c r="F37" i="27" s="1"/>
  <c r="F90" i="27" s="1"/>
  <c r="P35" i="27"/>
  <c r="CY36" i="27"/>
  <c r="CY64" i="27" s="1"/>
  <c r="CZ36" i="27"/>
  <c r="C36" i="27"/>
  <c r="D36" i="27"/>
  <c r="E36" i="27"/>
  <c r="G36" i="27"/>
  <c r="H36" i="27"/>
  <c r="I36" i="27"/>
  <c r="M64" i="27" s="1"/>
  <c r="J36" i="27"/>
  <c r="N36" i="27"/>
  <c r="R64" i="27" s="1"/>
  <c r="O36" i="27"/>
  <c r="S64" i="27" s="1"/>
  <c r="P36" i="27"/>
  <c r="T64" i="27" s="1"/>
  <c r="Q36" i="27"/>
  <c r="Q64" i="27" s="1"/>
  <c r="CX40" i="27"/>
  <c r="CY40" i="27"/>
  <c r="CZ40" i="27"/>
  <c r="DA40" i="27"/>
  <c r="CX41" i="27"/>
  <c r="CY41" i="27"/>
  <c r="CZ41" i="27"/>
  <c r="DA41" i="27"/>
  <c r="G41" i="27"/>
  <c r="G42" i="27" s="1"/>
  <c r="H41" i="27"/>
  <c r="H42" i="27" s="1"/>
  <c r="I41" i="27"/>
  <c r="I42" i="27" s="1"/>
  <c r="J41" i="27"/>
  <c r="J42" i="27" s="1"/>
  <c r="K41" i="27"/>
  <c r="O70" i="27" s="1"/>
  <c r="M41" i="27"/>
  <c r="Q70" i="27" s="1"/>
  <c r="N41" i="27"/>
  <c r="N42" i="27" s="1"/>
  <c r="CT42" i="27"/>
  <c r="CU42" i="27"/>
  <c r="CV42" i="27"/>
  <c r="CW42" i="27"/>
  <c r="C42" i="27"/>
  <c r="D42" i="27"/>
  <c r="E42" i="27"/>
  <c r="L42" i="27"/>
  <c r="O42" i="27"/>
  <c r="P42" i="27"/>
  <c r="Q42" i="27"/>
  <c r="R42" i="27"/>
  <c r="S42" i="27"/>
  <c r="T42" i="27"/>
  <c r="U42" i="27"/>
  <c r="V42" i="27"/>
  <c r="W42" i="27"/>
  <c r="X42" i="27"/>
  <c r="Y42" i="27"/>
  <c r="Z42" i="27"/>
  <c r="AA42" i="27"/>
  <c r="AB42" i="27"/>
  <c r="AC42" i="27"/>
  <c r="AD42" i="27"/>
  <c r="CX44" i="27"/>
  <c r="CY44" i="27"/>
  <c r="CX46" i="27"/>
  <c r="CY46" i="27"/>
  <c r="CZ46" i="27"/>
  <c r="CY49" i="27"/>
  <c r="CZ49" i="27"/>
  <c r="CW48" i="27"/>
  <c r="CX48" i="27"/>
  <c r="CV60" i="27"/>
  <c r="CU61" i="27"/>
  <c r="CV61" i="27"/>
  <c r="G61" i="27"/>
  <c r="H61" i="27"/>
  <c r="I61" i="27"/>
  <c r="J61" i="27"/>
  <c r="K61" i="27"/>
  <c r="L61" i="27"/>
  <c r="M61" i="27"/>
  <c r="N61" i="27"/>
  <c r="O61" i="27"/>
  <c r="P61" i="27"/>
  <c r="Q61" i="27"/>
  <c r="R61" i="27"/>
  <c r="S61" i="27"/>
  <c r="T61" i="27"/>
  <c r="U61" i="27"/>
  <c r="V61" i="27"/>
  <c r="W61" i="27"/>
  <c r="X61" i="27"/>
  <c r="Y61" i="27"/>
  <c r="Z61" i="27"/>
  <c r="AA61" i="27"/>
  <c r="AB61" i="27"/>
  <c r="AC61" i="27"/>
  <c r="AD61" i="27"/>
  <c r="V64" i="27"/>
  <c r="W64" i="27"/>
  <c r="X64" i="27"/>
  <c r="Y64" i="27"/>
  <c r="Z64" i="27"/>
  <c r="AA64" i="27"/>
  <c r="AB64" i="27"/>
  <c r="AC64" i="27"/>
  <c r="AD64" i="27"/>
  <c r="U68" i="27"/>
  <c r="DG69" i="27"/>
  <c r="DH69" i="27"/>
  <c r="O69" i="27"/>
  <c r="P69" i="27"/>
  <c r="Q69" i="27"/>
  <c r="R69" i="27"/>
  <c r="S69" i="27"/>
  <c r="T69" i="27"/>
  <c r="U69" i="27"/>
  <c r="V69" i="27"/>
  <c r="W69" i="27"/>
  <c r="X69" i="27"/>
  <c r="Y69" i="27"/>
  <c r="Z69" i="27"/>
  <c r="AA69" i="27"/>
  <c r="AB69" i="27"/>
  <c r="AC69" i="27"/>
  <c r="AD69" i="27"/>
  <c r="P70" i="27"/>
  <c r="S70" i="27"/>
  <c r="T70" i="27"/>
  <c r="U70" i="27"/>
  <c r="V70" i="27"/>
  <c r="W70" i="27"/>
  <c r="X70" i="27"/>
  <c r="Y70" i="27"/>
  <c r="Z70" i="27"/>
  <c r="AA70" i="27"/>
  <c r="AB70" i="27"/>
  <c r="AC70" i="27"/>
  <c r="AD70" i="27"/>
  <c r="Q130" i="27"/>
  <c r="R130" i="27" s="1"/>
  <c r="S130" i="27" s="1"/>
  <c r="T130" i="27" s="1"/>
  <c r="Q136" i="27"/>
  <c r="R136" i="27" s="1"/>
  <c r="S136" i="27" s="1"/>
  <c r="T136" i="27" s="1"/>
  <c r="U136" i="27" s="1"/>
  <c r="F86" i="27"/>
  <c r="I101" i="27"/>
  <c r="I102" i="27" s="1"/>
  <c r="I107" i="27" s="1"/>
  <c r="I109" i="27" s="1"/>
  <c r="J86" i="27"/>
  <c r="K86" i="27"/>
  <c r="L86" i="27"/>
  <c r="M86" i="27"/>
  <c r="N86" i="27"/>
  <c r="O86" i="27"/>
  <c r="P87" i="27"/>
  <c r="P86" i="27" s="1"/>
  <c r="Q86" i="27"/>
  <c r="R86" i="27"/>
  <c r="S86" i="27"/>
  <c r="T86" i="27"/>
  <c r="U86" i="27"/>
  <c r="V86" i="27"/>
  <c r="W87" i="27"/>
  <c r="W86" i="27" s="1"/>
  <c r="X86" i="27"/>
  <c r="Y86" i="27"/>
  <c r="Z101" i="27"/>
  <c r="Z86" i="27" s="1"/>
  <c r="AA86" i="27"/>
  <c r="AB86" i="27"/>
  <c r="F93" i="27"/>
  <c r="I93" i="27"/>
  <c r="J93" i="27"/>
  <c r="K93" i="27"/>
  <c r="L93" i="27"/>
  <c r="M93" i="27"/>
  <c r="N93" i="27"/>
  <c r="O93" i="27"/>
  <c r="Q93" i="27"/>
  <c r="R93" i="27"/>
  <c r="S93" i="27"/>
  <c r="T93" i="27"/>
  <c r="U93" i="27"/>
  <c r="V93" i="27"/>
  <c r="X93" i="27"/>
  <c r="Y93" i="27"/>
  <c r="Z93" i="27"/>
  <c r="AA93" i="27"/>
  <c r="F95" i="27"/>
  <c r="I95" i="27"/>
  <c r="J95" i="27"/>
  <c r="K95" i="27"/>
  <c r="L95" i="27"/>
  <c r="M95" i="27"/>
  <c r="N95" i="27"/>
  <c r="O95" i="27"/>
  <c r="P95" i="27"/>
  <c r="Q95" i="27"/>
  <c r="R95" i="27"/>
  <c r="S95" i="27"/>
  <c r="T95" i="27"/>
  <c r="U95" i="27"/>
  <c r="V95" i="27"/>
  <c r="W95" i="27"/>
  <c r="X95" i="27"/>
  <c r="Y95" i="27"/>
  <c r="Z95" i="27"/>
  <c r="AA95" i="27"/>
  <c r="F102" i="27"/>
  <c r="F107" i="27" s="1"/>
  <c r="F109" i="27" s="1"/>
  <c r="J102" i="27"/>
  <c r="J107" i="27" s="1"/>
  <c r="J109" i="27" s="1"/>
  <c r="K102" i="27"/>
  <c r="K107" i="27" s="1"/>
  <c r="K109" i="27" s="1"/>
  <c r="L102" i="27"/>
  <c r="L107" i="27" s="1"/>
  <c r="L109" i="27" s="1"/>
  <c r="M102" i="27"/>
  <c r="M107" i="27" s="1"/>
  <c r="M109" i="27" s="1"/>
  <c r="N102" i="27"/>
  <c r="N107" i="27" s="1"/>
  <c r="N109" i="27" s="1"/>
  <c r="O102" i="27"/>
  <c r="O107" i="27" s="1"/>
  <c r="O109" i="27" s="1"/>
  <c r="P102" i="27"/>
  <c r="P107" i="27" s="1"/>
  <c r="P109" i="27" s="1"/>
  <c r="Q102" i="27"/>
  <c r="Q107" i="27" s="1"/>
  <c r="Q109" i="27" s="1"/>
  <c r="R102" i="27"/>
  <c r="R107" i="27" s="1"/>
  <c r="R109" i="27" s="1"/>
  <c r="S102" i="27"/>
  <c r="S107" i="27" s="1"/>
  <c r="S109" i="27" s="1"/>
  <c r="T102" i="27"/>
  <c r="T107" i="27" s="1"/>
  <c r="T109" i="27" s="1"/>
  <c r="U102" i="27"/>
  <c r="U107" i="27" s="1"/>
  <c r="U109" i="27" s="1"/>
  <c r="V102" i="27"/>
  <c r="V107" i="27" s="1"/>
  <c r="V109" i="27" s="1"/>
  <c r="W102" i="27"/>
  <c r="W107" i="27" s="1"/>
  <c r="W109" i="27" s="1"/>
  <c r="X102" i="27"/>
  <c r="X107" i="27" s="1"/>
  <c r="X109" i="27" s="1"/>
  <c r="Y102" i="27"/>
  <c r="Y107" i="27" s="1"/>
  <c r="Y109" i="27" s="1"/>
  <c r="AA102" i="27"/>
  <c r="AA107" i="27" s="1"/>
  <c r="AA109" i="27" s="1"/>
  <c r="E111" i="27"/>
  <c r="F111" i="27" s="1"/>
  <c r="H111" i="27"/>
  <c r="I111" i="27" s="1"/>
  <c r="J111" i="27" s="1"/>
  <c r="L111" i="27"/>
  <c r="M111" i="27" s="1"/>
  <c r="N111" i="27" s="1"/>
  <c r="P111" i="27"/>
  <c r="Q111" i="27" s="1"/>
  <c r="R111" i="27" s="1"/>
  <c r="T111" i="27"/>
  <c r="U111" i="27" s="1"/>
  <c r="V111" i="27" s="1"/>
  <c r="X111" i="27"/>
  <c r="Y111" i="27" s="1"/>
  <c r="F112" i="27"/>
  <c r="W115" i="27"/>
  <c r="X115" i="27"/>
  <c r="Y115" i="27"/>
  <c r="J4" i="1"/>
  <c r="J7" i="1" s="1"/>
  <c r="AK70" i="27"/>
  <c r="AJ61" i="27"/>
  <c r="AJ69" i="27"/>
  <c r="AL69" i="27"/>
  <c r="AK61" i="27"/>
  <c r="AL70" i="27"/>
  <c r="AK42" i="27"/>
  <c r="AL42" i="27"/>
  <c r="AK69" i="27"/>
  <c r="AL61" i="27"/>
  <c r="AQ64" i="27"/>
  <c r="AS16" i="27"/>
  <c r="AT16" i="27" s="1"/>
  <c r="AU16" i="27" s="1"/>
  <c r="O64" i="27"/>
  <c r="AS70" i="27"/>
  <c r="AS61" i="27"/>
  <c r="AU61" i="27"/>
  <c r="BD43" i="27"/>
  <c r="BD45" i="27" s="1"/>
  <c r="BD47" i="27" s="1"/>
  <c r="BD48" i="27" s="1"/>
  <c r="DW42" i="27" l="1"/>
  <c r="DW43" i="27" s="1"/>
  <c r="DX41" i="27"/>
  <c r="DX37" i="27"/>
  <c r="DX39" i="27" s="1"/>
  <c r="P60" i="27"/>
  <c r="CZ61" i="27"/>
  <c r="AQ62" i="27"/>
  <c r="DE41" i="27"/>
  <c r="AS4" i="27"/>
  <c r="AS60" i="27" s="1"/>
  <c r="DE3" i="27"/>
  <c r="DF3" i="27" s="1"/>
  <c r="DG3" i="27" s="1"/>
  <c r="DH3" i="27" s="1"/>
  <c r="DI3" i="27" s="1"/>
  <c r="DJ3" i="27" s="1"/>
  <c r="I86" i="27"/>
  <c r="CN55" i="27"/>
  <c r="AB60" i="27"/>
  <c r="DE40" i="27"/>
  <c r="DF69" i="27" s="1"/>
  <c r="AC68" i="27"/>
  <c r="AF59" i="27"/>
  <c r="CF58" i="27"/>
  <c r="CJ58" i="27"/>
  <c r="AR5" i="27"/>
  <c r="AR35" i="27" s="1"/>
  <c r="AV63" i="27" s="1"/>
  <c r="CG58" i="27"/>
  <c r="CK58" i="27"/>
  <c r="CP55" i="27"/>
  <c r="CO48" i="27"/>
  <c r="CO55" i="27"/>
  <c r="CE39" i="27"/>
  <c r="CE51" i="27" s="1"/>
  <c r="CE52" i="27"/>
  <c r="CE53" i="27"/>
  <c r="CI58" i="27"/>
  <c r="CI53" i="27"/>
  <c r="CI52" i="27"/>
  <c r="CI39" i="27"/>
  <c r="CF53" i="27"/>
  <c r="CF52" i="27"/>
  <c r="CF39" i="27"/>
  <c r="CF51" i="27" s="1"/>
  <c r="CG52" i="27"/>
  <c r="CG53" i="27"/>
  <c r="CG39" i="27"/>
  <c r="CG51" i="27" s="1"/>
  <c r="CH39" i="27"/>
  <c r="CH51" i="27" s="1"/>
  <c r="CH58" i="27"/>
  <c r="CH53" i="27"/>
  <c r="CH52" i="27"/>
  <c r="AL62" i="27"/>
  <c r="CZ6" i="27"/>
  <c r="AM68" i="27"/>
  <c r="AX3" i="27"/>
  <c r="M62" i="27"/>
  <c r="AG62" i="27"/>
  <c r="CZ42" i="27"/>
  <c r="CY16" i="27"/>
  <c r="G59" i="27"/>
  <c r="AL60" i="27"/>
  <c r="AK62" i="27"/>
  <c r="AQ68" i="27"/>
  <c r="AR60" i="27"/>
  <c r="CZ70" i="27"/>
  <c r="AT4" i="27"/>
  <c r="AT5" i="27" s="1"/>
  <c r="AT59" i="27" s="1"/>
  <c r="AE60" i="27"/>
  <c r="AO60" i="27"/>
  <c r="DA61" i="27"/>
  <c r="P62" i="27"/>
  <c r="AW4" i="27"/>
  <c r="AW5" i="27" s="1"/>
  <c r="AK68" i="27"/>
  <c r="M97" i="27"/>
  <c r="R70" i="27"/>
  <c r="S60" i="27"/>
  <c r="K42" i="27"/>
  <c r="F97" i="27"/>
  <c r="CY69" i="27"/>
  <c r="Z68" i="27"/>
  <c r="U35" i="27"/>
  <c r="U37" i="27" s="1"/>
  <c r="U52" i="27" s="1"/>
  <c r="W62" i="27"/>
  <c r="J97" i="27"/>
  <c r="AA68" i="27"/>
  <c r="AP59" i="27"/>
  <c r="AG60" i="27"/>
  <c r="AP60" i="27"/>
  <c r="AE68" i="27"/>
  <c r="AK60" i="27"/>
  <c r="J60" i="27"/>
  <c r="AT70" i="27"/>
  <c r="AT42" i="27"/>
  <c r="DB61" i="27"/>
  <c r="DA70" i="27"/>
  <c r="DC7" i="27"/>
  <c r="AE59" i="27"/>
  <c r="AA62" i="27"/>
  <c r="DA15" i="27"/>
  <c r="Y62" i="27"/>
  <c r="Z102" i="27"/>
  <c r="Z107" i="27" s="1"/>
  <c r="Z109" i="27" s="1"/>
  <c r="DA16" i="27"/>
  <c r="AB68" i="27"/>
  <c r="I97" i="27"/>
  <c r="CY70" i="27"/>
  <c r="AI60" i="27"/>
  <c r="X97" i="27"/>
  <c r="AN60" i="27"/>
  <c r="AB62" i="27"/>
  <c r="CX6" i="27"/>
  <c r="AJ59" i="27"/>
  <c r="DA7" i="27"/>
  <c r="AN62" i="27"/>
  <c r="AK35" i="27"/>
  <c r="AK37" i="27" s="1"/>
  <c r="AK39" i="27" s="1"/>
  <c r="DC6" i="27"/>
  <c r="AT68" i="27"/>
  <c r="DA4" i="27"/>
  <c r="DA5" i="27" s="1"/>
  <c r="CX42" i="27"/>
  <c r="S5" i="27"/>
  <c r="S59" i="27" s="1"/>
  <c r="AO68" i="27"/>
  <c r="AH60" i="27"/>
  <c r="N60" i="27"/>
  <c r="AF62" i="27"/>
  <c r="AM60" i="27"/>
  <c r="AD60" i="27"/>
  <c r="AH68" i="27"/>
  <c r="DD6" i="27"/>
  <c r="DD44" i="27"/>
  <c r="DC4" i="27"/>
  <c r="Y60" i="27"/>
  <c r="E37" i="27"/>
  <c r="E39" i="27" s="1"/>
  <c r="E43" i="27" s="1"/>
  <c r="E45" i="27" s="1"/>
  <c r="E47" i="27" s="1"/>
  <c r="W60" i="27"/>
  <c r="CZ15" i="27"/>
  <c r="AH59" i="27"/>
  <c r="O35" i="27"/>
  <c r="O37" i="27" s="1"/>
  <c r="O138" i="27" s="1"/>
  <c r="O140" i="27" s="1"/>
  <c r="O97" i="27"/>
  <c r="CY8" i="27"/>
  <c r="J59" i="27"/>
  <c r="U60" i="27"/>
  <c r="CZ64" i="27"/>
  <c r="DD69" i="27"/>
  <c r="AM62" i="27"/>
  <c r="M42" i="27"/>
  <c r="AI35" i="27"/>
  <c r="AI37" i="27" s="1"/>
  <c r="AI52" i="27" s="1"/>
  <c r="W93" i="27"/>
  <c r="W97" i="27" s="1"/>
  <c r="AD62" i="27"/>
  <c r="CZ16" i="27"/>
  <c r="Q59" i="27"/>
  <c r="DB69" i="27"/>
  <c r="AA35" i="27"/>
  <c r="AA37" i="27" s="1"/>
  <c r="AA135" i="27" s="1"/>
  <c r="AA137" i="27" s="1"/>
  <c r="AE62" i="27"/>
  <c r="AH62" i="27"/>
  <c r="CZ7" i="27"/>
  <c r="AD35" i="27"/>
  <c r="AD37" i="27" s="1"/>
  <c r="AD52" i="27" s="1"/>
  <c r="J35" i="27"/>
  <c r="J37" i="27" s="1"/>
  <c r="J90" i="27" s="1"/>
  <c r="X35" i="27"/>
  <c r="X37" i="27" s="1"/>
  <c r="I35" i="27"/>
  <c r="I37" i="27" s="1"/>
  <c r="I39" i="27" s="1"/>
  <c r="I43" i="27" s="1"/>
  <c r="I45" i="27" s="1"/>
  <c r="I47" i="27" s="1"/>
  <c r="I112" i="27" s="1"/>
  <c r="T97" i="27"/>
  <c r="DB4" i="27"/>
  <c r="AF60" i="27"/>
  <c r="S97" i="27"/>
  <c r="CY42" i="27"/>
  <c r="U59" i="27"/>
  <c r="AJ60" i="27"/>
  <c r="AI59" i="27"/>
  <c r="N5" i="27"/>
  <c r="N59" i="27" s="1"/>
  <c r="AE35" i="27"/>
  <c r="N35" i="27"/>
  <c r="N37" i="27" s="1"/>
  <c r="M60" i="27"/>
  <c r="U62" i="27"/>
  <c r="AS68" i="27"/>
  <c r="DD4" i="27"/>
  <c r="DD5" i="27" s="1"/>
  <c r="DC69" i="27"/>
  <c r="X62" i="27"/>
  <c r="R97" i="27"/>
  <c r="CY15" i="27"/>
  <c r="DC15" i="27"/>
  <c r="AM97" i="27"/>
  <c r="AU68" i="27"/>
  <c r="AQ60" i="27"/>
  <c r="DE16" i="27"/>
  <c r="DF16" i="27" s="1"/>
  <c r="DG16" i="27" s="1"/>
  <c r="DH16" i="27" s="1"/>
  <c r="DI16" i="27" s="1"/>
  <c r="DJ16" i="27" s="1"/>
  <c r="AI68" i="27"/>
  <c r="AM5" i="27"/>
  <c r="AM59" i="27" s="1"/>
  <c r="AF35" i="27"/>
  <c r="AF37" i="27" s="1"/>
  <c r="DB8" i="27"/>
  <c r="DD42" i="27"/>
  <c r="AJ62" i="27"/>
  <c r="Z5" i="27"/>
  <c r="Z59" i="27" s="1"/>
  <c r="CU59" i="27"/>
  <c r="AB35" i="27"/>
  <c r="AB37" i="27" s="1"/>
  <c r="DB7" i="27"/>
  <c r="Y5" i="27"/>
  <c r="Y59" i="27" s="1"/>
  <c r="AC60" i="27"/>
  <c r="M35" i="27"/>
  <c r="CY6" i="27"/>
  <c r="X68" i="27"/>
  <c r="P93" i="27"/>
  <c r="P97" i="27" s="1"/>
  <c r="CX71" i="27"/>
  <c r="Z60" i="27"/>
  <c r="AI62" i="27"/>
  <c r="R60" i="27"/>
  <c r="DD18" i="27"/>
  <c r="CY7" i="27"/>
  <c r="G37" i="27"/>
  <c r="G39" i="27" s="1"/>
  <c r="G43" i="27" s="1"/>
  <c r="G45" i="27" s="1"/>
  <c r="G47" i="27" s="1"/>
  <c r="Q60" i="27"/>
  <c r="K59" i="27"/>
  <c r="U64" i="27"/>
  <c r="K60" i="27"/>
  <c r="CY4" i="27"/>
  <c r="CY5" i="27" s="1"/>
  <c r="DB16" i="27"/>
  <c r="CZ4" i="27"/>
  <c r="AG59" i="27"/>
  <c r="X60" i="27"/>
  <c r="DA6" i="27"/>
  <c r="AH35" i="27"/>
  <c r="AL59" i="27"/>
  <c r="S35" i="27"/>
  <c r="S37" i="27" s="1"/>
  <c r="S53" i="27" s="1"/>
  <c r="AS5" i="27"/>
  <c r="AS59" i="27" s="1"/>
  <c r="AS19" i="27"/>
  <c r="CY61" i="27"/>
  <c r="DA66" i="27"/>
  <c r="DD29" i="27"/>
  <c r="K35" i="27"/>
  <c r="N64" i="27"/>
  <c r="I5" i="27"/>
  <c r="T35" i="27"/>
  <c r="W68" i="27"/>
  <c r="L97" i="27"/>
  <c r="C37" i="27"/>
  <c r="C39" i="27" s="1"/>
  <c r="C43" i="27" s="1"/>
  <c r="C45" i="27" s="1"/>
  <c r="C47" i="27" s="1"/>
  <c r="C48" i="27" s="1"/>
  <c r="H37" i="27"/>
  <c r="H39" i="27" s="1"/>
  <c r="H43" i="27" s="1"/>
  <c r="H45" i="27" s="1"/>
  <c r="DD8" i="27"/>
  <c r="AD68" i="27"/>
  <c r="AT67" i="27"/>
  <c r="Y35" i="27"/>
  <c r="Y37" i="27" s="1"/>
  <c r="Y90" i="27" s="1"/>
  <c r="CW4" i="27"/>
  <c r="AC62" i="27"/>
  <c r="W35" i="27"/>
  <c r="O60" i="27"/>
  <c r="DC70" i="27"/>
  <c r="AN68" i="27"/>
  <c r="DE20" i="27"/>
  <c r="DF20" i="27" s="1"/>
  <c r="DG20" i="27" s="1"/>
  <c r="DH20" i="27" s="1"/>
  <c r="DI20" i="27" s="1"/>
  <c r="DJ20" i="27" s="1"/>
  <c r="W5" i="27"/>
  <c r="CZ69" i="27"/>
  <c r="AM35" i="27"/>
  <c r="AM37" i="27" s="1"/>
  <c r="DC8" i="27"/>
  <c r="T60" i="27"/>
  <c r="V97" i="27"/>
  <c r="S62" i="27"/>
  <c r="CV59" i="27"/>
  <c r="U130" i="27"/>
  <c r="V130" i="27" s="1"/>
  <c r="W130" i="27" s="1"/>
  <c r="X130" i="27" s="1"/>
  <c r="AK59" i="27"/>
  <c r="AO59" i="27"/>
  <c r="T59" i="27"/>
  <c r="P59" i="27"/>
  <c r="CV58" i="27"/>
  <c r="CV39" i="27"/>
  <c r="CV43" i="27" s="1"/>
  <c r="DE7" i="27"/>
  <c r="DF7" i="27" s="1"/>
  <c r="DG7" i="27" s="1"/>
  <c r="DH7" i="27" s="1"/>
  <c r="DI7" i="27" s="1"/>
  <c r="DJ7" i="27" s="1"/>
  <c r="AW7" i="27"/>
  <c r="AS62" i="27"/>
  <c r="CU58" i="27"/>
  <c r="CU39" i="27"/>
  <c r="CU43" i="27" s="1"/>
  <c r="DE70" i="27"/>
  <c r="O59" i="27"/>
  <c r="V60" i="27"/>
  <c r="L60" i="27"/>
  <c r="AB59" i="27"/>
  <c r="DC42" i="27"/>
  <c r="Y97" i="27"/>
  <c r="P64" i="27"/>
  <c r="DD70" i="27"/>
  <c r="AO35" i="27"/>
  <c r="AQ5" i="27"/>
  <c r="AT62" i="27"/>
  <c r="AV64" i="27"/>
  <c r="CT43" i="27"/>
  <c r="Q35" i="27"/>
  <c r="AG35" i="27"/>
  <c r="AG37" i="27" s="1"/>
  <c r="AJ68" i="27"/>
  <c r="AS36" i="27"/>
  <c r="AN35" i="27"/>
  <c r="CX61" i="27"/>
  <c r="P37" i="27"/>
  <c r="AF68" i="27"/>
  <c r="AA60" i="27"/>
  <c r="AL68" i="27"/>
  <c r="AP68" i="27"/>
  <c r="R35" i="27"/>
  <c r="R37" i="27" s="1"/>
  <c r="R138" i="27" s="1"/>
  <c r="R140" i="27" s="1"/>
  <c r="DD16" i="27"/>
  <c r="AR64" i="27"/>
  <c r="AP62" i="27"/>
  <c r="AJ35" i="27"/>
  <c r="R5" i="27"/>
  <c r="V59" i="27" s="1"/>
  <c r="DC18" i="27"/>
  <c r="Z35" i="27"/>
  <c r="Z37" i="27" s="1"/>
  <c r="Z135" i="27" s="1"/>
  <c r="Z137" i="27" s="1"/>
  <c r="CX4" i="27"/>
  <c r="H5" i="27"/>
  <c r="H59" i="27" s="1"/>
  <c r="K97" i="27"/>
  <c r="DB15" i="27"/>
  <c r="AO62" i="27"/>
  <c r="X59" i="27"/>
  <c r="DB42" i="27"/>
  <c r="DB6" i="27"/>
  <c r="AR68" i="27"/>
  <c r="DA69" i="27"/>
  <c r="D37" i="27"/>
  <c r="D39" i="27" s="1"/>
  <c r="D43" i="27" s="1"/>
  <c r="D45" i="27" s="1"/>
  <c r="D47" i="27" s="1"/>
  <c r="D48" i="27" s="1"/>
  <c r="AQ35" i="27"/>
  <c r="AU5" i="27"/>
  <c r="DD7" i="27"/>
  <c r="V35" i="27"/>
  <c r="DA42" i="27"/>
  <c r="CZ8" i="27"/>
  <c r="Q97" i="27"/>
  <c r="L35" i="27"/>
  <c r="V62" i="27"/>
  <c r="AP35" i="27"/>
  <c r="AP37" i="27" s="1"/>
  <c r="AP53" i="27" s="1"/>
  <c r="DB70" i="27"/>
  <c r="AN59" i="27"/>
  <c r="AA97" i="27"/>
  <c r="DB18" i="27"/>
  <c r="R62" i="27"/>
  <c r="Z97" i="27"/>
  <c r="N97" i="27"/>
  <c r="DA8" i="27"/>
  <c r="DC16" i="27"/>
  <c r="AL35" i="27"/>
  <c r="AL37" i="27" s="1"/>
  <c r="AX8" i="27"/>
  <c r="DE8" i="27"/>
  <c r="DF8" i="27" s="1"/>
  <c r="DG8" i="27" s="1"/>
  <c r="DH8" i="27" s="1"/>
  <c r="DI8" i="27" s="1"/>
  <c r="DJ8" i="27" s="1"/>
  <c r="V136" i="27"/>
  <c r="AU18" i="27"/>
  <c r="DE18" i="27"/>
  <c r="DF18" i="27" s="1"/>
  <c r="DG18" i="27" s="1"/>
  <c r="DH18" i="27" s="1"/>
  <c r="AV53" i="27"/>
  <c r="AV52" i="27"/>
  <c r="AV39" i="27"/>
  <c r="U97" i="27"/>
  <c r="AU29" i="27"/>
  <c r="DE29" i="27"/>
  <c r="DF29" i="27" s="1"/>
  <c r="DG29" i="27" s="1"/>
  <c r="DH29" i="27" s="1"/>
  <c r="DI29" i="27" s="1"/>
  <c r="DJ29" i="27" s="1"/>
  <c r="DK29" i="27" s="1"/>
  <c r="AC35" i="27"/>
  <c r="AS6" i="27"/>
  <c r="CX7" i="27"/>
  <c r="Q62" i="27"/>
  <c r="Z62" i="27"/>
  <c r="AR62" i="27"/>
  <c r="DY41" i="27" l="1"/>
  <c r="DX42" i="27"/>
  <c r="DX43" i="27" s="1"/>
  <c r="DY37" i="27"/>
  <c r="DY39" i="27" s="1"/>
  <c r="AV59" i="27"/>
  <c r="DE42" i="27"/>
  <c r="AR59" i="27"/>
  <c r="DE69" i="27"/>
  <c r="CE43" i="27"/>
  <c r="CE45" i="27" s="1"/>
  <c r="CH43" i="27"/>
  <c r="CH45" i="27" s="1"/>
  <c r="CE54" i="27"/>
  <c r="CI43" i="27"/>
  <c r="CI51" i="27"/>
  <c r="CF43" i="27"/>
  <c r="CG43" i="27"/>
  <c r="CH54" i="27"/>
  <c r="AX4" i="27"/>
  <c r="AX5" i="27" s="1"/>
  <c r="DE4" i="27"/>
  <c r="AT60" i="27"/>
  <c r="AA138" i="27"/>
  <c r="AA140" i="27" s="1"/>
  <c r="AK52" i="27"/>
  <c r="AK53" i="27"/>
  <c r="AA39" i="27"/>
  <c r="AA43" i="27" s="1"/>
  <c r="AA141" i="27"/>
  <c r="AA143" i="27" s="1"/>
  <c r="AA63" i="27"/>
  <c r="AA53" i="27"/>
  <c r="AK58" i="27"/>
  <c r="AA129" i="27"/>
  <c r="AA131" i="27" s="1"/>
  <c r="U129" i="27"/>
  <c r="U131" i="27" s="1"/>
  <c r="U39" i="27"/>
  <c r="U51" i="27" s="1"/>
  <c r="U127" i="27" s="1"/>
  <c r="U135" i="27"/>
  <c r="U137" i="27" s="1"/>
  <c r="U138" i="27"/>
  <c r="U140" i="27" s="1"/>
  <c r="U141" i="27"/>
  <c r="U143" i="27" s="1"/>
  <c r="AA90" i="27"/>
  <c r="U90" i="27"/>
  <c r="U132" i="27"/>
  <c r="U134" i="27" s="1"/>
  <c r="U53" i="27"/>
  <c r="O52" i="27"/>
  <c r="O90" i="27"/>
  <c r="O135" i="27"/>
  <c r="O137" i="27" s="1"/>
  <c r="DB62" i="27"/>
  <c r="DC60" i="27"/>
  <c r="DA68" i="27"/>
  <c r="CY62" i="27"/>
  <c r="AA132" i="27"/>
  <c r="AA134" i="27" s="1"/>
  <c r="AA52" i="27"/>
  <c r="AR37" i="27"/>
  <c r="AR53" i="27" s="1"/>
  <c r="S58" i="27"/>
  <c r="O129" i="27"/>
  <c r="O131" i="27" s="1"/>
  <c r="O141" i="27"/>
  <c r="O143" i="27" s="1"/>
  <c r="O53" i="27"/>
  <c r="O39" i="27"/>
  <c r="O132" i="27"/>
  <c r="O134" i="27" s="1"/>
  <c r="E56" i="27"/>
  <c r="N90" i="27"/>
  <c r="N141" i="27"/>
  <c r="N143" i="27" s="1"/>
  <c r="N138" i="27"/>
  <c r="N140" i="27" s="1"/>
  <c r="N53" i="27"/>
  <c r="N52" i="27"/>
  <c r="N129" i="27"/>
  <c r="N131" i="27" s="1"/>
  <c r="N135" i="27"/>
  <c r="N137" i="27" s="1"/>
  <c r="N132" i="27"/>
  <c r="N134" i="27" s="1"/>
  <c r="DA35" i="27"/>
  <c r="DA37" i="27" s="1"/>
  <c r="DA52" i="27" s="1"/>
  <c r="AC59" i="27"/>
  <c r="DC5" i="27"/>
  <c r="Y39" i="27"/>
  <c r="Y43" i="27" s="1"/>
  <c r="AE63" i="27"/>
  <c r="W37" i="27"/>
  <c r="W58" i="27" s="1"/>
  <c r="Y141" i="27"/>
  <c r="Y143" i="27" s="1"/>
  <c r="I48" i="27"/>
  <c r="Y135" i="27"/>
  <c r="AD59" i="27"/>
  <c r="I56" i="27"/>
  <c r="AP52" i="27"/>
  <c r="I90" i="27"/>
  <c r="AB63" i="27"/>
  <c r="M63" i="27"/>
  <c r="Y58" i="27"/>
  <c r="CZ62" i="27"/>
  <c r="DA62" i="27"/>
  <c r="X63" i="27"/>
  <c r="S132" i="27"/>
  <c r="S134" i="27" s="1"/>
  <c r="CZ35" i="27"/>
  <c r="CZ37" i="27" s="1"/>
  <c r="AE37" i="27"/>
  <c r="AE52" i="27" s="1"/>
  <c r="AH63" i="27"/>
  <c r="AF39" i="27"/>
  <c r="AF43" i="27" s="1"/>
  <c r="AF58" i="27"/>
  <c r="AI39" i="27"/>
  <c r="AP39" i="27"/>
  <c r="AP43" i="27" s="1"/>
  <c r="N63" i="27"/>
  <c r="AP63" i="27"/>
  <c r="AF63" i="27"/>
  <c r="AI63" i="27"/>
  <c r="DB5" i="27"/>
  <c r="DB59" i="27" s="1"/>
  <c r="DB60" i="27"/>
  <c r="J39" i="27"/>
  <c r="J43" i="27" s="1"/>
  <c r="J45" i="27" s="1"/>
  <c r="J56" i="27" s="1"/>
  <c r="AM63" i="27"/>
  <c r="AI53" i="27"/>
  <c r="AH37" i="27"/>
  <c r="AH39" i="27" s="1"/>
  <c r="AH51" i="27" s="1"/>
  <c r="AF52" i="27"/>
  <c r="Y132" i="27"/>
  <c r="Y134" i="27" s="1"/>
  <c r="M37" i="27"/>
  <c r="M58" i="27" s="1"/>
  <c r="AF53" i="27"/>
  <c r="Z63" i="27"/>
  <c r="DD35" i="27"/>
  <c r="DD37" i="27" s="1"/>
  <c r="AB39" i="27"/>
  <c r="AB52" i="27"/>
  <c r="AB53" i="27"/>
  <c r="G56" i="27"/>
  <c r="AU59" i="27"/>
  <c r="Y63" i="27"/>
  <c r="Y52" i="27"/>
  <c r="E112" i="27"/>
  <c r="E48" i="27"/>
  <c r="AQ59" i="27"/>
  <c r="Y138" i="27"/>
  <c r="Y140" i="27" s="1"/>
  <c r="Y129" i="27"/>
  <c r="Y131" i="27" s="1"/>
  <c r="Y53" i="27"/>
  <c r="S141" i="27"/>
  <c r="S143" i="27" s="1"/>
  <c r="CZ5" i="27"/>
  <c r="CZ60" i="27"/>
  <c r="DA60" i="27"/>
  <c r="S52" i="27"/>
  <c r="S63" i="27"/>
  <c r="AS65" i="27"/>
  <c r="AT19" i="27"/>
  <c r="DE19" i="27" s="1"/>
  <c r="S138" i="27"/>
  <c r="S140" i="27" s="1"/>
  <c r="CY35" i="27"/>
  <c r="CY37" i="27" s="1"/>
  <c r="T37" i="27"/>
  <c r="T58" i="27" s="1"/>
  <c r="T63" i="27"/>
  <c r="V37" i="27"/>
  <c r="V90" i="27" s="1"/>
  <c r="V63" i="27"/>
  <c r="R132" i="27"/>
  <c r="R134" i="27" s="1"/>
  <c r="CW60" i="27"/>
  <c r="CW5" i="27"/>
  <c r="CW59" i="27" s="1"/>
  <c r="N39" i="27"/>
  <c r="N58" i="27"/>
  <c r="AK63" i="27"/>
  <c r="AA59" i="27"/>
  <c r="W59" i="27"/>
  <c r="M59" i="27"/>
  <c r="I59" i="27"/>
  <c r="S135" i="27"/>
  <c r="S137" i="27" s="1"/>
  <c r="S39" i="27"/>
  <c r="S43" i="27" s="1"/>
  <c r="K37" i="27"/>
  <c r="K63" i="27"/>
  <c r="S129" i="27"/>
  <c r="S131" i="27" s="1"/>
  <c r="AP58" i="27"/>
  <c r="W63" i="27"/>
  <c r="S90" i="27"/>
  <c r="O63" i="27"/>
  <c r="CW35" i="27"/>
  <c r="CW37" i="27" s="1"/>
  <c r="Q37" i="27"/>
  <c r="Q63" i="27"/>
  <c r="U63" i="27"/>
  <c r="P53" i="27"/>
  <c r="P39" i="27"/>
  <c r="P132" i="27"/>
  <c r="P134" i="27" s="1"/>
  <c r="P129" i="27"/>
  <c r="P131" i="27" s="1"/>
  <c r="P52" i="27"/>
  <c r="P90" i="27"/>
  <c r="P135" i="27"/>
  <c r="P137" i="27" s="1"/>
  <c r="P138" i="27"/>
  <c r="P140" i="27" s="1"/>
  <c r="P141" i="27"/>
  <c r="P143" i="27" s="1"/>
  <c r="DE5" i="27"/>
  <c r="DE59" i="27" s="1"/>
  <c r="DF4" i="27"/>
  <c r="R59" i="27"/>
  <c r="R129" i="27"/>
  <c r="R131" i="27" s="1"/>
  <c r="AJ63" i="27"/>
  <c r="AJ37" i="27"/>
  <c r="AR63" i="27"/>
  <c r="AN37" i="27"/>
  <c r="AN63" i="27"/>
  <c r="AQ63" i="27"/>
  <c r="AQ37" i="27"/>
  <c r="AL63" i="27"/>
  <c r="AL39" i="27"/>
  <c r="AL53" i="27"/>
  <c r="AL52" i="27"/>
  <c r="AT36" i="27"/>
  <c r="AS64" i="27"/>
  <c r="R63" i="27"/>
  <c r="AM52" i="27"/>
  <c r="AM90" i="27"/>
  <c r="AM53" i="27"/>
  <c r="AM58" i="27"/>
  <c r="AM39" i="27"/>
  <c r="AK51" i="27"/>
  <c r="AK43" i="27"/>
  <c r="AX35" i="27"/>
  <c r="AX37" i="27" s="1"/>
  <c r="AB58" i="27"/>
  <c r="X129" i="27"/>
  <c r="X131" i="27" s="1"/>
  <c r="X138" i="27"/>
  <c r="X140" i="27" s="1"/>
  <c r="X141" i="27"/>
  <c r="X143" i="27" s="1"/>
  <c r="X135" i="27"/>
  <c r="X39" i="27"/>
  <c r="X132" i="27"/>
  <c r="X134" i="27" s="1"/>
  <c r="X90" i="27"/>
  <c r="X52" i="27"/>
  <c r="X53" i="27"/>
  <c r="H56" i="27"/>
  <c r="H47" i="27"/>
  <c r="AD39" i="27"/>
  <c r="AD58" i="27"/>
  <c r="AD53" i="27"/>
  <c r="P63" i="27"/>
  <c r="L37" i="27"/>
  <c r="L63" i="27"/>
  <c r="R52" i="27"/>
  <c r="R39" i="27"/>
  <c r="R141" i="27"/>
  <c r="R143" i="27" s="1"/>
  <c r="R58" i="27"/>
  <c r="R53" i="27"/>
  <c r="R135" i="27"/>
  <c r="R137" i="27" s="1"/>
  <c r="R90" i="27"/>
  <c r="AO63" i="27"/>
  <c r="AO37" i="27"/>
  <c r="AD63" i="27"/>
  <c r="CX60" i="27"/>
  <c r="CY60" i="27"/>
  <c r="CX5" i="27"/>
  <c r="DB35" i="27"/>
  <c r="Z129" i="27"/>
  <c r="Z131" i="27" s="1"/>
  <c r="Z132" i="27"/>
  <c r="Z134" i="27" s="1"/>
  <c r="Z53" i="27"/>
  <c r="Z52" i="27"/>
  <c r="Z141" i="27"/>
  <c r="Z143" i="27" s="1"/>
  <c r="Z90" i="27"/>
  <c r="Z138" i="27"/>
  <c r="Z140" i="27" s="1"/>
  <c r="Z39" i="27"/>
  <c r="AG52" i="27"/>
  <c r="AG39" i="27"/>
  <c r="AG53" i="27"/>
  <c r="L59" i="27"/>
  <c r="AC63" i="27"/>
  <c r="AC37" i="27"/>
  <c r="AG63" i="27"/>
  <c r="AV51" i="27"/>
  <c r="AV43" i="27"/>
  <c r="CX35" i="27"/>
  <c r="W136" i="27"/>
  <c r="G48" i="27"/>
  <c r="G112" i="27"/>
  <c r="AW6" i="27"/>
  <c r="AW35" i="27" s="1"/>
  <c r="AW37" i="27" s="1"/>
  <c r="AS35" i="27"/>
  <c r="DE6" i="27"/>
  <c r="DZ41" i="27" l="1"/>
  <c r="DY42" i="27"/>
  <c r="DY43" i="27" s="1"/>
  <c r="DZ37" i="27"/>
  <c r="DZ39" i="27" s="1"/>
  <c r="AA51" i="27"/>
  <c r="AA127" i="27" s="1"/>
  <c r="CI45" i="27"/>
  <c r="CI54" i="27"/>
  <c r="CE47" i="27"/>
  <c r="CE56" i="27"/>
  <c r="CF54" i="27"/>
  <c r="CF45" i="27"/>
  <c r="CG54" i="27"/>
  <c r="CG45" i="27"/>
  <c r="CH47" i="27"/>
  <c r="CH56" i="27"/>
  <c r="DA53" i="27"/>
  <c r="U43" i="27"/>
  <c r="U45" i="27" s="1"/>
  <c r="AA128" i="27"/>
  <c r="Y51" i="27"/>
  <c r="Y127" i="27" s="1"/>
  <c r="DA58" i="27"/>
  <c r="U128" i="27"/>
  <c r="AF51" i="27"/>
  <c r="DA63" i="27"/>
  <c r="J47" i="27"/>
  <c r="J48" i="27" s="1"/>
  <c r="DC59" i="27"/>
  <c r="O128" i="27"/>
  <c r="DC35" i="27"/>
  <c r="DC37" i="27" s="1"/>
  <c r="W39" i="27"/>
  <c r="W51" i="27" s="1"/>
  <c r="W127" i="27" s="1"/>
  <c r="N128" i="27"/>
  <c r="W141" i="27"/>
  <c r="W143" i="27" s="1"/>
  <c r="AR52" i="27"/>
  <c r="AV58" i="27"/>
  <c r="DD59" i="27"/>
  <c r="V58" i="27"/>
  <c r="AR39" i="27"/>
  <c r="W138" i="27"/>
  <c r="W140" i="27" s="1"/>
  <c r="M129" i="27"/>
  <c r="M131" i="27" s="1"/>
  <c r="W53" i="27"/>
  <c r="W90" i="27"/>
  <c r="M132" i="27"/>
  <c r="M134" i="27" s="1"/>
  <c r="W135" i="27"/>
  <c r="W137" i="27" s="1"/>
  <c r="W132" i="27"/>
  <c r="W134" i="27" s="1"/>
  <c r="W129" i="27"/>
  <c r="W131" i="27" s="1"/>
  <c r="W52" i="27"/>
  <c r="O51" i="27"/>
  <c r="O127" i="27" s="1"/>
  <c r="O43" i="27"/>
  <c r="AA58" i="27"/>
  <c r="M39" i="27"/>
  <c r="M51" i="27" s="1"/>
  <c r="M127" i="27" s="1"/>
  <c r="M90" i="27"/>
  <c r="M141" i="27"/>
  <c r="M143" i="27" s="1"/>
  <c r="M52" i="27"/>
  <c r="AP51" i="27"/>
  <c r="AE39" i="27"/>
  <c r="AE43" i="27" s="1"/>
  <c r="AE54" i="27" s="1"/>
  <c r="AE53" i="27"/>
  <c r="AE58" i="27"/>
  <c r="AH58" i="27"/>
  <c r="AL58" i="27"/>
  <c r="AI58" i="27"/>
  <c r="M53" i="27"/>
  <c r="AI43" i="27"/>
  <c r="AI51" i="27"/>
  <c r="CZ63" i="27"/>
  <c r="S128" i="27"/>
  <c r="M135" i="27"/>
  <c r="M137" i="27" s="1"/>
  <c r="M138" i="27"/>
  <c r="M140" i="27" s="1"/>
  <c r="V53" i="27"/>
  <c r="V135" i="27"/>
  <c r="V137" i="27" s="1"/>
  <c r="V129" i="27"/>
  <c r="V131" i="27" s="1"/>
  <c r="AB43" i="27"/>
  <c r="AB51" i="27"/>
  <c r="P128" i="27"/>
  <c r="Z58" i="27"/>
  <c r="V138" i="27"/>
  <c r="V140" i="27" s="1"/>
  <c r="V132" i="27"/>
  <c r="V134" i="27" s="1"/>
  <c r="V141" i="27"/>
  <c r="V143" i="27" s="1"/>
  <c r="V39" i="27"/>
  <c r="V51" i="27" s="1"/>
  <c r="V127" i="27" s="1"/>
  <c r="V52" i="27"/>
  <c r="AH52" i="27"/>
  <c r="AH53" i="27"/>
  <c r="CW39" i="27"/>
  <c r="CW43" i="27" s="1"/>
  <c r="CW45" i="27" s="1"/>
  <c r="CW56" i="27" s="1"/>
  <c r="CW58" i="27"/>
  <c r="AA54" i="27"/>
  <c r="AA45" i="27"/>
  <c r="X58" i="27"/>
  <c r="T53" i="27"/>
  <c r="T141" i="27"/>
  <c r="T143" i="27" s="1"/>
  <c r="T90" i="27"/>
  <c r="T52" i="27"/>
  <c r="T39" i="27"/>
  <c r="T138" i="27"/>
  <c r="T140" i="27" s="1"/>
  <c r="T135" i="27"/>
  <c r="T137" i="27" s="1"/>
  <c r="T132" i="27"/>
  <c r="T134" i="27" s="1"/>
  <c r="T129" i="27"/>
  <c r="T131" i="27" s="1"/>
  <c r="CY52" i="27"/>
  <c r="CY39" i="27"/>
  <c r="CY53" i="27"/>
  <c r="N43" i="27"/>
  <c r="N51" i="27"/>
  <c r="N127" i="27" s="1"/>
  <c r="AT65" i="27"/>
  <c r="AT35" i="27"/>
  <c r="AT63" i="27" s="1"/>
  <c r="AU19" i="27"/>
  <c r="S51" i="27"/>
  <c r="S127" i="27" s="1"/>
  <c r="R128" i="27"/>
  <c r="K141" i="27"/>
  <c r="K143" i="27" s="1"/>
  <c r="K52" i="27"/>
  <c r="K138" i="27"/>
  <c r="K140" i="27" s="1"/>
  <c r="K132" i="27"/>
  <c r="K134" i="27" s="1"/>
  <c r="K90" i="27"/>
  <c r="K135" i="27"/>
  <c r="K137" i="27" s="1"/>
  <c r="K129" i="27"/>
  <c r="K131" i="27" s="1"/>
  <c r="O58" i="27"/>
  <c r="K53" i="27"/>
  <c r="K58" i="27"/>
  <c r="K39" i="27"/>
  <c r="DA59" i="27"/>
  <c r="CZ59" i="27"/>
  <c r="AO58" i="27"/>
  <c r="AO39" i="27"/>
  <c r="AO53" i="27"/>
  <c r="AO52" i="27"/>
  <c r="X51" i="27"/>
  <c r="X127" i="27" s="1"/>
  <c r="X43" i="27"/>
  <c r="AM43" i="27"/>
  <c r="AM51" i="27"/>
  <c r="AL51" i="27"/>
  <c r="AL43" i="27"/>
  <c r="Y54" i="27"/>
  <c r="Y45" i="27"/>
  <c r="P43" i="27"/>
  <c r="P51" i="27"/>
  <c r="P127" i="27" s="1"/>
  <c r="L53" i="27"/>
  <c r="L138" i="27"/>
  <c r="L140" i="27" s="1"/>
  <c r="L141" i="27"/>
  <c r="L143" i="27" s="1"/>
  <c r="L52" i="27"/>
  <c r="L135" i="27"/>
  <c r="L137" i="27" s="1"/>
  <c r="L132" i="27"/>
  <c r="L134" i="27" s="1"/>
  <c r="L39" i="27"/>
  <c r="L58" i="27"/>
  <c r="L90" i="27"/>
  <c r="L129" i="27"/>
  <c r="L131" i="27" s="1"/>
  <c r="AQ52" i="27"/>
  <c r="AQ58" i="27"/>
  <c r="AQ39" i="27"/>
  <c r="AQ53" i="27"/>
  <c r="DF5" i="27"/>
  <c r="DF59" i="27" s="1"/>
  <c r="DG4" i="27"/>
  <c r="AT64" i="27"/>
  <c r="AU36" i="27"/>
  <c r="AU64" i="27" s="1"/>
  <c r="DE36" i="27"/>
  <c r="DF36" i="27" s="1"/>
  <c r="DG36" i="27" s="1"/>
  <c r="DH36" i="27" s="1"/>
  <c r="DI36" i="27" s="1"/>
  <c r="DJ36" i="27" s="1"/>
  <c r="Z128" i="27"/>
  <c r="AD51" i="27"/>
  <c r="AD43" i="27"/>
  <c r="DB37" i="27"/>
  <c r="DB63" i="27"/>
  <c r="H112" i="27"/>
  <c r="H48" i="27"/>
  <c r="AG43" i="27"/>
  <c r="AG51" i="27"/>
  <c r="CY59" i="27"/>
  <c r="CX59" i="27"/>
  <c r="R51" i="27"/>
  <c r="R127" i="27" s="1"/>
  <c r="R43" i="27"/>
  <c r="AN53" i="27"/>
  <c r="AN58" i="27"/>
  <c r="AN39" i="27"/>
  <c r="AN52" i="27"/>
  <c r="AR58" i="27"/>
  <c r="Q53" i="27"/>
  <c r="Q141" i="27"/>
  <c r="Q143" i="27" s="1"/>
  <c r="Q90" i="27"/>
  <c r="Q52" i="27"/>
  <c r="Q39" i="27"/>
  <c r="Q129" i="27"/>
  <c r="Q131" i="27" s="1"/>
  <c r="Q58" i="27"/>
  <c r="Q132" i="27"/>
  <c r="Q134" i="27" s="1"/>
  <c r="Q138" i="27"/>
  <c r="Q140" i="27" s="1"/>
  <c r="U58" i="27"/>
  <c r="Q135" i="27"/>
  <c r="Q137" i="27" s="1"/>
  <c r="AH43" i="27"/>
  <c r="AH54" i="27" s="1"/>
  <c r="CZ52" i="27"/>
  <c r="CZ53" i="27"/>
  <c r="CZ58" i="27"/>
  <c r="Z51" i="27"/>
  <c r="Z127" i="27" s="1"/>
  <c r="Z43" i="27"/>
  <c r="AK45" i="27"/>
  <c r="AK54" i="27"/>
  <c r="AJ53" i="27"/>
  <c r="AJ39" i="27"/>
  <c r="AJ52" i="27"/>
  <c r="AJ58" i="27"/>
  <c r="P58" i="27"/>
  <c r="AV45" i="27"/>
  <c r="AV54" i="27"/>
  <c r="AP45" i="27"/>
  <c r="AP54" i="27"/>
  <c r="X136" i="27"/>
  <c r="AF45" i="27"/>
  <c r="AF54" i="27"/>
  <c r="CY63" i="27"/>
  <c r="CX37" i="27"/>
  <c r="AG58" i="27"/>
  <c r="AC58" i="27"/>
  <c r="AC39" i="27"/>
  <c r="AC53" i="27"/>
  <c r="AC52" i="27"/>
  <c r="AS37" i="27"/>
  <c r="AS63" i="27"/>
  <c r="DE35" i="27"/>
  <c r="DF6" i="27"/>
  <c r="S54" i="27"/>
  <c r="S45" i="27"/>
  <c r="EA41" i="27" l="1"/>
  <c r="DZ42" i="27"/>
  <c r="DZ43" i="27" s="1"/>
  <c r="EA37" i="27"/>
  <c r="EA39" i="27" s="1"/>
  <c r="U54" i="27"/>
  <c r="CE48" i="27"/>
  <c r="CE55" i="27"/>
  <c r="CI56" i="27"/>
  <c r="CI47" i="27"/>
  <c r="CF56" i="27"/>
  <c r="CF47" i="27"/>
  <c r="CG56" i="27"/>
  <c r="CG47" i="27"/>
  <c r="CH48" i="27"/>
  <c r="CH55" i="27"/>
  <c r="DD63" i="27"/>
  <c r="AE45" i="27"/>
  <c r="AE56" i="27" s="1"/>
  <c r="W43" i="27"/>
  <c r="W45" i="27" s="1"/>
  <c r="W128" i="27"/>
  <c r="J112" i="27"/>
  <c r="DC63" i="27"/>
  <c r="V43" i="27"/>
  <c r="V54" i="27" s="1"/>
  <c r="M43" i="27"/>
  <c r="M45" i="27" s="1"/>
  <c r="CZ39" i="27"/>
  <c r="CZ38" i="27" s="1"/>
  <c r="AE51" i="27"/>
  <c r="AR51" i="27"/>
  <c r="AR43" i="27"/>
  <c r="DB39" i="27"/>
  <c r="DB43" i="27" s="1"/>
  <c r="DB45" i="27" s="1"/>
  <c r="DB47" i="27" s="1"/>
  <c r="O45" i="27"/>
  <c r="O54" i="27"/>
  <c r="M128" i="27"/>
  <c r="V128" i="27"/>
  <c r="AH45" i="27"/>
  <c r="AH56" i="27" s="1"/>
  <c r="AI54" i="27"/>
  <c r="AI45" i="27"/>
  <c r="T128" i="27"/>
  <c r="AB45" i="27"/>
  <c r="AB54" i="27"/>
  <c r="K128" i="27"/>
  <c r="T43" i="27"/>
  <c r="T51" i="27"/>
  <c r="T127" i="27" s="1"/>
  <c r="N45" i="27"/>
  <c r="N54" i="27"/>
  <c r="CY51" i="27"/>
  <c r="CY43" i="27"/>
  <c r="AT37" i="27"/>
  <c r="K43" i="27"/>
  <c r="K51" i="27"/>
  <c r="K127" i="27" s="1"/>
  <c r="AA47" i="27"/>
  <c r="AA56" i="27"/>
  <c r="AU65" i="27"/>
  <c r="AU35" i="27"/>
  <c r="AU63" i="27" s="1"/>
  <c r="Z45" i="27"/>
  <c r="Z54" i="27"/>
  <c r="Q128" i="27"/>
  <c r="DG5" i="27"/>
  <c r="DG59" i="27" s="1"/>
  <c r="DH4" i="27"/>
  <c r="AM54" i="27"/>
  <c r="AM45" i="27"/>
  <c r="Q43" i="27"/>
  <c r="Q51" i="27"/>
  <c r="Q127" i="27" s="1"/>
  <c r="AD45" i="27"/>
  <c r="AD54" i="27"/>
  <c r="X54" i="27"/>
  <c r="X45" i="27"/>
  <c r="AQ51" i="27"/>
  <c r="AQ43" i="27"/>
  <c r="R45" i="27"/>
  <c r="R54" i="27"/>
  <c r="AG54" i="27"/>
  <c r="AG45" i="27"/>
  <c r="CX39" i="27"/>
  <c r="CX43" i="27" s="1"/>
  <c r="CX45" i="27" s="1"/>
  <c r="CX56" i="27" s="1"/>
  <c r="AJ43" i="27"/>
  <c r="AJ51" i="27"/>
  <c r="DC39" i="27"/>
  <c r="DC43" i="27" s="1"/>
  <c r="DC54" i="27" s="1"/>
  <c r="W54" i="27"/>
  <c r="L128" i="27"/>
  <c r="P54" i="27"/>
  <c r="P45" i="27"/>
  <c r="Y47" i="27"/>
  <c r="Y56" i="27"/>
  <c r="AO51" i="27"/>
  <c r="AO43" i="27"/>
  <c r="AN43" i="27"/>
  <c r="AN51" i="27"/>
  <c r="DD39" i="27"/>
  <c r="DD43" i="27" s="1"/>
  <c r="DB52" i="27"/>
  <c r="DB53" i="27"/>
  <c r="DB58" i="27"/>
  <c r="AK47" i="27"/>
  <c r="AK56" i="27"/>
  <c r="L51" i="27"/>
  <c r="L127" i="27" s="1"/>
  <c r="L43" i="27"/>
  <c r="AL54" i="27"/>
  <c r="AL45" i="27"/>
  <c r="CX55" i="27"/>
  <c r="CX53" i="27"/>
  <c r="CX58" i="27"/>
  <c r="CX52" i="27"/>
  <c r="CY58" i="27"/>
  <c r="Y136" i="27"/>
  <c r="Y137" i="27" s="1"/>
  <c r="Y128" i="27" s="1"/>
  <c r="X137" i="27"/>
  <c r="X128" i="27" s="1"/>
  <c r="AP47" i="27"/>
  <c r="AP56" i="27"/>
  <c r="DC58" i="27"/>
  <c r="DD58" i="27"/>
  <c r="S47" i="27"/>
  <c r="S56" i="27"/>
  <c r="DK36" i="27"/>
  <c r="DG6" i="27"/>
  <c r="DF35" i="27"/>
  <c r="DE63" i="27"/>
  <c r="DE37" i="27"/>
  <c r="AF47" i="27"/>
  <c r="AF56" i="27"/>
  <c r="AS53" i="27"/>
  <c r="AS39" i="27"/>
  <c r="AS43" i="27" s="1"/>
  <c r="AS52" i="27"/>
  <c r="AS58" i="27"/>
  <c r="DA39" i="27"/>
  <c r="AC51" i="27"/>
  <c r="AC43" i="27"/>
  <c r="U56" i="27"/>
  <c r="U47" i="27"/>
  <c r="AV56" i="27"/>
  <c r="AV47" i="27"/>
  <c r="EB41" i="27" l="1"/>
  <c r="EA42" i="27"/>
  <c r="EA43" i="27" s="1"/>
  <c r="EB37" i="27"/>
  <c r="EB39" i="27" s="1"/>
  <c r="EC37" i="27"/>
  <c r="EC39" i="27" s="1"/>
  <c r="CI55" i="27"/>
  <c r="CI48" i="27"/>
  <c r="CF55" i="27"/>
  <c r="CF48" i="27"/>
  <c r="CG55" i="27"/>
  <c r="CG48" i="27"/>
  <c r="CZ43" i="27"/>
  <c r="CZ45" i="27" s="1"/>
  <c r="AE47" i="27"/>
  <c r="M54" i="27"/>
  <c r="DB54" i="27"/>
  <c r="CZ51" i="27"/>
  <c r="V45" i="27"/>
  <c r="V47" i="27" s="1"/>
  <c r="DB51" i="27"/>
  <c r="AH47" i="27"/>
  <c r="AH55" i="27" s="1"/>
  <c r="AR45" i="27"/>
  <c r="AR54" i="27"/>
  <c r="DB38" i="27"/>
  <c r="O56" i="27"/>
  <c r="O47" i="27"/>
  <c r="CX51" i="27"/>
  <c r="AI56" i="27"/>
  <c r="AI47" i="27"/>
  <c r="AU37" i="27"/>
  <c r="AU58" i="27" s="1"/>
  <c r="AB47" i="27"/>
  <c r="AB56" i="27"/>
  <c r="CX54" i="27"/>
  <c r="AA48" i="27"/>
  <c r="AA55" i="27"/>
  <c r="AA112" i="27"/>
  <c r="AT39" i="27"/>
  <c r="AT43" i="27" s="1"/>
  <c r="AT58" i="27"/>
  <c r="AT52" i="27"/>
  <c r="AT53" i="27"/>
  <c r="K54" i="27"/>
  <c r="K45" i="27"/>
  <c r="M47" i="27"/>
  <c r="M56" i="27"/>
  <c r="CY54" i="27"/>
  <c r="CY45" i="27"/>
  <c r="AS38" i="27"/>
  <c r="N56" i="27"/>
  <c r="N47" i="27"/>
  <c r="T45" i="27"/>
  <c r="T54" i="27"/>
  <c r="AD56" i="27"/>
  <c r="AD47" i="27"/>
  <c r="P47" i="27"/>
  <c r="P56" i="27"/>
  <c r="DD54" i="27"/>
  <c r="DD45" i="27"/>
  <c r="Q45" i="27"/>
  <c r="Q54" i="27"/>
  <c r="AM56" i="27"/>
  <c r="AM47" i="27"/>
  <c r="AN45" i="27"/>
  <c r="AN54" i="27"/>
  <c r="W47" i="27"/>
  <c r="W56" i="27"/>
  <c r="R47" i="27"/>
  <c r="R56" i="27"/>
  <c r="AK55" i="27"/>
  <c r="AK48" i="27"/>
  <c r="AL47" i="27"/>
  <c r="AL56" i="27"/>
  <c r="DH5" i="27"/>
  <c r="DH59" i="27" s="1"/>
  <c r="DI4" i="27"/>
  <c r="Y48" i="27"/>
  <c r="Y112" i="27"/>
  <c r="Y55" i="27"/>
  <c r="L54" i="27"/>
  <c r="L45" i="27"/>
  <c r="AO45" i="27"/>
  <c r="AO54" i="27"/>
  <c r="AQ54" i="27"/>
  <c r="AQ45" i="27"/>
  <c r="AG56" i="27"/>
  <c r="AG47" i="27"/>
  <c r="AJ45" i="27"/>
  <c r="AJ54" i="27"/>
  <c r="DC38" i="27"/>
  <c r="X56" i="27"/>
  <c r="X47" i="27"/>
  <c r="Z56" i="27"/>
  <c r="Z47" i="27"/>
  <c r="DB48" i="27"/>
  <c r="DB55" i="27"/>
  <c r="AF48" i="27"/>
  <c r="AF55" i="27"/>
  <c r="DF63" i="27"/>
  <c r="DF37" i="27"/>
  <c r="DA51" i="27"/>
  <c r="DA43" i="27"/>
  <c r="DA38" i="27"/>
  <c r="AS54" i="27"/>
  <c r="AS45" i="27"/>
  <c r="DH6" i="27"/>
  <c r="DG35" i="27"/>
  <c r="AP48" i="27"/>
  <c r="AP55" i="27"/>
  <c r="S55" i="27"/>
  <c r="S112" i="27"/>
  <c r="S48" i="27"/>
  <c r="U112" i="27"/>
  <c r="U55" i="27"/>
  <c r="U48" i="27"/>
  <c r="AV55" i="27"/>
  <c r="AV48" i="27"/>
  <c r="DE39" i="27"/>
  <c r="DE43" i="27" s="1"/>
  <c r="DE58" i="27"/>
  <c r="AE55" i="27"/>
  <c r="AE48" i="27"/>
  <c r="AC54" i="27"/>
  <c r="AC45" i="27"/>
  <c r="EC41" i="27" l="1"/>
  <c r="EC42" i="27" s="1"/>
  <c r="EC43" i="27" s="1"/>
  <c r="EB42" i="27"/>
  <c r="EB43" i="27" s="1"/>
  <c r="AH86" i="27"/>
  <c r="DB86" i="27" s="1"/>
  <c r="DC44" i="27" s="1"/>
  <c r="DC45" i="27" s="1"/>
  <c r="AH48" i="27"/>
  <c r="CZ54" i="27"/>
  <c r="V56" i="27"/>
  <c r="AR56" i="27"/>
  <c r="AR47" i="27"/>
  <c r="O48" i="27"/>
  <c r="S71" i="27" s="1"/>
  <c r="O112" i="27"/>
  <c r="O55" i="27"/>
  <c r="AI48" i="27"/>
  <c r="AI71" i="27" s="1"/>
  <c r="AI55" i="27"/>
  <c r="AT38" i="27"/>
  <c r="AB55" i="27"/>
  <c r="AB48" i="27"/>
  <c r="AF71" i="27" s="1"/>
  <c r="M112" i="27"/>
  <c r="M48" i="27"/>
  <c r="M55" i="27"/>
  <c r="K56" i="27"/>
  <c r="K47" i="27"/>
  <c r="T56" i="27"/>
  <c r="T47" i="27"/>
  <c r="N48" i="27"/>
  <c r="N55" i="27"/>
  <c r="N112" i="27"/>
  <c r="AT54" i="27"/>
  <c r="AT45" i="27"/>
  <c r="CY47" i="27"/>
  <c r="CY56" i="27"/>
  <c r="DD56" i="27"/>
  <c r="DD47" i="27"/>
  <c r="L47" i="27"/>
  <c r="L56" i="27"/>
  <c r="X48" i="27"/>
  <c r="X55" i="27"/>
  <c r="X112" i="27"/>
  <c r="Z55" i="27"/>
  <c r="Z112" i="27"/>
  <c r="Z48" i="27"/>
  <c r="R55" i="27"/>
  <c r="R48" i="27"/>
  <c r="R112" i="27"/>
  <c r="P55" i="27"/>
  <c r="P112" i="27"/>
  <c r="P48" i="27"/>
  <c r="AD48" i="27"/>
  <c r="AH71" i="27" s="1"/>
  <c r="AD55" i="27"/>
  <c r="AO47" i="27"/>
  <c r="AO56" i="27"/>
  <c r="W112" i="27"/>
  <c r="W48" i="27"/>
  <c r="AA71" i="27" s="1"/>
  <c r="W55" i="27"/>
  <c r="AQ47" i="27"/>
  <c r="AQ56" i="27"/>
  <c r="Q56" i="27"/>
  <c r="Q47" i="27"/>
  <c r="AJ47" i="27"/>
  <c r="AJ56" i="27"/>
  <c r="AG48" i="27"/>
  <c r="AK71" i="27" s="1"/>
  <c r="AG55" i="27"/>
  <c r="AN47" i="27"/>
  <c r="AN56" i="27"/>
  <c r="AL48" i="27"/>
  <c r="AP71" i="27" s="1"/>
  <c r="AL55" i="27"/>
  <c r="DJ4" i="27"/>
  <c r="DI5" i="27"/>
  <c r="DI59" i="27" s="1"/>
  <c r="AM48" i="27"/>
  <c r="AM55" i="27"/>
  <c r="AM112" i="27"/>
  <c r="CZ47" i="27"/>
  <c r="CZ56" i="27"/>
  <c r="AS46" i="27"/>
  <c r="AS56" i="27" s="1"/>
  <c r="DF58" i="27"/>
  <c r="DF39" i="27"/>
  <c r="DF38" i="27" s="1"/>
  <c r="DF41" i="27"/>
  <c r="DA54" i="27"/>
  <c r="DA45" i="27"/>
  <c r="Y71" i="27"/>
  <c r="DG63" i="27"/>
  <c r="DG37" i="27"/>
  <c r="AC47" i="27"/>
  <c r="AC56" i="27"/>
  <c r="DI6" i="27"/>
  <c r="DH35" i="27"/>
  <c r="DE38" i="27"/>
  <c r="AE71" i="27"/>
  <c r="DE54" i="27"/>
  <c r="DE45" i="27"/>
  <c r="V112" i="27"/>
  <c r="V55" i="27"/>
  <c r="V48" i="27"/>
  <c r="AM71" i="27" l="1"/>
  <c r="AR48" i="27"/>
  <c r="AV71" i="27" s="1"/>
  <c r="AR55" i="27"/>
  <c r="AL71" i="27"/>
  <c r="W71" i="27"/>
  <c r="T55" i="27"/>
  <c r="T48" i="27"/>
  <c r="T71" i="27" s="1"/>
  <c r="T112" i="27"/>
  <c r="AT46" i="27"/>
  <c r="AT56" i="27" s="1"/>
  <c r="K55" i="27"/>
  <c r="K48" i="27"/>
  <c r="O71" i="27" s="1"/>
  <c r="K112" i="27"/>
  <c r="R71" i="27"/>
  <c r="CY55" i="27"/>
  <c r="CY48" i="27"/>
  <c r="CY71" i="27" s="1"/>
  <c r="AO48" i="27"/>
  <c r="AO71" i="27" s="1"/>
  <c r="AO55" i="27"/>
  <c r="CZ55" i="27"/>
  <c r="CZ48" i="27"/>
  <c r="AJ48" i="27"/>
  <c r="AJ71" i="27" s="1"/>
  <c r="AJ55" i="27"/>
  <c r="AD71" i="27"/>
  <c r="X71" i="27"/>
  <c r="AB71" i="27"/>
  <c r="Q48" i="27"/>
  <c r="Q55" i="27"/>
  <c r="Q112" i="27"/>
  <c r="AN55" i="27"/>
  <c r="AN48" i="27"/>
  <c r="DJ5" i="27"/>
  <c r="L48" i="27"/>
  <c r="P71" i="27" s="1"/>
  <c r="L55" i="27"/>
  <c r="L112" i="27"/>
  <c r="AQ55" i="27"/>
  <c r="AQ48" i="27"/>
  <c r="DD48" i="27"/>
  <c r="DD55" i="27"/>
  <c r="DJ6" i="27"/>
  <c r="DI35" i="27"/>
  <c r="DI37" i="27" s="1"/>
  <c r="DE46" i="27"/>
  <c r="DE47" i="27" s="1"/>
  <c r="DF42" i="27"/>
  <c r="DF43" i="27" s="1"/>
  <c r="DF70" i="27"/>
  <c r="AS47" i="27"/>
  <c r="AC48" i="27"/>
  <c r="AC55" i="27"/>
  <c r="DG58" i="27"/>
  <c r="DG39" i="27"/>
  <c r="DG38" i="27" s="1"/>
  <c r="DG41" i="27"/>
  <c r="DA46" i="27"/>
  <c r="DA47" i="27" s="1"/>
  <c r="V71" i="27"/>
  <c r="Z71" i="27"/>
  <c r="DH63" i="27"/>
  <c r="DH37" i="27"/>
  <c r="DC46" i="27"/>
  <c r="DC47" i="27" s="1"/>
  <c r="AT47" i="27" l="1"/>
  <c r="AT48" i="27" s="1"/>
  <c r="AT71" i="27" s="1"/>
  <c r="CZ71" i="27"/>
  <c r="Q71" i="27"/>
  <c r="U71" i="27"/>
  <c r="AN71" i="27"/>
  <c r="AR71" i="27"/>
  <c r="AQ71" i="27"/>
  <c r="AU71" i="27"/>
  <c r="DF54" i="27"/>
  <c r="DC48" i="27"/>
  <c r="DC55" i="27"/>
  <c r="DC86" i="27"/>
  <c r="DD86" i="27" s="1"/>
  <c r="DE86" i="27" s="1"/>
  <c r="DG43" i="27"/>
  <c r="DH41" i="27"/>
  <c r="DH58" i="27"/>
  <c r="DH39" i="27"/>
  <c r="AC71" i="27"/>
  <c r="AG71" i="27"/>
  <c r="DA48" i="27"/>
  <c r="DA55" i="27"/>
  <c r="DE55" i="27"/>
  <c r="DE48" i="27"/>
  <c r="DE71" i="27" s="1"/>
  <c r="DI39" i="27"/>
  <c r="DI58" i="27"/>
  <c r="DI41" i="27"/>
  <c r="AS48" i="27"/>
  <c r="AS71" i="27" s="1"/>
  <c r="AS55" i="27"/>
  <c r="DG42" i="27"/>
  <c r="DG70" i="27"/>
  <c r="DJ35" i="27"/>
  <c r="DJ37" i="27" s="1"/>
  <c r="AT55" i="27" l="1"/>
  <c r="DH70" i="27"/>
  <c r="DH42" i="27"/>
  <c r="DH43" i="27" s="1"/>
  <c r="DJ41" i="27"/>
  <c r="DI42" i="27"/>
  <c r="DI43" i="27" s="1"/>
  <c r="DA71" i="27"/>
  <c r="DB71" i="27"/>
  <c r="DF44" i="27"/>
  <c r="DF45" i="27" s="1"/>
  <c r="DC71" i="27"/>
  <c r="DD71" i="27"/>
  <c r="DK35" i="27"/>
  <c r="DK37" i="27" s="1"/>
  <c r="DI38" i="27"/>
  <c r="DH38" i="27"/>
  <c r="DG54" i="27"/>
  <c r="DJ58" i="27"/>
  <c r="DJ39" i="27"/>
  <c r="DJ38" i="27" s="1"/>
  <c r="DI54" i="27" l="1"/>
  <c r="DF46" i="27"/>
  <c r="DF47" i="27" s="1"/>
  <c r="DJ42" i="27"/>
  <c r="DJ43" i="27" s="1"/>
  <c r="DK41" i="27"/>
  <c r="DM37" i="27"/>
  <c r="DL35" i="27"/>
  <c r="DL37" i="27" s="1"/>
  <c r="DH54" i="27"/>
  <c r="DK39" i="27"/>
  <c r="DK58" i="27"/>
  <c r="DJ54" i="27" l="1"/>
  <c r="DF48" i="27"/>
  <c r="DF71" i="27" s="1"/>
  <c r="DF55" i="27"/>
  <c r="DF86" i="27"/>
  <c r="DL58" i="27"/>
  <c r="DK42" i="27"/>
  <c r="DK43" i="27" s="1"/>
  <c r="DM58" i="27"/>
  <c r="DK38" i="27"/>
  <c r="DK54" i="27" l="1"/>
  <c r="DG44" i="27"/>
  <c r="DG45" i="27" s="1"/>
  <c r="DL54" i="27" l="1"/>
  <c r="DM54" i="27"/>
  <c r="DG46" i="27"/>
  <c r="DG47" i="27" s="1"/>
  <c r="DG55" i="27" l="1"/>
  <c r="DG48" i="27"/>
  <c r="DG71" i="27" s="1"/>
  <c r="DG86" i="27"/>
  <c r="DH44" i="27" l="1"/>
  <c r="DH45" i="27" s="1"/>
  <c r="DH46" i="27" l="1"/>
  <c r="DH47" i="27" s="1"/>
  <c r="DH48" i="27" l="1"/>
  <c r="DH71" i="27" s="1"/>
  <c r="DH55" i="27"/>
  <c r="DH86" i="27"/>
  <c r="DI44" i="27" l="1"/>
  <c r="DI45" i="27" s="1"/>
  <c r="DI46" i="27" l="1"/>
  <c r="DI47" i="27" s="1"/>
  <c r="DI48" i="27" l="1"/>
  <c r="DI55" i="27"/>
  <c r="DI86" i="27"/>
  <c r="DJ44" i="27" l="1"/>
  <c r="DJ45" i="27" s="1"/>
  <c r="DJ46" i="27" l="1"/>
  <c r="DJ47" i="27" s="1"/>
  <c r="DJ55" i="27" l="1"/>
  <c r="DJ48" i="27"/>
  <c r="DJ86" i="27"/>
  <c r="DK44" i="27" l="1"/>
  <c r="DK45" i="27" s="1"/>
  <c r="DK46" i="27" l="1"/>
  <c r="DK47" i="27" s="1"/>
  <c r="DK48" i="27" l="1"/>
  <c r="DK55" i="27"/>
  <c r="DK86" i="27"/>
  <c r="DL45" i="27" l="1"/>
  <c r="DL46" i="27" l="1"/>
  <c r="DL47" i="27" s="1"/>
  <c r="DL55" i="27" l="1"/>
  <c r="DL48" i="27"/>
  <c r="DL86" i="27"/>
  <c r="DM45" i="27" l="1"/>
  <c r="DM46" i="27" l="1"/>
  <c r="DM47" i="27" s="1"/>
  <c r="DM48" i="27" l="1"/>
  <c r="DM55" i="27"/>
  <c r="DM86" i="27"/>
  <c r="DO48" i="27" l="1"/>
  <c r="DT45" i="27" l="1"/>
  <c r="DT46" i="27" l="1"/>
  <c r="DT47" i="27" s="1"/>
  <c r="DT48" i="27" l="1"/>
  <c r="DT86" i="27"/>
  <c r="DU44" i="27" l="1"/>
  <c r="DU45" i="27" s="1"/>
  <c r="DU46" i="27" l="1"/>
  <c r="DU47" i="27" s="1"/>
  <c r="DU48" i="27" l="1"/>
  <c r="DU86" i="27"/>
  <c r="DV44" i="27" l="1"/>
  <c r="DV45" i="27" s="1"/>
  <c r="DV46" i="27" l="1"/>
  <c r="DV47" i="27"/>
  <c r="DV48" i="27" l="1"/>
  <c r="DV86" i="27"/>
  <c r="DW44" i="27" l="1"/>
  <c r="DW45" i="27" s="1"/>
  <c r="DW46" i="27" l="1"/>
  <c r="DW47" i="27" s="1"/>
  <c r="DW48" i="27" l="1"/>
  <c r="DW86" i="27"/>
  <c r="DX44" i="27" l="1"/>
  <c r="DX45" i="27" s="1"/>
  <c r="DX46" i="27" l="1"/>
  <c r="DX47" i="27"/>
  <c r="DX48" i="27" l="1"/>
  <c r="DX86" i="27"/>
  <c r="DY44" i="27" l="1"/>
  <c r="DY45" i="27" s="1"/>
  <c r="DY46" i="27" l="1"/>
  <c r="DY47" i="27"/>
  <c r="DY48" i="27" l="1"/>
  <c r="DY86" i="27"/>
  <c r="DZ44" i="27" l="1"/>
  <c r="DZ45" i="27" s="1"/>
  <c r="DZ46" i="27" l="1"/>
  <c r="DZ47" i="27"/>
  <c r="DZ48" i="27" l="1"/>
  <c r="DZ86" i="27"/>
  <c r="EA44" i="27" l="1"/>
  <c r="EA45" i="27" s="1"/>
  <c r="EA46" i="27" l="1"/>
  <c r="EA47" i="27" s="1"/>
  <c r="EA48" i="27" l="1"/>
  <c r="EA86" i="27"/>
  <c r="EB44" i="27" l="1"/>
  <c r="EB45" i="27" s="1"/>
  <c r="EB46" i="27" l="1"/>
  <c r="EB47" i="27" s="1"/>
  <c r="EB48" i="27" l="1"/>
  <c r="EB86" i="27"/>
  <c r="EC44" i="27" l="1"/>
  <c r="EC45" i="27" s="1"/>
  <c r="EC46" i="27" l="1"/>
  <c r="EC47" i="27" s="1"/>
  <c r="ED47" i="27" l="1"/>
  <c r="EE47" i="27" s="1"/>
  <c r="EF47" i="27" s="1"/>
  <c r="EG47" i="27" s="1"/>
  <c r="EH47" i="27" s="1"/>
  <c r="EI47" i="27" s="1"/>
  <c r="EJ47" i="27" s="1"/>
  <c r="EK47" i="27" s="1"/>
  <c r="EL47" i="27" s="1"/>
  <c r="EM47" i="27" s="1"/>
  <c r="EN47" i="27" s="1"/>
  <c r="EO47" i="27" s="1"/>
  <c r="EP47" i="27" s="1"/>
  <c r="EQ47" i="27" s="1"/>
  <c r="ER47" i="27" s="1"/>
  <c r="ES47" i="27" s="1"/>
  <c r="ET47" i="27" s="1"/>
  <c r="EU47" i="27" s="1"/>
  <c r="EV47" i="27" s="1"/>
  <c r="EW47" i="27" s="1"/>
  <c r="EX47" i="27" s="1"/>
  <c r="EY47" i="27" s="1"/>
  <c r="EZ47" i="27" s="1"/>
  <c r="FA47" i="27" s="1"/>
  <c r="FB47" i="27" s="1"/>
  <c r="FC47" i="27" s="1"/>
  <c r="FD47" i="27" s="1"/>
  <c r="FE47" i="27" s="1"/>
  <c r="FF47" i="27" s="1"/>
  <c r="FG47" i="27" s="1"/>
  <c r="FH47" i="27" s="1"/>
  <c r="FI47" i="27" s="1"/>
  <c r="FJ47" i="27" s="1"/>
  <c r="FK47" i="27" s="1"/>
  <c r="FL47" i="27" s="1"/>
  <c r="FM47" i="27" s="1"/>
  <c r="FN47" i="27" s="1"/>
  <c r="FO47" i="27" s="1"/>
  <c r="FP47" i="27" s="1"/>
  <c r="FQ47" i="27" s="1"/>
  <c r="FR47" i="27" s="1"/>
  <c r="FS47" i="27" s="1"/>
  <c r="FT47" i="27" s="1"/>
  <c r="FU47" i="27" s="1"/>
  <c r="FV47" i="27" s="1"/>
  <c r="FW47" i="27" s="1"/>
  <c r="FX47" i="27" s="1"/>
  <c r="FY47" i="27" s="1"/>
  <c r="FZ47" i="27" s="1"/>
  <c r="GA47" i="27" s="1"/>
  <c r="GB47" i="27" s="1"/>
  <c r="GC47" i="27" s="1"/>
  <c r="GD47" i="27" s="1"/>
  <c r="GE47" i="27" s="1"/>
  <c r="GF47" i="27" s="1"/>
  <c r="GG47" i="27" s="1"/>
  <c r="GH47" i="27" s="1"/>
  <c r="GI47" i="27" s="1"/>
  <c r="GJ47" i="27" s="1"/>
  <c r="GK47" i="27" s="1"/>
  <c r="EF53" i="27" s="1"/>
  <c r="EF54" i="27" s="1"/>
  <c r="EC48" i="27"/>
  <c r="EC86" i="27"/>
  <c r="GL47" i="27" l="1"/>
  <c r="GM47" i="27" s="1"/>
  <c r="GN47" i="27" s="1"/>
  <c r="GO47" i="27" s="1"/>
  <c r="GP47" i="27" s="1"/>
  <c r="GQ47" i="27" s="1"/>
  <c r="GR47" i="27" s="1"/>
  <c r="GS47" i="27" s="1"/>
  <c r="GT47" i="27" s="1"/>
  <c r="GU47" i="27" s="1"/>
  <c r="D156"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tc={D6A92409-CA99-40A1-88DC-B7A73ABD2D61}</author>
    <author>tc={44E7E711-BCC1-4AD2-8680-58369B8354DF}</author>
    <author>tc={3CC28BE0-8712-41A4-9E7A-C2331E672FA9}</author>
    <author>tc={E609C7CB-3EB7-4FF0-803C-2DC500014A2B}</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E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G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A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B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E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F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F8" authorId="0" shapeId="0" xr:uid="{00000000-0006-0000-0100-00001F000000}">
      <text>
        <r>
          <rPr>
            <b/>
            <sz val="8"/>
            <color indexed="81"/>
            <rFont val="Tahoma"/>
            <family val="2"/>
          </rPr>
          <t>Martin Shkreli:</t>
        </r>
        <r>
          <rPr>
            <sz val="8"/>
            <color indexed="81"/>
            <rFont val="Tahoma"/>
            <family val="2"/>
          </rPr>
          <t xml:space="preserve">
Official patent expiry?</t>
        </r>
      </text>
    </comment>
    <comment ref="DG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CW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36"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37" authorId="0" shapeId="0" xr:uid="{00000000-0006-0000-0100-000025000000}">
      <text>
        <r>
          <rPr>
            <b/>
            <sz val="8"/>
            <color indexed="81"/>
            <rFont val="Tahoma"/>
            <family val="2"/>
          </rPr>
          <t>Martin Shkreli:</t>
        </r>
        <r>
          <rPr>
            <sz val="8"/>
            <color indexed="81"/>
            <rFont val="Tahoma"/>
            <family val="2"/>
          </rPr>
          <t xml:space="preserve">
3324 consensus</t>
        </r>
      </text>
    </comment>
    <comment ref="Y37" authorId="0" shapeId="0" xr:uid="{00000000-0006-0000-0100-000026000000}">
      <text>
        <r>
          <rPr>
            <b/>
            <sz val="8"/>
            <color indexed="81"/>
            <rFont val="Tahoma"/>
            <family val="2"/>
          </rPr>
          <t>Martin Shkreli:</t>
        </r>
        <r>
          <rPr>
            <sz val="8"/>
            <color indexed="81"/>
            <rFont val="Tahoma"/>
            <family val="2"/>
          </rPr>
          <t xml:space="preserve">
inventory left channel</t>
        </r>
      </text>
    </comment>
    <comment ref="AA37" authorId="0" shapeId="0" xr:uid="{00000000-0006-0000-0100-000027000000}">
      <text>
        <r>
          <rPr>
            <b/>
            <sz val="8"/>
            <color indexed="81"/>
            <rFont val="Tahoma"/>
            <family val="2"/>
          </rPr>
          <t>Martin Shkreli:</t>
        </r>
        <r>
          <rPr>
            <sz val="8"/>
            <color indexed="81"/>
            <rFont val="Tahoma"/>
            <family val="2"/>
          </rPr>
          <t xml:space="preserve">
3768 mean</t>
        </r>
      </text>
    </comment>
    <comment ref="AJ37" authorId="0" shapeId="0" xr:uid="{00000000-0006-0000-0100-000028000000}">
      <text>
        <r>
          <rPr>
            <b/>
            <sz val="8"/>
            <color indexed="81"/>
            <rFont val="Tahoma"/>
            <family val="2"/>
          </rPr>
          <t>Martin Shkreli:</t>
        </r>
        <r>
          <rPr>
            <sz val="8"/>
            <color indexed="81"/>
            <rFont val="Tahoma"/>
            <family val="2"/>
          </rPr>
          <t xml:space="preserve">
3577 consensus</t>
        </r>
      </text>
    </comment>
    <comment ref="CZ37"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A37"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C37" authorId="0" shapeId="0" xr:uid="{00000000-0006-0000-0100-00002B000000}">
      <text>
        <r>
          <rPr>
            <b/>
            <sz val="8"/>
            <color indexed="81"/>
            <rFont val="Tahoma"/>
            <family val="2"/>
          </rPr>
          <t>Martin Shkreli:</t>
        </r>
        <r>
          <rPr>
            <sz val="8"/>
            <color indexed="81"/>
            <rFont val="Tahoma"/>
            <family val="2"/>
          </rPr>
          <t xml:space="preserve">
14.4-14.8bn guidance</t>
        </r>
      </text>
    </comment>
    <comment ref="DE37" authorId="5" shapeId="0" xr:uid="{00000000-0006-0000-0100-00002C000000}">
      <text>
        <r>
          <rPr>
            <b/>
            <sz val="9"/>
            <color indexed="81"/>
            <rFont val="Tahoma"/>
            <family val="2"/>
          </rPr>
          <t>Martin:</t>
        </r>
        <r>
          <rPr>
            <sz val="9"/>
            <color indexed="81"/>
            <rFont val="Tahoma"/>
            <family val="2"/>
          </rPr>
          <t xml:space="preserve">
Q410: 15.1-15.5</t>
        </r>
      </text>
    </comment>
    <comment ref="DA41"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C41"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BW47" authorId="6"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47" authorId="7"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47" authorId="8"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47" authorId="9"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48" authorId="0" shapeId="0" xr:uid="{00000000-0006-0000-0100-00002F000000}">
      <text>
        <r>
          <rPr>
            <b/>
            <sz val="8"/>
            <color indexed="81"/>
            <rFont val="Tahoma"/>
            <family val="2"/>
          </rPr>
          <t>Martin Shkreli:</t>
        </r>
        <r>
          <rPr>
            <sz val="8"/>
            <color indexed="81"/>
            <rFont val="Tahoma"/>
            <family val="2"/>
          </rPr>
          <t xml:space="preserve">
1.16 consensus</t>
        </r>
      </text>
    </comment>
    <comment ref="CW48" authorId="0" shapeId="0" xr:uid="{00000000-0006-0000-0100-000030000000}">
      <text>
        <r>
          <rPr>
            <b/>
            <sz val="8"/>
            <color indexed="81"/>
            <rFont val="Tahoma"/>
            <family val="2"/>
          </rPr>
          <t>Martin Shkreli:</t>
        </r>
        <r>
          <rPr>
            <sz val="8"/>
            <color indexed="81"/>
            <rFont val="Tahoma"/>
            <family val="2"/>
          </rPr>
          <t xml:space="preserve">
1.85-1.95 guidance</t>
        </r>
      </text>
    </comment>
    <comment ref="CX48" authorId="0" shapeId="0" xr:uid="{00000000-0006-0000-0100-000031000000}">
      <text>
        <r>
          <rPr>
            <b/>
            <sz val="8"/>
            <color indexed="81"/>
            <rFont val="Tahoma"/>
            <family val="2"/>
          </rPr>
          <t>Martin Shkreli:</t>
        </r>
        <r>
          <rPr>
            <sz val="8"/>
            <color indexed="81"/>
            <rFont val="Tahoma"/>
            <family val="2"/>
          </rPr>
          <t xml:space="preserve">
2.30-4.0 guidance</t>
        </r>
      </text>
    </comment>
    <comment ref="CY48"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CZ48"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A48"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C48"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E48" authorId="5" shapeId="0" xr:uid="{00000000-0006-0000-0100-000036000000}">
      <text>
        <r>
          <rPr>
            <b/>
            <sz val="9"/>
            <color indexed="81"/>
            <rFont val="Tahoma"/>
            <family val="2"/>
          </rPr>
          <t>Martin:</t>
        </r>
        <r>
          <rPr>
            <sz val="9"/>
            <color indexed="81"/>
            <rFont val="Tahoma"/>
            <family val="2"/>
          </rPr>
          <t xml:space="preserve">
Q410: 5.00-5.20</t>
        </r>
      </text>
    </comment>
    <comment ref="DA49"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E56" authorId="5" shapeId="0" xr:uid="{00000000-0006-0000-0100-000038000000}">
      <text>
        <r>
          <rPr>
            <b/>
            <sz val="9"/>
            <color indexed="81"/>
            <rFont val="Tahoma"/>
            <family val="2"/>
          </rPr>
          <t>Martin:</t>
        </r>
        <r>
          <rPr>
            <sz val="9"/>
            <color indexed="81"/>
            <rFont val="Tahoma"/>
            <family val="2"/>
          </rPr>
          <t xml:space="preserve">
Q410: 19-20%</t>
        </r>
      </text>
    </comment>
    <comment ref="CY58" authorId="0" shapeId="0" xr:uid="{00000000-0006-0000-0100-000039000000}">
      <text>
        <r>
          <rPr>
            <b/>
            <sz val="8"/>
            <color indexed="81"/>
            <rFont val="Tahoma"/>
            <family val="2"/>
          </rPr>
          <t>Martin Shkreli:</t>
        </r>
        <r>
          <rPr>
            <sz val="8"/>
            <color indexed="81"/>
            <rFont val="Tahoma"/>
            <family val="2"/>
          </rPr>
          <t xml:space="preserve">
12-16% guidance</t>
        </r>
      </text>
    </comment>
    <comment ref="CZ69" authorId="0" shapeId="0" xr:uid="{00000000-0006-0000-0100-00003A000000}">
      <text>
        <r>
          <rPr>
            <b/>
            <sz val="8"/>
            <color indexed="81"/>
            <rFont val="Tahoma"/>
            <family val="2"/>
          </rPr>
          <t>Martin Shkreli:</t>
        </r>
        <r>
          <rPr>
            <sz val="8"/>
            <color indexed="81"/>
            <rFont val="Tahoma"/>
            <family val="2"/>
          </rPr>
          <t xml:space="preserve">
30-40% growth guidance</t>
        </r>
      </text>
    </comment>
    <comment ref="CY71"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<sst xmlns="http://schemas.openxmlformats.org/spreadsheetml/2006/main" count="1513" uniqueCount="1296">
  <si>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</si>
  <si>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</si>
  <si>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</si>
  <si>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</si>
  <si>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</si>
  <si>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</si>
  <si>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</si>
  <si>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</si>
  <si>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</si>
  <si>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</si>
  <si>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</si>
  <si>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</si>
  <si>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</si>
  <si>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</si>
  <si>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</si>
  <si>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</si>
  <si>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</si>
  <si>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</si>
  <si>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</si>
  <si>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</si>
  <si>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</si>
  <si>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</si>
  <si>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</si>
  <si>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</si>
  <si>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</si>
  <si>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</si>
  <si>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</si>
  <si>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</si>
  <si>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</si>
  <si>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</si>
  <si>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</si>
  <si>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</si>
  <si>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</si>
  <si>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</si>
  <si>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</si>
  <si>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</si>
  <si>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</si>
  <si>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</si>
  <si>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</si>
  <si>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</si>
  <si>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</si>
  <si>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</si>
  <si>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</si>
  <si>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</si>
  <si>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</si>
  <si>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</si>
  <si>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</si>
  <si>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</si>
  <si>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</si>
  <si>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</si>
  <si>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</si>
  <si>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</si>
  <si>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</si>
  <si>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</si>
  <si>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</si>
  <si>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</si>
  <si>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</si>
  <si>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</si>
  <si>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</si>
  <si>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</si>
  <si>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</si>
  <si>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</si>
  <si>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</si>
  <si>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</si>
  <si>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</si>
  <si>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</si>
  <si>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</si>
  <si>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</si>
  <si>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</si>
  <si>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</si>
  <si>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</si>
  <si>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</si>
  <si>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</si>
  <si>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</si>
  <si>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</si>
  <si>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</si>
  <si>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</si>
  <si>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</si>
  <si>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</si>
  <si>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</si>
  <si>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</si>
  <si>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</si>
  <si>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</si>
  <si>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</si>
  <si>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</si>
  <si>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</si>
  <si>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</si>
  <si>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</si>
  <si>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</si>
  <si>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</si>
  <si>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</si>
  <si>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</si>
  <si>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</si>
  <si>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</si>
  <si>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</si>
  <si>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</si>
  <si>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</si>
  <si>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</si>
  <si>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</si>
  <si>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</si>
  <si>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</si>
  <si>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</si>
  <si>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</si>
  <si>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</si>
  <si>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</si>
  <si>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</si>
  <si>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</si>
  <si>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</si>
  <si>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</si>
  <si>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</si>
  <si>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</si>
  <si>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</si>
  <si>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</si>
  <si>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</si>
  <si>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</si>
  <si>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</si>
  <si>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</si>
  <si>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</si>
  <si>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</si>
  <si>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</si>
  <si>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</si>
  <si>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</si>
  <si>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</si>
  <si>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</si>
  <si>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</si>
  <si>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</si>
  <si>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</si>
  <si>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</si>
  <si>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</si>
  <si>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</si>
  <si>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</si>
  <si>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</si>
  <si>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</si>
  <si>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</si>
  <si>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</si>
  <si>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</si>
  <si>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</si>
  <si>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</si>
  <si>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</si>
  <si>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</si>
  <si>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</si>
  <si>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</si>
  <si>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</si>
  <si>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</si>
  <si>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</si>
  <si>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</si>
  <si>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</si>
  <si>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</si>
  <si>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</si>
  <si>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</si>
  <si>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</si>
  <si>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</si>
  <si>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</si>
  <si>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</si>
  <si>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</si>
  <si>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</si>
  <si>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</si>
  <si>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</si>
  <si>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</si>
  <si>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</si>
  <si>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</si>
  <si>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</si>
  <si>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</si>
  <si>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</si>
  <si>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</si>
  <si>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</si>
  <si>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</si>
  <si>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</si>
  <si>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</si>
  <si>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</si>
  <si>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</si>
  <si>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</si>
  <si>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</si>
  <si>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</si>
  <si>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</si>
  <si>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</si>
  <si>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</si>
  <si>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</si>
  <si>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</si>
  <si>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</si>
  <si>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</si>
  <si>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</si>
  <si>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</si>
  <si>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</si>
  <si>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</si>
  <si>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</si>
  <si>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</si>
  <si>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</si>
  <si>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</si>
  <si>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</si>
  <si>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</si>
  <si>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</si>
  <si>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</si>
  <si>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</si>
  <si>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</si>
  <si>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</si>
  <si>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</si>
  <si>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</si>
  <si>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</si>
  <si>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</si>
  <si>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</si>
  <si>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</si>
  <si>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</si>
  <si>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</si>
  <si>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</si>
  <si>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</si>
  <si>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</si>
  <si>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</si>
  <si>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</si>
  <si>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</si>
  <si>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</si>
  <si>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</si>
  <si>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</si>
  <si>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</si>
  <si>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</si>
  <si>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</si>
  <si>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</si>
  <si>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</si>
  <si>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</si>
  <si>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</si>
  <si>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</si>
  <si>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</si>
  <si>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</si>
  <si>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</si>
  <si>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</si>
  <si>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Filed</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</si>
  <si>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</si>
  <si>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</si>
  <si>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</si>
  <si>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</si>
  <si>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</si>
  <si>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</si>
  <si>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</si>
  <si>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</si>
  <si>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</si>
  <si>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</si>
  <si>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</si>
  <si>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</si>
  <si>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</si>
  <si>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</si>
  <si>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</si>
  <si>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</si>
  <si>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</si>
  <si>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</si>
  <si>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</si>
  <si>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</si>
  <si>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</si>
  <si>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</si>
  <si>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</si>
  <si>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</si>
  <si>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</si>
  <si>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</si>
  <si>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</si>
  <si>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</si>
  <si>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</si>
  <si>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</si>
  <si>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</si>
  <si>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</si>
  <si>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</si>
  <si>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</si>
  <si>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</si>
  <si>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</si>
  <si>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</si>
  <si>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</si>
  <si>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</si>
  <si>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</si>
  <si>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</si>
  <si>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</si>
  <si>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</si>
  <si>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</si>
  <si>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</si>
  <si>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</si>
  <si>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</si>
  <si>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</si>
  <si>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</si>
  <si>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</si>
  <si>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</si>
  <si>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</si>
  <si>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</si>
  <si>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</si>
  <si>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</si>
  <si>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</si>
  <si>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</si>
  <si>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</si>
  <si>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</si>
  <si>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</si>
  <si>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</si>
  <si>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</si>
  <si>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</si>
  <si>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</si>
  <si>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</si>
  <si>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</si>
  <si>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</si>
  <si>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</si>
  <si>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</si>
  <si>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</si>
  <si>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</si>
  <si>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</si>
  <si>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</si>
  <si>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</si>
  <si>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</si>
  <si>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</si>
  <si>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</si>
  <si>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</si>
  <si>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</si>
  <si>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</si>
  <si>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</si>
  <si>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</si>
  <si>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</si>
  <si>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</si>
  <si>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</si>
  <si>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</si>
  <si>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</si>
  <si>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</si>
  <si>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</si>
  <si>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</si>
  <si>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</si>
  <si>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</si>
  <si>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</si>
  <si>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</si>
  <si>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</si>
  <si>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</si>
  <si>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</si>
  <si>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</si>
  <si>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</si>
  <si>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</si>
  <si>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</si>
  <si>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</si>
  <si>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</si>
  <si>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</si>
  <si>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</si>
  <si>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</si>
  <si>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</si>
  <si>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</si>
  <si>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</si>
  <si>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</si>
  <si>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</si>
  <si>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</si>
  <si>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</si>
  <si>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</si>
  <si>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</si>
  <si>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</si>
  <si>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</si>
  <si>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</si>
  <si>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</si>
  <si>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</si>
  <si>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</si>
  <si>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</si>
  <si>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</si>
  <si>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</si>
  <si>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</si>
  <si>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</si>
  <si>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</si>
  <si>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</si>
  <si>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</si>
  <si>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</si>
  <si>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</si>
  <si>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</si>
  <si>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</si>
  <si>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</si>
  <si>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</si>
  <si>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</si>
  <si>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</si>
  <si>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</si>
  <si>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</si>
  <si>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</si>
  <si>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</si>
  <si>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</si>
  <si>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</si>
  <si>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</si>
  <si>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</si>
  <si>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</si>
  <si>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</si>
  <si>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</si>
  <si>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</si>
  <si>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</si>
  <si>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</si>
  <si>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</si>
  <si>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</si>
  <si>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</si>
  <si>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</si>
  <si>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</si>
  <si>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</si>
  <si>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NI</t>
  </si>
  <si>
    <t>Options Expense</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</si>
  <si>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</si>
  <si>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</si>
  <si>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</si>
  <si>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</si>
  <si>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</si>
  <si>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</si>
  <si>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</si>
  <si>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</si>
  <si>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</si>
  <si>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</si>
  <si>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</si>
  <si>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</si>
  <si>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</si>
  <si>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</si>
  <si>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</si>
  <si>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</si>
  <si>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</si>
  <si>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</si>
  <si>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</si>
  <si>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</si>
  <si>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</si>
  <si>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</si>
  <si>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</si>
  <si>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</si>
  <si>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</si>
  <si>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</si>
  <si>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</si>
  <si>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</si>
  <si>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</si>
  <si>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</si>
  <si>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</si>
  <si>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</si>
  <si>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</si>
  <si>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</si>
  <si>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</si>
  <si>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</si>
  <si>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</si>
  <si>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</si>
  <si>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</si>
  <si>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</si>
  <si>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</si>
  <si>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</si>
  <si>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</si>
  <si>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</si>
  <si>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</si>
  <si>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</si>
  <si>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</si>
  <si>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</si>
  <si>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</si>
  <si>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</si>
  <si>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</si>
  <si>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</si>
  <si>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</si>
  <si>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</si>
  <si>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</si>
  <si>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</si>
  <si>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</si>
  <si>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</si>
  <si>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</si>
  <si>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</si>
  <si>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</si>
  <si>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</si>
  <si>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</si>
  <si>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</si>
  <si>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</si>
  <si>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</si>
  <si>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</si>
  <si>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</si>
  <si>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</si>
  <si>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</si>
  <si>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</si>
  <si>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</si>
  <si>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</si>
  <si>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</si>
  <si>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</si>
  <si>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</si>
  <si>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</si>
  <si>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</si>
  <si>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</si>
  <si>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</si>
  <si>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</si>
  <si>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</si>
  <si>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</si>
  <si>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</si>
  <si>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</si>
  <si>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</si>
  <si>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</si>
  <si>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</si>
  <si>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</si>
  <si>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</si>
  <si>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</si>
  <si>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</si>
  <si>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</si>
  <si>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</si>
  <si>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</si>
  <si>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</si>
  <si>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</si>
  <si>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</si>
  <si>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</si>
  <si>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</si>
  <si>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</si>
  <si>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</si>
  <si>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</si>
  <si>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</si>
  <si>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</si>
  <si>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</si>
  <si>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</si>
  <si>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</si>
  <si>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</si>
  <si>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</si>
  <si>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</si>
  <si>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</si>
  <si>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</si>
  <si>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</si>
  <si>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</si>
  <si>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</si>
  <si>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</si>
  <si>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</si>
  <si>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</si>
  <si>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</si>
  <si>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</si>
  <si>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</si>
  <si>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</si>
  <si>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</si>
  <si>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</si>
  <si>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</si>
  <si>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</si>
  <si>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</si>
  <si>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</si>
  <si>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</si>
  <si>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</si>
  <si>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</si>
  <si>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</si>
  <si>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</si>
  <si>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</si>
  <si>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</si>
  <si>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</si>
  <si>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</si>
  <si>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</si>
  <si>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</si>
  <si>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</si>
  <si>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</si>
  <si>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</si>
  <si>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</si>
  <si>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</si>
  <si>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</si>
  <si>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</si>
  <si>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</si>
  <si>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</si>
  <si>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</si>
  <si>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</si>
  <si>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</si>
  <si>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</si>
  <si>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</si>
  <si>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</si>
  <si>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</si>
  <si>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</si>
  <si>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</si>
  <si>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</si>
  <si>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</si>
  <si>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</si>
  <si>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</si>
  <si>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</si>
  <si>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</si>
  <si>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</si>
  <si>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</si>
  <si>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</si>
  <si>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</si>
  <si>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</si>
  <si>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</si>
  <si>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</si>
  <si>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</si>
  <si>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</si>
  <si>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</si>
  <si>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</si>
  <si>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AMG531</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</si>
  <si>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</si>
  <si>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</si>
  <si>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</si>
  <si>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</si>
  <si>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</si>
  <si>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</si>
  <si>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</si>
  <si>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</si>
  <si>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</si>
  <si>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</si>
  <si>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</si>
  <si>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</si>
  <si>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</si>
  <si>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</si>
  <si>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</si>
  <si>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</si>
  <si>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</si>
  <si>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</si>
  <si>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</si>
  <si>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</si>
  <si>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</si>
  <si>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</si>
  <si>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</si>
  <si>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</si>
  <si>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</si>
  <si>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</si>
  <si>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</si>
  <si>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</si>
  <si>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</si>
  <si>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</si>
  <si>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</si>
  <si>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</si>
  <si>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</si>
  <si>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</si>
  <si>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</si>
  <si>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</si>
  <si>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</si>
  <si>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</si>
  <si>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</si>
  <si>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</si>
  <si>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</si>
  <si>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</si>
  <si>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</si>
  <si>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</si>
  <si>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</si>
  <si>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</si>
  <si>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</si>
  <si>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</si>
  <si>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</si>
  <si>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</si>
  <si>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</si>
  <si>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</si>
  <si>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</si>
  <si>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</si>
  <si>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</si>
  <si>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</si>
  <si>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</si>
  <si>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</si>
  <si>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</si>
  <si>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</si>
  <si>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</si>
  <si>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</si>
  <si>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</si>
  <si>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</si>
  <si>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</si>
  <si>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</si>
  <si>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</si>
  <si>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</si>
  <si>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</si>
  <si>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</si>
  <si>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</si>
  <si>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</si>
  <si>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</si>
  <si>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</si>
  <si>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</si>
  <si>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</si>
  <si>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</si>
  <si>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</si>
  <si>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</si>
  <si>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</si>
  <si>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</si>
  <si>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</si>
  <si>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</si>
  <si>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</si>
  <si>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</si>
  <si>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</si>
  <si>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</si>
  <si>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</si>
  <si>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</si>
  <si>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</si>
  <si>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</si>
  <si>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</si>
  <si>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</si>
  <si>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</si>
  <si>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</si>
  <si>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</si>
  <si>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</si>
  <si>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</si>
  <si>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</si>
  <si>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</si>
  <si>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</si>
  <si>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</si>
  <si>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</si>
  <si>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</si>
  <si>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</si>
  <si>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</si>
  <si>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</si>
  <si>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</si>
  <si>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</si>
  <si>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</si>
  <si>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</si>
  <si>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</si>
  <si>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</si>
  <si>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</si>
  <si>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</si>
  <si>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</si>
  <si>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</si>
  <si>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</si>
  <si>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</si>
  <si>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</si>
  <si>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</si>
  <si>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</si>
  <si>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</si>
  <si>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</si>
  <si>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</si>
  <si>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</si>
  <si>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</si>
  <si>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</si>
  <si>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</si>
  <si>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</si>
  <si>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</si>
  <si>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</si>
  <si>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</si>
  <si>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</si>
  <si>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</si>
  <si>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</si>
  <si>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</si>
  <si>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</si>
  <si>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</si>
  <si>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</si>
  <si>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</si>
  <si>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</si>
  <si>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</si>
  <si>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</si>
  <si>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</si>
  <si>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</si>
  <si>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</si>
  <si>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</si>
  <si>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</si>
  <si>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</si>
  <si>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</si>
  <si>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</si>
  <si>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</si>
  <si>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</si>
  <si>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</si>
  <si>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</si>
  <si>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</si>
  <si>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</si>
  <si>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</si>
  <si>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</si>
  <si>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</si>
  <si>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</si>
  <si>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</si>
  <si>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</si>
  <si>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</si>
  <si>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</si>
  <si>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</si>
  <si>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</si>
  <si>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</si>
  <si>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</si>
  <si>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</si>
  <si>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</si>
  <si>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</si>
  <si>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</si>
  <si>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</si>
  <si>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</si>
  <si>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</si>
  <si>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</si>
  <si>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</si>
  <si>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</si>
  <si>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</si>
  <si>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</si>
  <si>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</si>
  <si>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</si>
  <si>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</si>
  <si>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</si>
  <si>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</si>
  <si>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</si>
  <si>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</si>
  <si>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</si>
  <si>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</si>
  <si>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</si>
  <si>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</si>
  <si>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</si>
  <si>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Injectable</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</si>
  <si>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</si>
  <si>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</si>
  <si>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</si>
  <si>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</si>
  <si>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</si>
  <si>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</si>
  <si>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</si>
  <si>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</si>
  <si>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</si>
  <si>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</si>
  <si>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</si>
  <si>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</si>
  <si>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</si>
  <si>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</si>
  <si>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</si>
  <si>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</si>
  <si>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</si>
  <si>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</si>
  <si>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</si>
  <si>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</si>
  <si>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</si>
  <si>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</si>
  <si>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</si>
  <si>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</si>
  <si>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</si>
  <si>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</si>
  <si>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</si>
  <si>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</si>
  <si>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</si>
  <si>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</si>
  <si>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</si>
  <si>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</si>
  <si>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</si>
  <si>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</si>
  <si>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</si>
  <si>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</si>
  <si>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</si>
  <si>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</si>
  <si>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</si>
  <si>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</si>
  <si>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</si>
  <si>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</si>
  <si>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</si>
  <si>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</si>
  <si>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</si>
  <si>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</si>
  <si>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</si>
  <si>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</si>
  <si>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</si>
  <si>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</si>
  <si>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</si>
  <si>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</si>
  <si>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</si>
  <si>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</si>
  <si>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</si>
  <si>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</si>
  <si>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</si>
  <si>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</si>
  <si>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</si>
  <si>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</si>
  <si>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</si>
  <si>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</si>
  <si>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</si>
  <si>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</si>
  <si>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</si>
  <si>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</si>
  <si>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</si>
  <si>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</si>
  <si>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</si>
  <si>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</si>
  <si>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</si>
  <si>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</si>
  <si>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</si>
  <si>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</si>
  <si>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</si>
  <si>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</si>
  <si>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</si>
  <si>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</si>
  <si>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</si>
  <si>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</si>
  <si>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</si>
  <si>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</si>
  <si>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</si>
  <si>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</si>
  <si>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</si>
  <si>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</si>
  <si>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</si>
  <si>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</si>
  <si>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</si>
  <si>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</si>
  <si>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</si>
  <si>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</si>
  <si>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</si>
  <si>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</si>
  <si>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</si>
  <si>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</si>
  <si>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</si>
  <si>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</si>
  <si>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</si>
  <si>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</si>
  <si>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</si>
  <si>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</si>
  <si>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</si>
  <si>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</si>
  <si>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</si>
  <si>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</si>
  <si>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</si>
  <si>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</si>
  <si>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</si>
  <si>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</si>
  <si>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</si>
  <si>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</si>
  <si>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</si>
  <si>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</si>
  <si>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</si>
  <si>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</si>
  <si>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</si>
  <si>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</si>
  <si>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</si>
  <si>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</si>
  <si>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</si>
  <si>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</si>
  <si>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</si>
  <si>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</si>
  <si>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</si>
  <si>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</si>
  <si>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</si>
  <si>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</si>
  <si>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</si>
  <si>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</si>
  <si>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</si>
  <si>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</si>
  <si>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</si>
  <si>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</si>
  <si>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</si>
  <si>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</si>
  <si>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</si>
  <si>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</si>
  <si>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</si>
  <si>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</si>
  <si>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</si>
  <si>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</si>
  <si>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</si>
  <si>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</si>
  <si>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</si>
  <si>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</si>
  <si>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</si>
  <si>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</si>
  <si>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</si>
  <si>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</si>
  <si>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</si>
  <si>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</si>
  <si>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</si>
  <si>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</si>
  <si>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</si>
  <si>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</si>
  <si>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</si>
  <si>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</si>
  <si>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</si>
  <si>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</si>
  <si>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</si>
  <si>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</si>
  <si>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</si>
  <si>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</si>
  <si>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</si>
  <si>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</si>
  <si>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</si>
  <si>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</si>
  <si>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</si>
  <si>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</si>
  <si>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</si>
  <si>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</si>
  <si>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</si>
  <si>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</si>
  <si>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</si>
  <si>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</si>
  <si>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</si>
  <si>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</si>
  <si>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</si>
  <si>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</si>
  <si>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</si>
  <si>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</si>
  <si>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</si>
  <si>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</si>
  <si>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</si>
  <si>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</si>
  <si>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</si>
  <si>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</si>
  <si>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</si>
  <si>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</si>
  <si>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</si>
  <si>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</si>
  <si>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</si>
  <si>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</si>
  <si>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</si>
  <si>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</si>
  <si>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</si>
  <si>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</si>
  <si>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</si>
  <si>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</si>
  <si>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</si>
  <si>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</si>
  <si>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</si>
  <si>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</si>
  <si>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</si>
  <si>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</si>
  <si>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</si>
  <si>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</si>
  <si>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</si>
  <si>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</si>
  <si>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</si>
  <si>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</si>
  <si>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</si>
  <si>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</si>
  <si>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</si>
  <si>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</si>
  <si>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</si>
  <si>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</si>
  <si>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</si>
  <si>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</si>
  <si>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</si>
  <si>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</si>
  <si>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</si>
  <si>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</si>
  <si>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</si>
  <si>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</si>
  <si>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</si>
  <si>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</si>
  <si>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</si>
  <si>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</si>
  <si>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</si>
  <si>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</si>
  <si>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</si>
  <si>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</si>
  <si>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</si>
  <si>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</si>
  <si>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</si>
  <si>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</si>
  <si>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</si>
  <si>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</si>
  <si>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</si>
  <si>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</si>
  <si>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</si>
  <si>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</si>
  <si>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</si>
  <si>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</si>
  <si>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</si>
  <si>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</si>
  <si>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</si>
  <si>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</si>
  <si>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</si>
  <si>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</si>
  <si>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</si>
  <si>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</si>
  <si>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</si>
  <si>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</si>
  <si>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</si>
  <si>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</si>
  <si>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</si>
  <si>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</si>
  <si>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</si>
  <si>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</si>
  <si>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</si>
  <si>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</si>
  <si>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</si>
  <si>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</si>
  <si>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</si>
  <si>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</si>
  <si>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</si>
  <si>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</si>
  <si>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</si>
  <si>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</si>
  <si>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</si>
  <si>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</si>
  <si>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</si>
  <si>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</si>
  <si>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</si>
  <si>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</si>
  <si>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</si>
  <si>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</si>
  <si>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</si>
  <si>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</si>
  <si>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</si>
  <si>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</si>
  <si>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</si>
  <si>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</si>
  <si>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</si>
  <si>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</si>
  <si>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</si>
  <si>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</si>
  <si>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</si>
  <si>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</si>
  <si>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</si>
  <si>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</si>
  <si>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</si>
  <si>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</si>
  <si>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</si>
  <si>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</si>
  <si>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</si>
  <si>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</si>
  <si>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</si>
  <si>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</si>
  <si>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</si>
  <si>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</si>
  <si>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</si>
  <si>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</si>
  <si>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</si>
  <si>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</si>
  <si>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</si>
  <si>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</si>
  <si>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</si>
  <si>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</si>
  <si>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</si>
  <si>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</si>
  <si>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</si>
  <si>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</si>
  <si>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</si>
  <si>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</si>
  <si>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</si>
  <si>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</si>
  <si>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</si>
  <si>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</si>
  <si>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</si>
  <si>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</si>
  <si>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</si>
  <si>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</si>
  <si>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</si>
  <si>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</si>
  <si>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</si>
  <si>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</si>
  <si>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</si>
  <si>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</si>
  <si>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</si>
  <si>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</si>
  <si>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</si>
  <si>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</si>
  <si>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</si>
  <si>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</si>
  <si>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</si>
  <si>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</si>
  <si>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</si>
  <si>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</si>
  <si>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D&amp;A</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</si>
  <si>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</si>
  <si>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</si>
  <si>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</si>
  <si>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</si>
  <si>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</si>
  <si>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</si>
  <si>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</si>
  <si>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</si>
  <si>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</si>
  <si>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</si>
  <si>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</si>
  <si>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</si>
  <si>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</si>
  <si>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</si>
  <si>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</si>
  <si>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</si>
  <si>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</si>
  <si>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</si>
  <si>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</si>
  <si>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</si>
  <si>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</si>
  <si>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</si>
  <si>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</si>
  <si>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</si>
  <si>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</si>
  <si>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</si>
  <si>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</si>
  <si>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</si>
  <si>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</si>
  <si>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</si>
  <si>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</si>
  <si>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</si>
  <si>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</si>
  <si>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</si>
  <si>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</si>
  <si>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</si>
  <si>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</si>
  <si>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</si>
  <si>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</si>
  <si>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</si>
  <si>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PMO</t>
  </si>
  <si>
    <t>ITP</t>
  </si>
  <si>
    <t>Q114</t>
  </si>
  <si>
    <t>CD19</t>
  </si>
  <si>
    <t>Filing</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</si>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</sst>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3">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3" fontId="0" fillId="0" borderId="0" xfId="0" applyNumberFormat="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90</xdr:col>
      <xdr:colOff>79814</xdr:colOff>
      <xdr:row>0</xdr:row>
      <xdr:rowOff>6241</xdr:rowOff>
    </xdr:from>
    <xdr:to>
      <xdr:col>90</xdr:col>
      <xdr:colOff>79814</xdr:colOff>
      <xdr:row>83</xdr:row>
      <xdr:rowOff>84741</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43993348" y="6241"/>
          <a:ext cx="0" cy="125595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120</xdr:col>
      <xdr:colOff>16328</xdr:colOff>
      <xdr:row>0</xdr:row>
      <xdr:rowOff>0</xdr:rowOff>
    </xdr:from>
    <xdr:to>
      <xdr:col>120</xdr:col>
      <xdr:colOff>16328</xdr:colOff>
      <xdr:row>84</xdr:row>
      <xdr:rowOff>0</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58869942" y="0"/>
          <a:ext cx="0" cy="137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W47" dT="2023-02-28T17:29:20.53" personId="{7718D75B-6F2A-49A5-B788-F882785C3404}" id="{D6A92409-CA99-40A1-88DC-B7A73ABD2D61}">
    <text>2230m NGNI</text>
  </threadedComment>
  <threadedComment ref="CA47" dT="2023-02-28T17:29:15.09" personId="{7718D75B-6F2A-49A5-B788-F882785C3404}" id="{44E7E711-BCC1-4AD2-8680-58369B8354DF}">
    <text>NG NI: 2476m</text>
  </threadedComment>
  <threadedComment ref="CK47" dT="2023-02-28T17:19:26.41" personId="{7718D75B-6F2A-49A5-B788-F882785C3404}" id="{3CC28BE0-8712-41A4-9E7A-C2331E672FA9}">
    <text>NGNI 2530</text>
  </threadedComment>
  <threadedComment ref="CL47" dT="2023-02-28T17:09:06.38" personId="{7718D75B-6F2A-49A5-B788-F882785C3404}" id="{E609C7CB-3EB7-4FF0-803C-2DC500014A2B}">
    <text>2202m NG NI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H11"/>
  <sheetViews>
    <sheetView workbookViewId="0"/>
  </sheetViews>
  <sheetFormatPr defaultRowHeight="12.75"/>
  <sheetData>
    <row r="1" spans="1:8">
      <c r="A1" t="s">
        <v>5</v>
      </c>
    </row>
    <row r="2" spans="1:8">
      <c r="B2" t="s">
        <v>1210</v>
      </c>
      <c r="C2" t="s">
        <v>3</v>
      </c>
      <c r="D2" t="s">
        <v>1211</v>
      </c>
      <c r="E2" t="s">
        <v>6</v>
      </c>
      <c r="F2" t="s">
        <v>1212</v>
      </c>
    </row>
    <row r="3" spans="1:8">
      <c r="B3" s="25" t="s">
        <v>213</v>
      </c>
      <c r="C3" s="29" t="s">
        <v>1050</v>
      </c>
      <c r="D3" s="6" t="s">
        <v>812</v>
      </c>
      <c r="E3" s="12">
        <v>1</v>
      </c>
      <c r="F3" t="s">
        <v>1213</v>
      </c>
    </row>
    <row r="7" spans="1:8">
      <c r="B7" s="68" t="s">
        <v>1144</v>
      </c>
      <c r="C7" s="29" t="s">
        <v>1151</v>
      </c>
      <c r="D7" s="29" t="s">
        <v>1150</v>
      </c>
      <c r="E7" s="52" t="s">
        <v>1145</v>
      </c>
      <c r="F7" s="29"/>
      <c r="G7" s="29"/>
      <c r="H7" s="24"/>
    </row>
    <row r="8" spans="1:8">
      <c r="B8" s="25" t="s">
        <v>1044</v>
      </c>
      <c r="C8" s="6" t="s">
        <v>60</v>
      </c>
      <c r="D8" s="6" t="s">
        <v>813</v>
      </c>
      <c r="E8" s="12" t="s">
        <v>854</v>
      </c>
      <c r="F8" s="6" t="s">
        <v>855</v>
      </c>
      <c r="G8" s="6"/>
      <c r="H8" s="24"/>
    </row>
    <row r="9" spans="1:8">
      <c r="B9" s="68" t="s">
        <v>538</v>
      </c>
      <c r="C9" s="6"/>
      <c r="D9" s="29" t="s">
        <v>214</v>
      </c>
      <c r="E9" s="29"/>
      <c r="F9" s="6"/>
      <c r="G9" s="6"/>
      <c r="H9" s="24"/>
    </row>
    <row r="10" spans="1:8">
      <c r="B10" s="25" t="s">
        <v>126</v>
      </c>
      <c r="C10" s="29" t="s">
        <v>1052</v>
      </c>
      <c r="D10" s="6" t="s">
        <v>33</v>
      </c>
      <c r="E10" s="12">
        <v>1</v>
      </c>
      <c r="F10" s="6" t="s">
        <v>855</v>
      </c>
      <c r="G10" s="6"/>
    </row>
    <row r="11" spans="1:8">
      <c r="B11" s="5" t="s">
        <v>133</v>
      </c>
      <c r="C11" s="6" t="s">
        <v>134</v>
      </c>
      <c r="D11" s="6" t="s">
        <v>107</v>
      </c>
      <c r="E11" s="6"/>
      <c r="F11" s="6" t="s">
        <v>774</v>
      </c>
      <c r="G11" s="6"/>
      <c r="H11" s="24"/>
    </row>
  </sheetData>
  <hyperlinks>
    <hyperlink ref="B3" location="Kepivance!A1" display="Kepivance (palifermin)" xr:uid="{00000000-0004-0000-0000-00000D000000}"/>
    <hyperlink ref="B8" location="'706'!A1" display="AMG706 (fast track)" xr:uid="{00000000-0004-0000-0000-000002000000}"/>
    <hyperlink ref="B10" location="'479'!A1" display="AMG479" xr:uid="{00000000-0004-0000-0000-00000C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RowHeight="12.75"/>
  <cols>
    <col min="1" max="1" width="4.7109375" style="4" customWidth="1"/>
    <col min="2" max="2" width="14.140625" style="4" bestFit="1" customWidth="1"/>
    <col min="3" max="3" width="22" style="4" bestFit="1" customWidth="1"/>
    <col min="4" max="4" width="14.28515625" style="4" customWidth="1"/>
    <col min="5" max="16384" width="9.140625" style="4"/>
  </cols>
  <sheetData>
    <row r="1" spans="1:3">
      <c r="A1" s="10" t="s">
        <v>5</v>
      </c>
    </row>
    <row r="2" spans="1:3">
      <c r="B2" s="4" t="s">
        <v>14</v>
      </c>
      <c r="C2" s="4" t="s">
        <v>601</v>
      </c>
    </row>
    <row r="3" spans="1:3">
      <c r="B3" s="4" t="s">
        <v>15</v>
      </c>
      <c r="C3" s="4" t="s">
        <v>16</v>
      </c>
    </row>
    <row r="4" spans="1:3">
      <c r="B4" s="4" t="s">
        <v>3</v>
      </c>
      <c r="C4" s="10" t="s">
        <v>398</v>
      </c>
    </row>
    <row r="5" spans="1:3">
      <c r="C5" s="4" t="s">
        <v>397</v>
      </c>
    </row>
    <row r="6" spans="1:3">
      <c r="C6" s="4" t="s">
        <v>966</v>
      </c>
    </row>
    <row r="7" spans="1:3">
      <c r="B7" s="4" t="s">
        <v>6</v>
      </c>
      <c r="C7" s="4" t="s">
        <v>500</v>
      </c>
    </row>
    <row r="8" spans="1:3">
      <c r="B8" s="4" t="s">
        <v>986</v>
      </c>
      <c r="C8" s="4" t="s">
        <v>992</v>
      </c>
    </row>
    <row r="9" spans="1:3">
      <c r="B9" s="4" t="s">
        <v>811</v>
      </c>
      <c r="C9" s="4" t="s">
        <v>597</v>
      </c>
    </row>
    <row r="10" spans="1:3">
      <c r="B10" s="4" t="s">
        <v>496</v>
      </c>
      <c r="C10" s="4" t="s">
        <v>993</v>
      </c>
    </row>
    <row r="11" spans="1:3">
      <c r="B11" s="10" t="s">
        <v>600</v>
      </c>
      <c r="C11" s="10" t="s">
        <v>902</v>
      </c>
    </row>
    <row r="12" spans="1:3">
      <c r="B12" s="4" t="s">
        <v>732</v>
      </c>
      <c r="C12" s="49" t="s">
        <v>903</v>
      </c>
    </row>
    <row r="13" spans="1:3">
      <c r="B13" s="4" t="s">
        <v>444</v>
      </c>
      <c r="C13" s="4" t="s">
        <v>679</v>
      </c>
    </row>
    <row r="14" spans="1:3">
      <c r="B14" s="4" t="s">
        <v>486</v>
      </c>
      <c r="C14" s="4" t="s">
        <v>494</v>
      </c>
    </row>
    <row r="15" spans="1:3">
      <c r="C15" s="10" t="s">
        <v>967</v>
      </c>
    </row>
    <row r="16" spans="1:3">
      <c r="B16" s="4" t="s">
        <v>112</v>
      </c>
      <c r="C16" s="4" t="s">
        <v>416</v>
      </c>
    </row>
    <row r="17" spans="2:4">
      <c r="C17" s="4" t="s">
        <v>809</v>
      </c>
    </row>
    <row r="18" spans="2:4">
      <c r="C18" s="4" t="s">
        <v>808</v>
      </c>
    </row>
    <row r="19" spans="2:4">
      <c r="C19" s="4" t="s">
        <v>912</v>
      </c>
    </row>
    <row r="20" spans="2:4">
      <c r="C20" s="4" t="s">
        <v>154</v>
      </c>
    </row>
    <row r="21" spans="2:4">
      <c r="B21" s="4" t="s">
        <v>1007</v>
      </c>
      <c r="C21" s="4" t="s">
        <v>420</v>
      </c>
      <c r="D21" s="6"/>
    </row>
    <row r="22" spans="2:4">
      <c r="B22" s="4" t="s">
        <v>254</v>
      </c>
      <c r="C22" s="4" t="s">
        <v>495</v>
      </c>
      <c r="D22" s="6"/>
    </row>
    <row r="23" spans="2:4">
      <c r="B23" s="4" t="s">
        <v>1010</v>
      </c>
      <c r="C23" s="4" t="s">
        <v>934</v>
      </c>
      <c r="D23" s="6"/>
    </row>
    <row r="24" spans="2:4">
      <c r="B24" s="4" t="s">
        <v>595</v>
      </c>
      <c r="C24" s="4" t="s">
        <v>596</v>
      </c>
      <c r="D24" s="6"/>
    </row>
    <row r="25" spans="2:4">
      <c r="B25" s="4" t="s">
        <v>802</v>
      </c>
      <c r="C25" s="4" t="s">
        <v>20</v>
      </c>
      <c r="D25" s="6"/>
    </row>
    <row r="26" spans="2:4">
      <c r="B26" s="4" t="s">
        <v>7</v>
      </c>
      <c r="C26" s="4" t="s">
        <v>50</v>
      </c>
      <c r="D26" s="6"/>
    </row>
    <row r="27" spans="2:4">
      <c r="C27" s="4" t="s">
        <v>426</v>
      </c>
      <c r="D27" s="6"/>
    </row>
    <row r="28" spans="2:4">
      <c r="B28" s="4" t="s">
        <v>144</v>
      </c>
      <c r="C28" s="4" t="s">
        <v>145</v>
      </c>
      <c r="D28" s="6"/>
    </row>
    <row r="29" spans="2:4">
      <c r="B29" s="4" t="s">
        <v>323</v>
      </c>
      <c r="D29" s="6"/>
    </row>
    <row r="30" spans="2:4">
      <c r="C30" s="22" t="s">
        <v>142</v>
      </c>
      <c r="D30" s="6"/>
    </row>
    <row r="31" spans="2:4">
      <c r="C31" s="4" t="s">
        <v>399</v>
      </c>
      <c r="D31" s="6"/>
    </row>
    <row r="32" spans="2:4">
      <c r="C32" s="4" t="s">
        <v>400</v>
      </c>
      <c r="D32" s="6"/>
    </row>
    <row r="33" spans="3:4">
      <c r="C33" s="4" t="s">
        <v>401</v>
      </c>
      <c r="D33" s="6"/>
    </row>
    <row r="34" spans="3:4">
      <c r="D34" s="6"/>
    </row>
    <row r="35" spans="3:4">
      <c r="C35" s="22" t="s">
        <v>143</v>
      </c>
    </row>
    <row r="36" spans="3:4">
      <c r="C36" s="16" t="s">
        <v>402</v>
      </c>
    </row>
    <row r="37" spans="3:4">
      <c r="C37" s="16" t="s">
        <v>137</v>
      </c>
    </row>
    <row r="38" spans="3:4">
      <c r="C38" s="16"/>
    </row>
    <row r="39" spans="3:4">
      <c r="C39" s="22" t="s">
        <v>468</v>
      </c>
    </row>
    <row r="40" spans="3:4">
      <c r="C40" s="16" t="s">
        <v>469</v>
      </c>
    </row>
    <row r="41" spans="3:4">
      <c r="C41" s="16" t="s">
        <v>470</v>
      </c>
    </row>
    <row r="42" spans="3:4">
      <c r="C42" s="16"/>
    </row>
    <row r="43" spans="3:4">
      <c r="C43" s="22" t="s">
        <v>138</v>
      </c>
    </row>
    <row r="44" spans="3:4">
      <c r="C44" s="4" t="s">
        <v>139</v>
      </c>
      <c r="D44" s="6"/>
    </row>
    <row r="45" spans="3:4">
      <c r="D45" s="6"/>
    </row>
    <row r="46" spans="3:4">
      <c r="C46" s="22" t="s">
        <v>395</v>
      </c>
      <c r="D46" s="6"/>
    </row>
    <row r="47" spans="3:4">
      <c r="C47" s="4" t="s">
        <v>630</v>
      </c>
      <c r="D47" s="6"/>
    </row>
    <row r="48" spans="3:4">
      <c r="C48" s="4" t="s">
        <v>631</v>
      </c>
      <c r="D48" s="6"/>
    </row>
    <row r="49" spans="3:4">
      <c r="D49" s="6"/>
    </row>
    <row r="50" spans="3:4">
      <c r="C50" s="22" t="s">
        <v>128</v>
      </c>
      <c r="D50" s="6"/>
    </row>
    <row r="51" spans="3:4">
      <c r="C51" s="16" t="s">
        <v>130</v>
      </c>
      <c r="D51" s="6"/>
    </row>
    <row r="52" spans="3:4">
      <c r="C52" s="16" t="s">
        <v>794</v>
      </c>
      <c r="D52" s="6"/>
    </row>
    <row r="53" spans="3:4">
      <c r="C53" s="16" t="s">
        <v>795</v>
      </c>
      <c r="D53" s="6"/>
    </row>
    <row r="54" spans="3:4">
      <c r="C54" s="16" t="s">
        <v>796</v>
      </c>
      <c r="D54" s="6"/>
    </row>
    <row r="55" spans="3:4">
      <c r="C55" s="16" t="s">
        <v>694</v>
      </c>
      <c r="D55" s="6"/>
    </row>
    <row r="56" spans="3:4">
      <c r="C56" s="16" t="s">
        <v>797</v>
      </c>
      <c r="D56" s="6"/>
    </row>
    <row r="57" spans="3:4">
      <c r="C57" s="16" t="s">
        <v>129</v>
      </c>
      <c r="D57" s="6"/>
    </row>
    <row r="58" spans="3:4">
      <c r="C58" s="4" t="s">
        <v>793</v>
      </c>
    </row>
    <row r="59" spans="3:4">
      <c r="C59" s="4" t="s">
        <v>792</v>
      </c>
    </row>
    <row r="61" spans="3:4">
      <c r="C61" s="22" t="s">
        <v>994</v>
      </c>
    </row>
    <row r="62" spans="3:4">
      <c r="C62" s="4" t="s">
        <v>70</v>
      </c>
    </row>
    <row r="63" spans="3:4">
      <c r="C63" s="4" t="s">
        <v>701</v>
      </c>
    </row>
    <row r="64" spans="3:4">
      <c r="C64" s="4" t="s">
        <v>363</v>
      </c>
    </row>
    <row r="65" spans="3:3">
      <c r="C65" s="10" t="s">
        <v>313</v>
      </c>
    </row>
    <row r="67" spans="3:3">
      <c r="C67" s="22" t="s">
        <v>626</v>
      </c>
    </row>
    <row r="68" spans="3:3">
      <c r="C68" s="4" t="s">
        <v>627</v>
      </c>
    </row>
    <row r="70" spans="3:3">
      <c r="C70" s="22" t="s">
        <v>628</v>
      </c>
    </row>
    <row r="71" spans="3:3">
      <c r="C71" s="16" t="s">
        <v>629</v>
      </c>
    </row>
    <row r="73" spans="3:3">
      <c r="C73" s="22" t="s">
        <v>556</v>
      </c>
    </row>
    <row r="74" spans="3:3">
      <c r="C74" s="10" t="s">
        <v>555</v>
      </c>
    </row>
    <row r="75" spans="3:3">
      <c r="C75" s="10"/>
    </row>
    <row r="76" spans="3:3">
      <c r="C76" s="28" t="s">
        <v>71</v>
      </c>
    </row>
    <row r="77" spans="3:3">
      <c r="C77" s="4" t="s">
        <v>12</v>
      </c>
    </row>
    <row r="78" spans="3:3">
      <c r="C78" s="4" t="s">
        <v>208</v>
      </c>
    </row>
    <row r="79" spans="3:3">
      <c r="C79" s="4" t="s">
        <v>209</v>
      </c>
    </row>
    <row r="80" spans="3:3">
      <c r="C80" s="4" t="s">
        <v>9</v>
      </c>
    </row>
    <row r="81" spans="3:3">
      <c r="C81" s="4" t="s">
        <v>8</v>
      </c>
    </row>
    <row r="82" spans="3:3">
      <c r="C82" s="4" t="s">
        <v>504</v>
      </c>
    </row>
    <row r="83" spans="3:3">
      <c r="C83" s="4" t="s">
        <v>849</v>
      </c>
    </row>
    <row r="84" spans="3:3">
      <c r="C84" s="4" t="s">
        <v>505</v>
      </c>
    </row>
    <row r="86" spans="3:3">
      <c r="C86" s="11" t="s">
        <v>229</v>
      </c>
    </row>
    <row r="87" spans="3:3">
      <c r="C87" s="4" t="s">
        <v>731</v>
      </c>
    </row>
    <row r="88" spans="3:3">
      <c r="C88" s="4" t="s">
        <v>734</v>
      </c>
    </row>
    <row r="89" spans="3:3">
      <c r="C89" s="4" t="s">
        <v>72</v>
      </c>
    </row>
    <row r="90" spans="3:3">
      <c r="C90" s="4" t="s">
        <v>733</v>
      </c>
    </row>
    <row r="91" spans="3:3">
      <c r="C91" s="4" t="s">
        <v>427</v>
      </c>
    </row>
    <row r="92" spans="3:3">
      <c r="C92" s="4" t="s">
        <v>542</v>
      </c>
    </row>
    <row r="93" spans="3:3">
      <c r="C93" s="4" t="s">
        <v>61</v>
      </c>
    </row>
    <row r="94" spans="3:3">
      <c r="C94" s="4" t="s">
        <v>463</v>
      </c>
    </row>
    <row r="95" spans="3:3">
      <c r="C95" s="4" t="s">
        <v>464</v>
      </c>
    </row>
    <row r="96" spans="3:3">
      <c r="C96" s="4" t="s">
        <v>465</v>
      </c>
    </row>
    <row r="97" spans="3:4">
      <c r="C97" s="4" t="s">
        <v>466</v>
      </c>
    </row>
    <row r="98" spans="3:4">
      <c r="C98" s="4" t="s">
        <v>727</v>
      </c>
    </row>
    <row r="99" spans="3:4">
      <c r="C99" s="4" t="s">
        <v>728</v>
      </c>
    </row>
    <row r="100" spans="3:4">
      <c r="C100" s="4" t="s">
        <v>729</v>
      </c>
    </row>
    <row r="101" spans="3:4">
      <c r="C101" s="4" t="s">
        <v>946</v>
      </c>
    </row>
    <row r="102" spans="3:4">
      <c r="C102" s="4" t="s">
        <v>235</v>
      </c>
    </row>
    <row r="104" spans="3:4" ht="13.5" customHeight="1">
      <c r="C104" s="10" t="s">
        <v>73</v>
      </c>
    </row>
    <row r="105" spans="3:4" ht="12.75" customHeight="1">
      <c r="C105" s="4" t="s">
        <v>866</v>
      </c>
    </row>
    <row r="106" spans="3:4" ht="12.75" customHeight="1">
      <c r="C106" s="4" t="s">
        <v>612</v>
      </c>
    </row>
    <row r="107" spans="3:4">
      <c r="C107" s="4" t="s">
        <v>74</v>
      </c>
      <c r="D107" s="4" t="s">
        <v>75</v>
      </c>
    </row>
    <row r="108" spans="3:4">
      <c r="C108" s="4" t="s">
        <v>76</v>
      </c>
      <c r="D108" s="4" t="s">
        <v>643</v>
      </c>
    </row>
    <row r="109" spans="3:4">
      <c r="C109" s="4" t="s">
        <v>610</v>
      </c>
      <c r="D109" s="4" t="s">
        <v>611</v>
      </c>
    </row>
    <row r="110" spans="3:4">
      <c r="C110" s="4" t="s">
        <v>644</v>
      </c>
      <c r="D110" s="4" t="s">
        <v>609</v>
      </c>
    </row>
    <row r="111" spans="3:4">
      <c r="D111" s="4" t="s">
        <v>614</v>
      </c>
    </row>
    <row r="112" spans="3:4">
      <c r="D112" s="4" t="s">
        <v>616</v>
      </c>
    </row>
    <row r="113" spans="3:4">
      <c r="D113" s="4" t="s">
        <v>615</v>
      </c>
    </row>
    <row r="114" spans="3:4">
      <c r="D114" s="4" t="s">
        <v>617</v>
      </c>
    </row>
    <row r="115" spans="3:4">
      <c r="D115" s="4" t="s">
        <v>604</v>
      </c>
    </row>
    <row r="116" spans="3:4">
      <c r="D116" s="4" t="s">
        <v>605</v>
      </c>
    </row>
    <row r="117" spans="3:4">
      <c r="D117" s="4" t="s">
        <v>865</v>
      </c>
    </row>
    <row r="119" spans="3:4">
      <c r="C119" s="22" t="s">
        <v>867</v>
      </c>
    </row>
    <row r="120" spans="3:4">
      <c r="C120" s="4" t="s">
        <v>868</v>
      </c>
    </row>
    <row r="121" spans="3:4">
      <c r="C121" s="4" t="s">
        <v>870</v>
      </c>
    </row>
    <row r="122" spans="3:4">
      <c r="C122" s="4" t="s">
        <v>871</v>
      </c>
    </row>
    <row r="123" spans="3:4">
      <c r="C123" s="4" t="s">
        <v>872</v>
      </c>
    </row>
    <row r="125" spans="3:4">
      <c r="C125" s="22" t="s">
        <v>873</v>
      </c>
    </row>
    <row r="126" spans="3:4">
      <c r="C126" s="16" t="s">
        <v>874</v>
      </c>
    </row>
    <row r="127" spans="3:4">
      <c r="C127" s="4" t="s">
        <v>875</v>
      </c>
    </row>
    <row r="128" spans="3:4">
      <c r="C128" s="4" t="s">
        <v>876</v>
      </c>
    </row>
    <row r="130" spans="3:3">
      <c r="C130" s="22" t="s">
        <v>947</v>
      </c>
    </row>
    <row r="131" spans="3:3">
      <c r="C131" s="4" t="s">
        <v>667</v>
      </c>
    </row>
    <row r="132" spans="3:3">
      <c r="C132" s="4" t="s">
        <v>668</v>
      </c>
    </row>
    <row r="134" spans="3:3">
      <c r="C134" s="22" t="s">
        <v>136</v>
      </c>
    </row>
    <row r="135" spans="3:3">
      <c r="C135" s="4" t="s">
        <v>989</v>
      </c>
    </row>
    <row r="136" spans="3:3">
      <c r="C136" s="4" t="s">
        <v>541</v>
      </c>
    </row>
    <row r="137" spans="3:3">
      <c r="C137" s="4" t="s">
        <v>540</v>
      </c>
    </row>
    <row r="139" spans="3:3">
      <c r="C139" s="4" t="s">
        <v>1048</v>
      </c>
    </row>
    <row r="141" spans="3:3">
      <c r="C141" s="4" t="s">
        <v>532</v>
      </c>
    </row>
    <row r="142" spans="3:3">
      <c r="C142" s="4" t="s">
        <v>226</v>
      </c>
    </row>
    <row r="144" spans="3:3">
      <c r="C144" s="22" t="s">
        <v>690</v>
      </c>
    </row>
    <row r="145" spans="3:3">
      <c r="C145" s="16" t="s">
        <v>118</v>
      </c>
    </row>
    <row r="147" spans="3:3">
      <c r="C147" s="4" t="s">
        <v>291</v>
      </c>
    </row>
    <row r="148" spans="3:3">
      <c r="C148" s="4" t="s">
        <v>825</v>
      </c>
    </row>
    <row r="149" spans="3:3">
      <c r="C149" s="4" t="s">
        <v>971</v>
      </c>
    </row>
    <row r="150" spans="3:3">
      <c r="C150" s="4" t="s">
        <v>227</v>
      </c>
    </row>
    <row r="151" spans="3:3">
      <c r="C151" s="14" t="s">
        <v>228</v>
      </c>
    </row>
    <row r="152" spans="3:3">
      <c r="C152" s="4" t="s">
        <v>527</v>
      </c>
    </row>
    <row r="153" spans="3:3">
      <c r="C153" s="4" t="s">
        <v>528</v>
      </c>
    </row>
    <row r="154" spans="3:3">
      <c r="C154" s="4" t="s">
        <v>988</v>
      </c>
    </row>
    <row r="155" spans="3:3">
      <c r="C155" s="4" t="s">
        <v>135</v>
      </c>
    </row>
    <row r="158" spans="3:3">
      <c r="C158" s="4" t="s">
        <v>1001</v>
      </c>
    </row>
    <row r="160" spans="3:3">
      <c r="C160" s="22" t="s">
        <v>529</v>
      </c>
    </row>
    <row r="161" spans="3:3">
      <c r="C161" s="16" t="s">
        <v>1053</v>
      </c>
    </row>
    <row r="162" spans="3:3">
      <c r="C162" s="16" t="s">
        <v>636</v>
      </c>
    </row>
    <row r="164" spans="3:3">
      <c r="C164" s="22" t="s">
        <v>140</v>
      </c>
    </row>
    <row r="165" spans="3:3">
      <c r="C165" s="4" t="s">
        <v>141</v>
      </c>
    </row>
    <row r="166" spans="3:3">
      <c r="C166" s="22"/>
    </row>
    <row r="168" spans="3:3">
      <c r="C168" s="22" t="s">
        <v>326</v>
      </c>
    </row>
    <row r="169" spans="3:3">
      <c r="C169" s="4" t="s">
        <v>327</v>
      </c>
    </row>
    <row r="170" spans="3:3">
      <c r="C170" s="4" t="s">
        <v>328</v>
      </c>
    </row>
    <row r="172" spans="3:3">
      <c r="C172" s="22" t="s">
        <v>935</v>
      </c>
    </row>
    <row r="173" spans="3:3">
      <c r="C173" s="4" t="s">
        <v>936</v>
      </c>
    </row>
    <row r="174" spans="3:3">
      <c r="C174" s="4" t="s">
        <v>937</v>
      </c>
    </row>
    <row r="175" spans="3:3">
      <c r="C175" s="4" t="s">
        <v>938</v>
      </c>
    </row>
    <row r="177" spans="3:3">
      <c r="C177" s="22" t="s">
        <v>939</v>
      </c>
    </row>
    <row r="178" spans="3:3">
      <c r="C178" s="4" t="s">
        <v>940</v>
      </c>
    </row>
    <row r="179" spans="3:3">
      <c r="C179" s="4" t="s">
        <v>941</v>
      </c>
    </row>
    <row r="181" spans="3:3">
      <c r="C181" s="22" t="s">
        <v>245</v>
      </c>
    </row>
    <row r="182" spans="3:3">
      <c r="C182" s="4" t="s">
        <v>942</v>
      </c>
    </row>
    <row r="183" spans="3:3">
      <c r="C183" s="4" t="s">
        <v>240</v>
      </c>
    </row>
    <row r="185" spans="3:3">
      <c r="C185" s="22" t="s">
        <v>241</v>
      </c>
    </row>
    <row r="186" spans="3:3">
      <c r="C186" s="4" t="s">
        <v>242</v>
      </c>
    </row>
    <row r="188" spans="3:3">
      <c r="C188" s="22" t="s">
        <v>243</v>
      </c>
    </row>
    <row r="191" spans="3:3">
      <c r="C191" s="22" t="s">
        <v>244</v>
      </c>
    </row>
    <row r="194" spans="3:3">
      <c r="C194" s="22" t="s">
        <v>1009</v>
      </c>
    </row>
    <row r="195" spans="3:3">
      <c r="C195" s="4" t="s">
        <v>660</v>
      </c>
    </row>
    <row r="196" spans="3:3">
      <c r="C196" s="4" t="s">
        <v>748</v>
      </c>
    </row>
    <row r="197" spans="3:3">
      <c r="C197" s="4" t="s">
        <v>749</v>
      </c>
    </row>
    <row r="200" spans="3:3">
      <c r="C200" s="22" t="s">
        <v>1075</v>
      </c>
    </row>
    <row r="201" spans="3:3">
      <c r="C201" s="16" t="s">
        <v>1076</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RowHeight="12.75"/>
  <cols>
    <col min="1" max="1" width="3.140625" customWidth="1"/>
  </cols>
  <sheetData>
    <row r="2" spans="2:3">
      <c r="B2" s="11" t="s">
        <v>877</v>
      </c>
    </row>
    <row r="3" spans="2:3">
      <c r="B3" t="s">
        <v>123</v>
      </c>
    </row>
    <row r="5" spans="2:3">
      <c r="B5" t="s">
        <v>554</v>
      </c>
      <c r="C5">
        <v>701</v>
      </c>
    </row>
    <row r="6" spans="2:3">
      <c r="B6" t="s">
        <v>878</v>
      </c>
      <c r="C6" t="s">
        <v>879</v>
      </c>
    </row>
    <row r="7" spans="2:3">
      <c r="B7" t="s">
        <v>119</v>
      </c>
      <c r="C7" t="s">
        <v>429</v>
      </c>
    </row>
    <row r="8" spans="2:3">
      <c r="B8" t="s">
        <v>120</v>
      </c>
      <c r="C8" t="s">
        <v>121</v>
      </c>
    </row>
    <row r="9" spans="2:3">
      <c r="B9" t="s">
        <v>122</v>
      </c>
      <c r="C9" t="s">
        <v>659</v>
      </c>
    </row>
    <row r="10" spans="2:3">
      <c r="C10" t="s">
        <v>657</v>
      </c>
    </row>
    <row r="11" spans="2:3">
      <c r="C11" t="s">
        <v>658</v>
      </c>
    </row>
    <row r="12" spans="2:3">
      <c r="C12" t="s">
        <v>663</v>
      </c>
    </row>
    <row r="13" spans="2:3">
      <c r="C13" t="s">
        <v>406</v>
      </c>
    </row>
    <row r="15" spans="2:3">
      <c r="B15" s="21" t="s">
        <v>1005</v>
      </c>
    </row>
    <row r="18" spans="2:2">
      <c r="B18" s="13" t="s">
        <v>404</v>
      </c>
    </row>
    <row r="19" spans="2:2">
      <c r="B19" t="s">
        <v>405</v>
      </c>
    </row>
    <row r="20" spans="2:2">
      <c r="B20" t="s">
        <v>702</v>
      </c>
    </row>
    <row r="21" spans="2:2">
      <c r="B21" t="s">
        <v>526</v>
      </c>
    </row>
    <row r="22" spans="2:2">
      <c r="B22" t="s">
        <v>975</v>
      </c>
    </row>
    <row r="23" spans="2:2">
      <c r="B23" t="s">
        <v>976</v>
      </c>
    </row>
    <row r="24" spans="2:2">
      <c r="B24" t="s">
        <v>977</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RowHeight="12.75"/>
  <cols>
    <col min="1" max="1" width="5" style="4" bestFit="1" customWidth="1"/>
    <col min="2" max="2" width="14" style="4" bestFit="1" customWidth="1"/>
    <col min="3" max="16384" width="9.140625" style="4"/>
  </cols>
  <sheetData>
    <row r="1" spans="1:3">
      <c r="A1" s="10" t="s">
        <v>5</v>
      </c>
    </row>
    <row r="2" spans="1:3">
      <c r="B2" s="4" t="s">
        <v>287</v>
      </c>
      <c r="C2" s="4" t="s">
        <v>430</v>
      </c>
    </row>
    <row r="3" spans="1:3">
      <c r="B3" s="4" t="s">
        <v>288</v>
      </c>
      <c r="C3" s="4" t="s">
        <v>433</v>
      </c>
    </row>
    <row r="4" spans="1:3">
      <c r="B4" s="4" t="s">
        <v>811</v>
      </c>
      <c r="C4" s="4" t="s">
        <v>753</v>
      </c>
    </row>
    <row r="5" spans="1:3">
      <c r="B5" s="4" t="s">
        <v>3</v>
      </c>
      <c r="C5" s="4" t="s">
        <v>535</v>
      </c>
    </row>
    <row r="6" spans="1:3">
      <c r="C6" s="4" t="s">
        <v>40</v>
      </c>
    </row>
    <row r="7" spans="1:3">
      <c r="B7" s="4" t="s">
        <v>7</v>
      </c>
      <c r="C7" s="4" t="s">
        <v>752</v>
      </c>
    </row>
    <row r="8" spans="1:3">
      <c r="C8" s="4" t="s">
        <v>742</v>
      </c>
    </row>
    <row r="9" spans="1:3">
      <c r="B9" s="4" t="s">
        <v>11</v>
      </c>
      <c r="C9" s="4" t="s">
        <v>530</v>
      </c>
    </row>
    <row r="10" spans="1:3">
      <c r="B10" s="4" t="s">
        <v>359</v>
      </c>
      <c r="C10" s="4" t="s">
        <v>722</v>
      </c>
    </row>
    <row r="11" spans="1:3">
      <c r="B11" s="4" t="s">
        <v>531</v>
      </c>
      <c r="C11" s="4" t="s">
        <v>439</v>
      </c>
    </row>
    <row r="12" spans="1:3">
      <c r="B12" s="4" t="s">
        <v>1007</v>
      </c>
      <c r="C12" s="4" t="s">
        <v>39</v>
      </c>
    </row>
    <row r="13" spans="1:3">
      <c r="B13" s="4" t="s">
        <v>600</v>
      </c>
      <c r="C13" s="4" t="s">
        <v>974</v>
      </c>
    </row>
    <row r="14" spans="1:3">
      <c r="B14" s="4" t="s">
        <v>431</v>
      </c>
    </row>
    <row r="15" spans="1:3">
      <c r="C15" s="10" t="s">
        <v>434</v>
      </c>
    </row>
    <row r="16" spans="1:3">
      <c r="C16" s="4" t="s">
        <v>432</v>
      </c>
    </row>
    <row r="18" spans="3:4">
      <c r="C18" s="22" t="s">
        <v>637</v>
      </c>
    </row>
    <row r="19" spans="3:4">
      <c r="C19" s="4" t="s">
        <v>222</v>
      </c>
    </row>
    <row r="20" spans="3:4">
      <c r="C20" s="4" t="s">
        <v>756</v>
      </c>
    </row>
    <row r="21" spans="3:4">
      <c r="D21" s="4" t="s">
        <v>757</v>
      </c>
    </row>
    <row r="23" spans="3:4">
      <c r="C23" s="4" t="s">
        <v>638</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RowHeight="12.75"/>
  <cols>
    <col min="1" max="1" width="5" style="4" bestFit="1" customWidth="1"/>
    <col min="2" max="2" width="15.85546875" style="4" customWidth="1"/>
    <col min="3" max="3" width="11.28515625" style="4" customWidth="1"/>
    <col min="4" max="4" width="11" style="4" customWidth="1"/>
    <col min="5" max="9" width="9.140625" style="4"/>
    <col min="10" max="10" width="22.28515625" style="4" customWidth="1"/>
    <col min="11" max="16384" width="9.140625" style="4"/>
  </cols>
  <sheetData>
    <row r="1" spans="1:4">
      <c r="A1" s="10" t="s">
        <v>5</v>
      </c>
    </row>
    <row r="2" spans="1:4">
      <c r="B2" s="4" t="s">
        <v>287</v>
      </c>
      <c r="C2" s="4" t="s">
        <v>330</v>
      </c>
    </row>
    <row r="3" spans="1:4">
      <c r="B3" s="4" t="s">
        <v>288</v>
      </c>
      <c r="C3" s="4" t="s">
        <v>895</v>
      </c>
    </row>
    <row r="4" spans="1:4">
      <c r="B4" s="4" t="s">
        <v>3</v>
      </c>
      <c r="C4" s="4" t="s">
        <v>890</v>
      </c>
    </row>
    <row r="5" spans="1:4">
      <c r="B5" s="4" t="s">
        <v>811</v>
      </c>
      <c r="C5" s="4" t="s">
        <v>635</v>
      </c>
    </row>
    <row r="6" spans="1:4">
      <c r="C6" s="4" t="s">
        <v>691</v>
      </c>
    </row>
    <row r="7" spans="1:4">
      <c r="B7" s="4" t="s">
        <v>10</v>
      </c>
      <c r="C7" s="4" t="s">
        <v>289</v>
      </c>
    </row>
    <row r="8" spans="1:4">
      <c r="C8" s="4" t="s">
        <v>453</v>
      </c>
    </row>
    <row r="9" spans="1:4">
      <c r="B9" s="4" t="s">
        <v>896</v>
      </c>
      <c r="C9" s="4" t="s">
        <v>897</v>
      </c>
    </row>
    <row r="10" spans="1:4">
      <c r="B10" s="4" t="s">
        <v>898</v>
      </c>
      <c r="C10" s="4" t="s">
        <v>899</v>
      </c>
      <c r="D10" s="6"/>
    </row>
    <row r="11" spans="1:4">
      <c r="B11" s="4" t="s">
        <v>359</v>
      </c>
      <c r="C11" s="4" t="s">
        <v>575</v>
      </c>
      <c r="D11" s="6"/>
    </row>
    <row r="12" spans="1:4">
      <c r="B12" s="4" t="s">
        <v>904</v>
      </c>
      <c r="C12" s="20" t="s">
        <v>905</v>
      </c>
      <c r="D12" s="6"/>
    </row>
    <row r="13" spans="1:4">
      <c r="B13" s="16" t="s">
        <v>7</v>
      </c>
      <c r="C13" s="16" t="s">
        <v>1077</v>
      </c>
      <c r="D13" s="6"/>
    </row>
    <row r="14" spans="1:4">
      <c r="B14" s="4" t="s">
        <v>323</v>
      </c>
    </row>
    <row r="16" spans="1:4">
      <c r="B16" s="22" t="s">
        <v>1037</v>
      </c>
    </row>
    <row r="17" spans="2:16">
      <c r="B17" s="4" t="s">
        <v>1038</v>
      </c>
    </row>
    <row r="18" spans="2:16">
      <c r="B18" s="4" t="s">
        <v>1039</v>
      </c>
    </row>
    <row r="19" spans="2:16">
      <c r="B19" s="14" t="s">
        <v>1041</v>
      </c>
    </row>
    <row r="20" spans="2:16">
      <c r="B20" s="4" t="s">
        <v>1006</v>
      </c>
    </row>
    <row r="21" spans="2:16">
      <c r="B21" s="4" t="s">
        <v>951</v>
      </c>
    </row>
    <row r="22" spans="2:16">
      <c r="B22" s="14" t="s">
        <v>952</v>
      </c>
    </row>
    <row r="23" spans="2:16">
      <c r="B23" s="16" t="s">
        <v>945</v>
      </c>
    </row>
    <row r="24" spans="2:16">
      <c r="B24" s="51" t="s">
        <v>502</v>
      </c>
    </row>
    <row r="25" spans="2:16">
      <c r="K25" s="4" t="s">
        <v>573</v>
      </c>
      <c r="L25" s="4">
        <v>2006</v>
      </c>
      <c r="M25" s="4">
        <v>2007</v>
      </c>
      <c r="N25" s="4">
        <v>2008</v>
      </c>
      <c r="O25" s="4">
        <v>2009</v>
      </c>
    </row>
    <row r="26" spans="2:16">
      <c r="B26" s="22" t="s">
        <v>1040</v>
      </c>
      <c r="L26" s="4">
        <v>93</v>
      </c>
      <c r="M26" s="4">
        <v>379</v>
      </c>
      <c r="N26" s="4">
        <v>456</v>
      </c>
      <c r="O26" s="4">
        <v>550</v>
      </c>
    </row>
    <row r="27" spans="2:16">
      <c r="B27" s="27" t="s">
        <v>591</v>
      </c>
    </row>
    <row r="28" spans="2:16" ht="13.5" thickBot="1">
      <c r="B28" s="27" t="s">
        <v>592</v>
      </c>
      <c r="D28" s="4" t="s">
        <v>593</v>
      </c>
    </row>
    <row r="29" spans="2:16">
      <c r="B29" s="27" t="s">
        <v>594</v>
      </c>
      <c r="K29" s="45" t="s">
        <v>576</v>
      </c>
      <c r="L29" s="46"/>
      <c r="M29" s="46" t="s">
        <v>577</v>
      </c>
      <c r="N29" s="46"/>
      <c r="O29" s="46"/>
      <c r="P29" s="47"/>
    </row>
    <row r="30" spans="2:16">
      <c r="B30" s="27" t="s">
        <v>944</v>
      </c>
      <c r="K30" s="39"/>
      <c r="P30" s="40"/>
    </row>
    <row r="31" spans="2:16">
      <c r="K31" s="39" t="s">
        <v>578</v>
      </c>
      <c r="L31" s="4" t="s">
        <v>579</v>
      </c>
      <c r="M31" s="4" t="s">
        <v>3</v>
      </c>
      <c r="N31" s="4" t="s">
        <v>580</v>
      </c>
      <c r="P31" s="40"/>
    </row>
    <row r="32" spans="2:16">
      <c r="B32" s="22" t="s">
        <v>1058</v>
      </c>
      <c r="K32" s="39" t="s">
        <v>581</v>
      </c>
      <c r="L32" s="4" t="s">
        <v>455</v>
      </c>
      <c r="M32" s="4" t="s">
        <v>582</v>
      </c>
      <c r="N32" s="4">
        <v>9600</v>
      </c>
      <c r="O32" s="4" t="s">
        <v>81</v>
      </c>
      <c r="P32" s="40"/>
    </row>
    <row r="33" spans="2:16">
      <c r="B33" s="16" t="s">
        <v>909</v>
      </c>
      <c r="K33" s="39" t="s">
        <v>82</v>
      </c>
      <c r="L33" s="4" t="s">
        <v>83</v>
      </c>
      <c r="M33" s="4" t="s">
        <v>84</v>
      </c>
      <c r="N33" s="4">
        <v>8800</v>
      </c>
      <c r="P33" s="40"/>
    </row>
    <row r="34" spans="2:16">
      <c r="B34" s="16" t="s">
        <v>1057</v>
      </c>
      <c r="K34" s="39"/>
      <c r="M34" s="4" t="s">
        <v>85</v>
      </c>
      <c r="N34" s="4">
        <v>7700</v>
      </c>
      <c r="P34" s="40"/>
    </row>
    <row r="35" spans="2:16">
      <c r="K35" s="39"/>
      <c r="M35" s="4" t="s">
        <v>582</v>
      </c>
      <c r="N35" s="4">
        <v>4400</v>
      </c>
      <c r="P35" s="40"/>
    </row>
    <row r="36" spans="2:16">
      <c r="B36" s="22" t="s">
        <v>910</v>
      </c>
      <c r="K36" s="39" t="s">
        <v>86</v>
      </c>
      <c r="L36" s="4" t="s">
        <v>87</v>
      </c>
      <c r="M36" s="4" t="s">
        <v>88</v>
      </c>
      <c r="N36" s="4">
        <v>3816</v>
      </c>
      <c r="P36" s="40"/>
    </row>
    <row r="37" spans="2:16">
      <c r="B37" s="4" t="s">
        <v>911</v>
      </c>
      <c r="K37" s="39" t="s">
        <v>89</v>
      </c>
      <c r="L37" s="4" t="s">
        <v>83</v>
      </c>
      <c r="M37" s="4" t="s">
        <v>85</v>
      </c>
      <c r="N37" s="4">
        <v>3195</v>
      </c>
      <c r="P37" s="40"/>
    </row>
    <row r="38" spans="2:16">
      <c r="K38" s="39" t="s">
        <v>90</v>
      </c>
      <c r="L38" s="4" t="s">
        <v>91</v>
      </c>
      <c r="M38" s="4" t="s">
        <v>84</v>
      </c>
      <c r="N38" s="4">
        <v>2679</v>
      </c>
      <c r="P38" s="40"/>
    </row>
    <row r="39" spans="2:16">
      <c r="B39" s="22" t="s">
        <v>1021</v>
      </c>
      <c r="K39" s="39" t="s">
        <v>92</v>
      </c>
      <c r="L39" s="4" t="s">
        <v>93</v>
      </c>
      <c r="M39" s="4" t="s">
        <v>84</v>
      </c>
      <c r="N39" s="4">
        <v>5571</v>
      </c>
      <c r="P39" s="40"/>
    </row>
    <row r="40" spans="2:16">
      <c r="B40" s="22"/>
      <c r="K40" s="39" t="s">
        <v>587</v>
      </c>
      <c r="L40" s="4" t="s">
        <v>588</v>
      </c>
      <c r="M40" s="4" t="s">
        <v>589</v>
      </c>
      <c r="N40" s="4">
        <v>4421</v>
      </c>
      <c r="P40" s="40"/>
    </row>
    <row r="41" spans="2:16">
      <c r="B41" s="22" t="s">
        <v>1020</v>
      </c>
      <c r="K41" s="39" t="s">
        <v>590</v>
      </c>
      <c r="L41" s="4" t="s">
        <v>93</v>
      </c>
      <c r="M41" s="4" t="s">
        <v>84</v>
      </c>
      <c r="N41" s="4">
        <v>3638</v>
      </c>
      <c r="P41" s="40"/>
    </row>
    <row r="42" spans="2:16">
      <c r="P42" s="40"/>
    </row>
    <row r="43" spans="2:16">
      <c r="B43" s="22" t="s">
        <v>111</v>
      </c>
      <c r="P43" s="40"/>
    </row>
    <row r="44" spans="2:16" ht="13.5" thickBot="1">
      <c r="B44" s="4" t="s">
        <v>106</v>
      </c>
      <c r="K44" s="41"/>
      <c r="L44" s="42"/>
      <c r="M44" s="42"/>
      <c r="N44" s="42"/>
      <c r="O44" s="42"/>
      <c r="P44" s="43"/>
    </row>
    <row r="46" spans="2:16">
      <c r="B46" s="22" t="s">
        <v>1059</v>
      </c>
    </row>
    <row r="47" spans="2:16">
      <c r="B47" s="16" t="s">
        <v>1060</v>
      </c>
    </row>
    <row r="48" spans="2:16">
      <c r="B48" s="16"/>
    </row>
    <row r="49" spans="2:12">
      <c r="B49" s="22" t="s">
        <v>1025</v>
      </c>
      <c r="K49" s="58">
        <v>39479</v>
      </c>
      <c r="L49" s="26">
        <v>10414</v>
      </c>
    </row>
    <row r="50" spans="2:12">
      <c r="B50" s="16" t="s">
        <v>232</v>
      </c>
      <c r="K50" s="58">
        <v>39508</v>
      </c>
      <c r="L50" s="26">
        <v>12661</v>
      </c>
    </row>
    <row r="51" spans="2:12">
      <c r="B51" s="16"/>
      <c r="K51" s="58">
        <v>39539</v>
      </c>
      <c r="L51" s="26">
        <v>10387</v>
      </c>
    </row>
    <row r="52" spans="2:12">
      <c r="B52" s="22" t="s">
        <v>1025</v>
      </c>
    </row>
    <row r="53" spans="2:12">
      <c r="B53" s="16" t="s">
        <v>901</v>
      </c>
    </row>
    <row r="55" spans="2:12">
      <c r="B55" s="22" t="s">
        <v>1022</v>
      </c>
    </row>
    <row r="56" spans="2:12">
      <c r="B56" s="4" t="s">
        <v>191</v>
      </c>
    </row>
    <row r="57" spans="2:12">
      <c r="B57" s="4" t="s">
        <v>192</v>
      </c>
    </row>
    <row r="58" spans="2:12">
      <c r="B58" s="14" t="s">
        <v>900</v>
      </c>
    </row>
    <row r="59" spans="2:12">
      <c r="B59" s="14" t="s">
        <v>1023</v>
      </c>
    </row>
    <row r="60" spans="2:12">
      <c r="B60" s="4" t="s">
        <v>428</v>
      </c>
    </row>
    <row r="63" spans="2:12">
      <c r="B63" s="22" t="s">
        <v>1024</v>
      </c>
    </row>
    <row r="65" spans="2:3">
      <c r="B65" s="4" t="s">
        <v>286</v>
      </c>
    </row>
    <row r="66" spans="2:3">
      <c r="C66" s="4" t="s">
        <v>671</v>
      </c>
    </row>
    <row r="67" spans="2:3">
      <c r="C67" s="4" t="s">
        <v>672</v>
      </c>
    </row>
    <row r="69" spans="2:3">
      <c r="B69" s="22" t="s">
        <v>233</v>
      </c>
    </row>
    <row r="71" spans="2:3">
      <c r="B71" s="22" t="s">
        <v>234</v>
      </c>
    </row>
    <row r="73" spans="2: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RowHeight="12.75"/>
  <cols>
    <col min="1" max="1" width="5.42578125" style="4" customWidth="1"/>
    <col min="2" max="2" width="13.85546875" style="4" customWidth="1"/>
    <col min="3" max="3" width="9.140625" style="4"/>
    <col min="4" max="4" width="8.28515625" style="6" bestFit="1" customWidth="1"/>
    <col min="5" max="5" width="13.7109375" style="6" customWidth="1"/>
    <col min="6" max="6" width="10.85546875" style="6" bestFit="1" customWidth="1"/>
    <col min="7" max="7" width="11.5703125" style="6" bestFit="1" customWidth="1"/>
    <col min="8" max="8" width="10.140625" style="6" bestFit="1" customWidth="1"/>
    <col min="9" max="16384" width="9.140625" style="4"/>
  </cols>
  <sheetData>
    <row r="1" spans="1:6">
      <c r="A1" s="10" t="s">
        <v>5</v>
      </c>
    </row>
    <row r="2" spans="1:6">
      <c r="A2" s="10"/>
      <c r="B2" s="4" t="s">
        <v>335</v>
      </c>
      <c r="C2" s="16" t="s">
        <v>1087</v>
      </c>
      <c r="E2" s="4" t="s">
        <v>288</v>
      </c>
      <c r="F2" s="4" t="s">
        <v>336</v>
      </c>
    </row>
    <row r="3" spans="1:6">
      <c r="B3" s="16" t="s">
        <v>3</v>
      </c>
      <c r="C3" s="4" t="s">
        <v>337</v>
      </c>
    </row>
    <row r="4" spans="1:6">
      <c r="B4" s="16" t="s">
        <v>811</v>
      </c>
      <c r="C4" s="16" t="s">
        <v>1081</v>
      </c>
    </row>
    <row r="5" spans="1:6">
      <c r="B5" s="16"/>
      <c r="C5" s="4" t="s">
        <v>167</v>
      </c>
    </row>
    <row r="6" spans="1:6">
      <c r="B6" s="16"/>
      <c r="C6" s="4" t="s">
        <v>165</v>
      </c>
    </row>
    <row r="7" spans="1:6">
      <c r="B7" s="16"/>
      <c r="C7" s="4" t="s">
        <v>735</v>
      </c>
    </row>
    <row r="8" spans="1:6">
      <c r="B8" s="16"/>
      <c r="C8" s="4" t="s">
        <v>193</v>
      </c>
    </row>
    <row r="9" spans="1:6">
      <c r="B9" s="16"/>
      <c r="C9" s="4" t="s">
        <v>194</v>
      </c>
    </row>
    <row r="10" spans="1:6">
      <c r="B10" s="16"/>
      <c r="C10" s="16" t="s">
        <v>1084</v>
      </c>
    </row>
    <row r="11" spans="1:6">
      <c r="B11" s="16"/>
      <c r="C11" s="4" t="s">
        <v>238</v>
      </c>
    </row>
    <row r="12" spans="1:6">
      <c r="B12" s="16"/>
      <c r="C12" s="4" t="s">
        <v>239</v>
      </c>
    </row>
    <row r="13" spans="1:6">
      <c r="B13" s="16"/>
      <c r="C13" s="4" t="s">
        <v>764</v>
      </c>
    </row>
    <row r="14" spans="1:6">
      <c r="B14" s="16"/>
      <c r="C14" s="4" t="s">
        <v>547</v>
      </c>
    </row>
    <row r="15" spans="1:6" ht="14.25" customHeight="1">
      <c r="B15" s="16" t="s">
        <v>454</v>
      </c>
      <c r="C15" s="4" t="s">
        <v>184</v>
      </c>
    </row>
    <row r="16" spans="1:6">
      <c r="B16" s="16"/>
      <c r="C16" s="4" t="s">
        <v>77</v>
      </c>
    </row>
    <row r="17" spans="2:3">
      <c r="B17" s="16"/>
      <c r="C17" s="4" t="s">
        <v>256</v>
      </c>
    </row>
    <row r="18" spans="2:3">
      <c r="B18" s="16" t="s">
        <v>329</v>
      </c>
      <c r="C18" s="4" t="s">
        <v>166</v>
      </c>
    </row>
    <row r="19" spans="2:3">
      <c r="B19" s="4" t="s">
        <v>531</v>
      </c>
      <c r="C19" s="4" t="s">
        <v>983</v>
      </c>
    </row>
    <row r="20" spans="2:3">
      <c r="B20" s="4" t="s">
        <v>537</v>
      </c>
      <c r="C20" s="16" t="s">
        <v>1100</v>
      </c>
    </row>
    <row r="21" spans="2:3">
      <c r="B21" s="16" t="s">
        <v>6</v>
      </c>
      <c r="C21" s="16" t="s">
        <v>1099</v>
      </c>
    </row>
    <row r="22" spans="2:3">
      <c r="B22" s="4" t="s">
        <v>7</v>
      </c>
      <c r="C22" s="16" t="s">
        <v>1074</v>
      </c>
    </row>
    <row r="23" spans="2:3">
      <c r="B23" s="4" t="s">
        <v>323</v>
      </c>
    </row>
    <row r="24" spans="2:3">
      <c r="C24" s="22" t="s">
        <v>1083</v>
      </c>
    </row>
    <row r="25" spans="2:3">
      <c r="C25" s="4" t="s">
        <v>164</v>
      </c>
    </row>
    <row r="26" spans="2:3">
      <c r="C26" s="16" t="s">
        <v>1082</v>
      </c>
    </row>
    <row r="27" spans="2:3">
      <c r="C27" s="4" t="s">
        <v>633</v>
      </c>
    </row>
    <row r="28" spans="2:3">
      <c r="C28" s="16" t="s">
        <v>1085</v>
      </c>
    </row>
    <row r="29" spans="2:3">
      <c r="C29" s="4" t="s">
        <v>396</v>
      </c>
    </row>
    <row r="30" spans="2:3">
      <c r="C30" s="22" t="s">
        <v>168</v>
      </c>
    </row>
    <row r="31" spans="2:3">
      <c r="C31" s="16" t="s">
        <v>171</v>
      </c>
    </row>
    <row r="32" spans="2:3">
      <c r="C32" s="4" t="s">
        <v>487</v>
      </c>
    </row>
    <row r="34" spans="3:3">
      <c r="C34" s="22" t="s">
        <v>621</v>
      </c>
    </row>
    <row r="35" spans="3:3">
      <c r="C35" s="16" t="s">
        <v>745</v>
      </c>
    </row>
    <row r="37" spans="3:3">
      <c r="C37" s="22" t="s">
        <v>169</v>
      </c>
    </row>
    <row r="38" spans="3:3">
      <c r="C38" s="14" t="s">
        <v>1034</v>
      </c>
    </row>
    <row r="39" spans="3:3">
      <c r="C39" s="4" t="s">
        <v>170</v>
      </c>
    </row>
    <row r="40" spans="3:3">
      <c r="C40" s="4" t="s">
        <v>1035</v>
      </c>
    </row>
    <row r="41" spans="3:3">
      <c r="C41" s="4" t="s">
        <v>1036</v>
      </c>
    </row>
    <row r="43" spans="3:3">
      <c r="C43" s="22" t="s">
        <v>991</v>
      </c>
    </row>
    <row r="44" spans="3:3">
      <c r="C44" s="16" t="s">
        <v>655</v>
      </c>
    </row>
    <row r="45" spans="3:3">
      <c r="C45" s="16" t="s">
        <v>403</v>
      </c>
    </row>
    <row r="46" spans="3:3">
      <c r="C46" s="16" t="s">
        <v>41</v>
      </c>
    </row>
    <row r="47" spans="3:3">
      <c r="C47" s="16" t="s">
        <v>999</v>
      </c>
    </row>
    <row r="49" spans="3:9">
      <c r="C49" s="22" t="s">
        <v>46</v>
      </c>
    </row>
    <row r="50" spans="3:9">
      <c r="C50" s="4" t="s">
        <v>990</v>
      </c>
    </row>
    <row r="51" spans="3:9">
      <c r="C51" s="4" t="s">
        <v>695</v>
      </c>
    </row>
    <row r="53" spans="3:9">
      <c r="C53" s="22" t="s">
        <v>665</v>
      </c>
      <c r="D53" s="4"/>
      <c r="E53"/>
      <c r="I53" s="6"/>
    </row>
    <row r="54" spans="3:9">
      <c r="C54" s="4" t="s">
        <v>3</v>
      </c>
      <c r="D54" s="4" t="s">
        <v>622</v>
      </c>
      <c r="I54" s="6"/>
    </row>
    <row r="55" spans="3:9">
      <c r="C55" s="4" t="s">
        <v>423</v>
      </c>
      <c r="D55" s="4" t="s">
        <v>424</v>
      </c>
      <c r="I55" s="6"/>
    </row>
    <row r="56" spans="3:9">
      <c r="C56" s="4" t="s">
        <v>554</v>
      </c>
      <c r="D56" s="4" t="s">
        <v>421</v>
      </c>
      <c r="I56" s="6"/>
    </row>
    <row r="57" spans="3:9">
      <c r="C57" s="16" t="s">
        <v>1073</v>
      </c>
      <c r="D57" s="4"/>
      <c r="I57" s="6"/>
    </row>
    <row r="58" spans="3:9">
      <c r="D58" s="4"/>
      <c r="I58" s="6"/>
    </row>
    <row r="59" spans="3:9">
      <c r="C59" s="22" t="s">
        <v>422</v>
      </c>
      <c r="D59" s="4"/>
      <c r="I59" s="6"/>
    </row>
    <row r="60" spans="3:9">
      <c r="C60" s="16" t="s">
        <v>623</v>
      </c>
      <c r="D60" s="4"/>
      <c r="I60" s="6"/>
    </row>
    <row r="61" spans="3:9">
      <c r="C61" s="14" t="s">
        <v>452</v>
      </c>
      <c r="D61" s="4"/>
      <c r="I61" s="6"/>
    </row>
    <row r="63" spans="3:9">
      <c r="C63" s="22" t="s">
        <v>1101</v>
      </c>
    </row>
    <row r="64" spans="3:9">
      <c r="C64" s="4" t="s">
        <v>294</v>
      </c>
    </row>
    <row r="66" spans="3:13">
      <c r="C66" s="22" t="s">
        <v>1102</v>
      </c>
    </row>
    <row r="67" spans="3:13">
      <c r="C67" s="16" t="s">
        <v>1103</v>
      </c>
    </row>
    <row r="68" spans="3:13">
      <c r="C68" s="16" t="s">
        <v>1104</v>
      </c>
    </row>
    <row r="70" spans="3:13">
      <c r="C70" s="22" t="s">
        <v>1079</v>
      </c>
      <c r="M70" s="69"/>
    </row>
    <row r="71" spans="3:13">
      <c r="C71" s="16" t="s">
        <v>1054</v>
      </c>
      <c r="M71" s="69"/>
    </row>
    <row r="72" spans="3:13">
      <c r="C72" s="16" t="s">
        <v>1055</v>
      </c>
      <c r="M72" s="69"/>
    </row>
    <row r="73" spans="3:13">
      <c r="C73" s="14" t="s">
        <v>1089</v>
      </c>
      <c r="M73" s="69"/>
    </row>
    <row r="74" spans="3:13">
      <c r="C74" s="16" t="s">
        <v>1088</v>
      </c>
      <c r="M74" s="69"/>
    </row>
    <row r="75" spans="3:13">
      <c r="M75" s="69"/>
    </row>
    <row r="76" spans="3:13">
      <c r="C76" s="22" t="s">
        <v>625</v>
      </c>
      <c r="M76" s="69"/>
    </row>
    <row r="77" spans="3:13">
      <c r="C77" s="4" t="s">
        <v>624</v>
      </c>
    </row>
    <row r="79" spans="3:13">
      <c r="C79" s="4" t="s">
        <v>273</v>
      </c>
    </row>
    <row r="80" spans="3:13">
      <c r="C80" s="4" t="s">
        <v>533</v>
      </c>
    </row>
    <row r="81" spans="3:3">
      <c r="C81" s="4" t="s">
        <v>534</v>
      </c>
    </row>
    <row r="83" spans="3:3">
      <c r="C83" s="23" t="s">
        <v>195</v>
      </c>
    </row>
    <row r="84" spans="3:3">
      <c r="C84" s="4" t="s">
        <v>312</v>
      </c>
    </row>
    <row r="85" spans="3:3">
      <c r="C85" s="4" t="s">
        <v>766</v>
      </c>
    </row>
    <row r="87" spans="3:3">
      <c r="C87" s="22" t="s">
        <v>44</v>
      </c>
    </row>
    <row r="88" spans="3:3">
      <c r="C88" s="4" t="s">
        <v>45</v>
      </c>
    </row>
    <row r="89" spans="3:3">
      <c r="C89" s="4" t="s">
        <v>42</v>
      </c>
    </row>
    <row r="91" spans="3:3">
      <c r="C91" s="22" t="s">
        <v>78</v>
      </c>
    </row>
    <row r="92" spans="3:3">
      <c r="C92" s="4" t="s">
        <v>79</v>
      </c>
    </row>
    <row r="95" spans="3:3">
      <c r="C95" s="22" t="s">
        <v>1071</v>
      </c>
    </row>
    <row r="96" spans="3:3">
      <c r="C96" s="16" t="s">
        <v>1072</v>
      </c>
    </row>
    <row r="98" spans="3:4">
      <c r="C98" s="22" t="s">
        <v>334</v>
      </c>
      <c r="D98" s="22"/>
    </row>
    <row r="99" spans="3:4">
      <c r="C99" s="4" t="s">
        <v>338</v>
      </c>
      <c r="D99" s="4" t="s">
        <v>765</v>
      </c>
    </row>
    <row r="101" spans="3:4">
      <c r="C101" s="22" t="s">
        <v>1105</v>
      </c>
    </row>
    <row r="102" spans="3:4">
      <c r="C102" s="16" t="s">
        <v>1106</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RowHeight="12.75"/>
  <sheetData>
    <row r="1" spans="1:8">
      <c r="A1" s="11" t="s">
        <v>5</v>
      </c>
    </row>
    <row r="3" spans="1:8">
      <c r="B3" t="s">
        <v>435</v>
      </c>
    </row>
    <row r="8" spans="1:8" s="4" customFormat="1">
      <c r="B8" s="22" t="s">
        <v>736</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457</v>
      </c>
    </row>
    <row r="15" spans="1:8">
      <c r="C15" t="s">
        <v>850</v>
      </c>
    </row>
    <row r="16" spans="1:8">
      <c r="B16" t="s">
        <v>317</v>
      </c>
    </row>
    <row r="17" spans="2:3">
      <c r="B17" t="s">
        <v>340</v>
      </c>
    </row>
    <row r="18" spans="2:3">
      <c r="B18" t="s">
        <v>344</v>
      </c>
    </row>
    <row r="19" spans="2:3">
      <c r="C19" t="s">
        <v>345</v>
      </c>
    </row>
    <row r="20" spans="2:3">
      <c r="C20" t="s">
        <v>346</v>
      </c>
    </row>
    <row r="21" spans="2:3">
      <c r="B21" t="s">
        <v>347</v>
      </c>
    </row>
    <row r="23" spans="2:3">
      <c r="B23" t="s">
        <v>348</v>
      </c>
    </row>
    <row r="24" spans="2:3">
      <c r="B24" t="s">
        <v>411</v>
      </c>
    </row>
    <row r="25" spans="2:3">
      <c r="B25" t="s">
        <v>412</v>
      </c>
    </row>
    <row r="27" spans="2:3">
      <c r="B27" t="s">
        <v>413</v>
      </c>
    </row>
    <row r="28" spans="2:3">
      <c r="B28" t="s">
        <v>414</v>
      </c>
    </row>
    <row r="29" spans="2:3">
      <c r="B29" t="s">
        <v>673</v>
      </c>
    </row>
    <row r="30" spans="2:3">
      <c r="B30" t="s">
        <v>674</v>
      </c>
    </row>
    <row r="31" spans="2:3">
      <c r="B31" t="s">
        <v>675</v>
      </c>
    </row>
    <row r="33" spans="2:2">
      <c r="B33" t="s">
        <v>676</v>
      </c>
    </row>
    <row r="34" spans="2:2">
      <c r="B34" t="s">
        <v>485</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RowHeight="12.75"/>
  <cols>
    <col min="1" max="1" width="5" style="4" bestFit="1" customWidth="1"/>
    <col min="2" max="2" width="12.85546875" style="4" bestFit="1" customWidth="1"/>
    <col min="3" max="16384" width="9.140625" style="4"/>
  </cols>
  <sheetData>
    <row r="1" spans="1:3">
      <c r="A1" s="10" t="s">
        <v>5</v>
      </c>
    </row>
    <row r="2" spans="1:3">
      <c r="B2" s="4" t="s">
        <v>287</v>
      </c>
      <c r="C2" s="4" t="s">
        <v>97</v>
      </c>
    </row>
    <row r="3" spans="1:3">
      <c r="B3" s="4" t="s">
        <v>288</v>
      </c>
      <c r="C3" s="4" t="s">
        <v>489</v>
      </c>
    </row>
    <row r="4" spans="1:3">
      <c r="B4" s="4" t="s">
        <v>811</v>
      </c>
      <c r="C4" s="4" t="s">
        <v>490</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RowHeight="12.75"/>
  <cols>
    <col min="1" max="1" width="5.5703125" style="4" customWidth="1"/>
    <col min="2" max="2" width="13" style="4" customWidth="1"/>
    <col min="3" max="16384" width="9.140625" style="4"/>
  </cols>
  <sheetData>
    <row r="1" spans="1:3">
      <c r="A1" s="10" t="s">
        <v>5</v>
      </c>
    </row>
    <row r="2" spans="1:3">
      <c r="B2" s="4" t="s">
        <v>287</v>
      </c>
      <c r="C2" s="4" t="s">
        <v>598</v>
      </c>
    </row>
    <row r="3" spans="1:3">
      <c r="B3" s="4" t="s">
        <v>288</v>
      </c>
      <c r="C3" s="4" t="s">
        <v>1045</v>
      </c>
    </row>
    <row r="4" spans="1:3">
      <c r="B4" s="4" t="s">
        <v>811</v>
      </c>
      <c r="C4" s="4" t="s">
        <v>703</v>
      </c>
    </row>
    <row r="5" spans="1:3">
      <c r="C5" s="4" t="s">
        <v>274</v>
      </c>
    </row>
    <row r="6" spans="1:3">
      <c r="C6" s="4" t="s">
        <v>981</v>
      </c>
    </row>
    <row r="7" spans="1:3">
      <c r="B7" s="4" t="s">
        <v>454</v>
      </c>
      <c r="C7" s="4" t="s">
        <v>987</v>
      </c>
    </row>
    <row r="8" spans="1:3">
      <c r="B8" s="4" t="s">
        <v>986</v>
      </c>
      <c r="C8" s="4" t="s">
        <v>339</v>
      </c>
    </row>
    <row r="9" spans="1:3">
      <c r="B9" s="4" t="s">
        <v>323</v>
      </c>
    </row>
    <row r="10" spans="1:3">
      <c r="C10" s="22" t="s">
        <v>713</v>
      </c>
    </row>
    <row r="11" spans="1:3">
      <c r="C11" s="16" t="s">
        <v>599</v>
      </c>
    </row>
    <row r="12" spans="1:3">
      <c r="C12" s="16"/>
    </row>
    <row r="13" spans="1:3">
      <c r="C13" s="22" t="s">
        <v>814</v>
      </c>
    </row>
    <row r="14" spans="1:3">
      <c r="C14" s="4" t="s">
        <v>223</v>
      </c>
    </row>
    <row r="15" spans="1:3">
      <c r="C15" s="4" t="s">
        <v>893</v>
      </c>
    </row>
    <row r="16" spans="1:3">
      <c r="C16" s="4" t="s">
        <v>750</v>
      </c>
    </row>
    <row r="17" spans="3:4">
      <c r="C17" s="4" t="s">
        <v>751</v>
      </c>
    </row>
    <row r="18" spans="3:4">
      <c r="C18" s="4" t="s">
        <v>815</v>
      </c>
    </row>
    <row r="20" spans="3:4">
      <c r="C20" s="22" t="s">
        <v>519</v>
      </c>
    </row>
    <row r="21" spans="3:4">
      <c r="C21" s="16" t="s">
        <v>639</v>
      </c>
    </row>
    <row r="22" spans="3:4">
      <c r="C22" s="14"/>
    </row>
    <row r="23" spans="3:4">
      <c r="C23" s="22" t="s">
        <v>714</v>
      </c>
    </row>
    <row r="24" spans="3:4">
      <c r="C24" s="16" t="s">
        <v>715</v>
      </c>
    </row>
    <row r="25" spans="3:4">
      <c r="C25" s="16"/>
    </row>
    <row r="26" spans="3:4">
      <c r="C26" s="28" t="s">
        <v>851</v>
      </c>
    </row>
    <row r="27" spans="3:4">
      <c r="C27" s="4" t="s">
        <v>275</v>
      </c>
      <c r="D27" s="4" t="s">
        <v>276</v>
      </c>
    </row>
    <row r="28" spans="3:4">
      <c r="C28" s="4" t="s">
        <v>358</v>
      </c>
      <c r="D28" s="4" t="s">
        <v>324</v>
      </c>
    </row>
    <row r="29" spans="3:4">
      <c r="C29" s="4" t="s">
        <v>325</v>
      </c>
      <c r="D29" s="4" t="s">
        <v>299</v>
      </c>
    </row>
    <row r="30" spans="3:4">
      <c r="C30" s="4" t="s">
        <v>10</v>
      </c>
      <c r="D30" s="4" t="s">
        <v>277</v>
      </c>
    </row>
    <row r="31" spans="3:4">
      <c r="C31" s="4" t="s">
        <v>11</v>
      </c>
      <c r="D31" s="4" t="s">
        <v>300</v>
      </c>
    </row>
    <row r="32" spans="3:4">
      <c r="D32" s="4" t="s">
        <v>301</v>
      </c>
    </row>
    <row r="33" spans="3:4">
      <c r="D33" s="4" t="s">
        <v>302</v>
      </c>
    </row>
    <row r="34" spans="3:4">
      <c r="C34" s="4" t="s">
        <v>1010</v>
      </c>
      <c r="D34" s="4" t="s">
        <v>303</v>
      </c>
    </row>
    <row r="35" spans="3:4">
      <c r="D35" s="4" t="s">
        <v>278</v>
      </c>
    </row>
    <row r="36" spans="3:4">
      <c r="D36" s="4" t="s">
        <v>279</v>
      </c>
    </row>
    <row r="38" spans="3:4">
      <c r="C38" s="22" t="s">
        <v>894</v>
      </c>
    </row>
    <row r="39" spans="3:4">
      <c r="C39" s="4" t="s">
        <v>775</v>
      </c>
    </row>
    <row r="41" spans="3:4">
      <c r="C41" s="22" t="s">
        <v>641</v>
      </c>
    </row>
    <row r="42" spans="3:4">
      <c r="C42" s="16" t="s">
        <v>642</v>
      </c>
    </row>
    <row r="43" spans="3:4">
      <c r="C43" s="14"/>
    </row>
    <row r="44" spans="3:4">
      <c r="C44" s="16" t="s">
        <v>680</v>
      </c>
    </row>
    <row r="45" spans="3:4">
      <c r="C45" s="16" t="s">
        <v>681</v>
      </c>
    </row>
    <row r="46" spans="3:4">
      <c r="C46" s="16"/>
    </row>
    <row r="47" spans="3:4">
      <c r="C47" s="4" t="s">
        <v>224</v>
      </c>
    </row>
    <row r="48" spans="3:4">
      <c r="C48" s="14" t="s">
        <v>640</v>
      </c>
    </row>
    <row r="49" spans="3:4">
      <c r="C49" s="14"/>
    </row>
    <row r="50" spans="3:4">
      <c r="C50" s="4" t="s">
        <v>696</v>
      </c>
    </row>
    <row r="51" spans="3:4">
      <c r="D51" s="4" t="s">
        <v>697</v>
      </c>
    </row>
    <row r="52" spans="3:4">
      <c r="C52" s="4" t="s">
        <v>437</v>
      </c>
    </row>
    <row r="54" spans="3:4">
      <c r="C54" s="22" t="s">
        <v>908</v>
      </c>
    </row>
    <row r="55" spans="3:4">
      <c r="C55" s="4" t="s">
        <v>839</v>
      </c>
    </row>
    <row r="56" spans="3:4">
      <c r="C56" s="4" t="s">
        <v>840</v>
      </c>
    </row>
    <row r="57" spans="3:4">
      <c r="C57" s="4" t="s">
        <v>443</v>
      </c>
    </row>
    <row r="58" spans="3:4">
      <c r="C58" s="4" t="s">
        <v>341</v>
      </c>
    </row>
    <row r="59" spans="3:4">
      <c r="C59" s="4" t="s">
        <v>342</v>
      </c>
    </row>
    <row r="60" spans="3:4">
      <c r="C60" s="4" t="s">
        <v>906</v>
      </c>
    </row>
    <row r="61" spans="3:4">
      <c r="C61" s="4" t="s">
        <v>907</v>
      </c>
    </row>
    <row r="63" spans="3:4">
      <c r="C63" s="4" t="s">
        <v>462</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pane ySplit="2" topLeftCell="A3" activePane="bottomLeft" state="frozen"/>
      <selection pane="bottomLeft" activeCell="A3" sqref="A3"/>
    </sheetView>
  </sheetViews>
  <sheetFormatPr defaultRowHeight="12.75"/>
  <cols>
    <col min="1" max="1" width="5" style="4" bestFit="1" customWidth="1"/>
    <col min="2" max="2" width="16.42578125" style="4" customWidth="1"/>
    <col min="3" max="16384" width="9.140625" style="4"/>
  </cols>
  <sheetData>
    <row r="1" spans="1:3">
      <c r="A1" s="10" t="s">
        <v>5</v>
      </c>
    </row>
    <row r="2" spans="1:3">
      <c r="B2" s="4" t="s">
        <v>287</v>
      </c>
      <c r="C2" s="4" t="s">
        <v>560</v>
      </c>
    </row>
    <row r="3" spans="1:3">
      <c r="B3" s="4" t="s">
        <v>288</v>
      </c>
    </row>
    <row r="4" spans="1:3">
      <c r="B4" s="4" t="s">
        <v>3</v>
      </c>
      <c r="C4" s="4" t="s">
        <v>741</v>
      </c>
    </row>
    <row r="5" spans="1:3">
      <c r="C5" s="4" t="s">
        <v>837</v>
      </c>
    </row>
    <row r="6" spans="1:3">
      <c r="C6" s="4" t="s">
        <v>984</v>
      </c>
    </row>
    <row r="7" spans="1:3">
      <c r="B7" s="4" t="s">
        <v>670</v>
      </c>
      <c r="C7" s="4" t="s">
        <v>548</v>
      </c>
    </row>
    <row r="8" spans="1:3">
      <c r="B8" s="4" t="s">
        <v>811</v>
      </c>
      <c r="C8" s="4" t="s">
        <v>831</v>
      </c>
    </row>
    <row r="9" spans="1:3">
      <c r="C9" s="16" t="s">
        <v>36</v>
      </c>
    </row>
    <row r="10" spans="1:3">
      <c r="C10" s="16" t="s">
        <v>549</v>
      </c>
    </row>
    <row r="11" spans="1:3">
      <c r="B11" s="4" t="s">
        <v>986</v>
      </c>
      <c r="C11" s="4" t="s">
        <v>832</v>
      </c>
    </row>
    <row r="12" spans="1:3">
      <c r="B12" s="4" t="s">
        <v>7</v>
      </c>
      <c r="C12" s="4" t="s">
        <v>55</v>
      </c>
    </row>
    <row r="13" spans="1:3">
      <c r="C13" s="4" t="s">
        <v>699</v>
      </c>
    </row>
    <row r="14" spans="1:3">
      <c r="B14" s="4" t="s">
        <v>323</v>
      </c>
    </row>
    <row r="15" spans="1:3">
      <c r="C15" s="22" t="s">
        <v>716</v>
      </c>
    </row>
    <row r="16" spans="1:3">
      <c r="C16" s="4" t="s">
        <v>717</v>
      </c>
    </row>
    <row r="18" spans="3:3">
      <c r="C18" s="22" t="s">
        <v>719</v>
      </c>
    </row>
    <row r="19" spans="3:3">
      <c r="C19" s="4" t="s">
        <v>718</v>
      </c>
    </row>
    <row r="21" spans="3:3">
      <c r="C21" s="22" t="s">
        <v>720</v>
      </c>
    </row>
    <row r="22" spans="3:3">
      <c r="C22" s="4" t="s">
        <v>188</v>
      </c>
    </row>
    <row r="24" spans="3:3">
      <c r="C24" s="22" t="s">
        <v>917</v>
      </c>
    </row>
    <row r="25" spans="3:3">
      <c r="C25" s="4" t="s">
        <v>467</v>
      </c>
    </row>
    <row r="27" spans="3:3">
      <c r="C27" s="28" t="s">
        <v>830</v>
      </c>
    </row>
    <row r="28" spans="3:3">
      <c r="C28" s="4" t="s">
        <v>551</v>
      </c>
    </row>
    <row r="29" spans="3:3">
      <c r="C29" s="4" t="s">
        <v>836</v>
      </c>
    </row>
    <row r="30" spans="3:3">
      <c r="C30" s="4" t="s">
        <v>982</v>
      </c>
    </row>
    <row r="31" spans="3:3">
      <c r="C31" s="4" t="s">
        <v>834</v>
      </c>
    </row>
    <row r="32" spans="3:3">
      <c r="C32" s="16" t="s">
        <v>833</v>
      </c>
    </row>
    <row r="33" spans="3:3">
      <c r="C33" s="16" t="s">
        <v>998</v>
      </c>
    </row>
    <row r="34" spans="3:3">
      <c r="C34" s="4" t="s">
        <v>669</v>
      </c>
    </row>
    <row r="35" spans="3:3">
      <c r="C35" s="4" t="s">
        <v>835</v>
      </c>
    </row>
    <row r="36" spans="3:3">
      <c r="C36" s="4" t="s">
        <v>550</v>
      </c>
    </row>
    <row r="37" spans="3:3">
      <c r="C37" s="4" t="s">
        <v>552</v>
      </c>
    </row>
    <row r="39" spans="3:3">
      <c r="C39" s="22" t="s">
        <v>189</v>
      </c>
    </row>
    <row r="40" spans="3:3">
      <c r="C40" s="4" t="s">
        <v>698</v>
      </c>
    </row>
    <row r="41" spans="3:3">
      <c r="C41" s="4" t="s">
        <v>744</v>
      </c>
    </row>
    <row r="42" spans="3:3">
      <c r="C42" s="4" t="s">
        <v>985</v>
      </c>
    </row>
    <row r="44" spans="3:3">
      <c r="C44" s="22" t="s">
        <v>190</v>
      </c>
    </row>
    <row r="45" spans="3:3">
      <c r="C45" s="4" t="s">
        <v>801</v>
      </c>
    </row>
    <row r="46" spans="3:3">
      <c r="C46" s="4" t="s">
        <v>743</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RowHeight="12.75"/>
  <sheetData>
    <row r="2" spans="2:2">
      <c r="B2" t="s">
        <v>632</v>
      </c>
    </row>
    <row r="4" spans="2:2">
      <c r="B4" t="s">
        <v>972</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83"/>
  <sheetViews>
    <sheetView tabSelected="1" zoomScale="130" zoomScaleNormal="130" workbookViewId="0">
      <selection activeCell="G20" sqref="B2:G20"/>
    </sheetView>
  </sheetViews>
  <sheetFormatPr defaultRowHeight="12.75"/>
  <cols>
    <col min="1" max="1" width="2.28515625" style="4" customWidth="1"/>
    <col min="2" max="2" width="26.42578125" style="4" customWidth="1"/>
    <col min="3" max="3" width="30.42578125" style="6" bestFit="1" customWidth="1"/>
    <col min="4" max="4" width="25.28515625" style="6" bestFit="1" customWidth="1"/>
    <col min="5" max="5" width="15.140625" style="4" customWidth="1"/>
    <col min="6" max="6" width="16.28515625" style="4" customWidth="1"/>
    <col min="7" max="7" width="19.140625" style="4" customWidth="1"/>
    <col min="8" max="8" width="3.5703125" style="4" customWidth="1"/>
    <col min="9" max="9" width="7" style="4" bestFit="1" customWidth="1"/>
    <col min="10" max="10" width="8.42578125" style="4" customWidth="1"/>
    <col min="11" max="11" width="7" style="4" customWidth="1"/>
    <col min="12" max="16384" width="9.140625" style="4"/>
  </cols>
  <sheetData>
    <row r="1" spans="1:11" ht="12" customHeight="1">
      <c r="A1" s="16"/>
    </row>
    <row r="2" spans="1:11">
      <c r="B2" s="1" t="s">
        <v>2</v>
      </c>
      <c r="C2" s="2" t="s">
        <v>3</v>
      </c>
      <c r="D2" s="2" t="s">
        <v>811</v>
      </c>
      <c r="E2" s="2" t="s">
        <v>6</v>
      </c>
      <c r="F2" s="2" t="s">
        <v>1026</v>
      </c>
      <c r="G2" s="3" t="s">
        <v>600</v>
      </c>
      <c r="I2" s="4" t="s">
        <v>359</v>
      </c>
      <c r="J2" s="54">
        <v>232</v>
      </c>
    </row>
    <row r="3" spans="1:11">
      <c r="B3" s="25" t="s">
        <v>357</v>
      </c>
      <c r="C3" s="6" t="s">
        <v>1135</v>
      </c>
      <c r="D3" s="6" t="s">
        <v>812</v>
      </c>
      <c r="E3" s="12">
        <v>1</v>
      </c>
      <c r="F3" s="6">
        <v>2001</v>
      </c>
      <c r="G3" s="7" t="s">
        <v>305</v>
      </c>
      <c r="I3" s="4" t="s">
        <v>449</v>
      </c>
      <c r="J3" s="26">
        <v>539</v>
      </c>
      <c r="K3" s="107" t="s">
        <v>1192</v>
      </c>
    </row>
    <row r="4" spans="1:11">
      <c r="B4" s="25" t="s">
        <v>210</v>
      </c>
      <c r="C4" s="6" t="s">
        <v>1136</v>
      </c>
      <c r="D4" s="6" t="s">
        <v>664</v>
      </c>
      <c r="E4" s="12" t="s">
        <v>322</v>
      </c>
      <c r="F4" s="12"/>
      <c r="G4" s="7">
        <v>2009</v>
      </c>
      <c r="I4" s="4" t="s">
        <v>1014</v>
      </c>
      <c r="J4" s="26">
        <f>J3*J2</f>
        <v>125048</v>
      </c>
    </row>
    <row r="5" spans="1:11">
      <c r="B5" s="25" t="s">
        <v>211</v>
      </c>
      <c r="C5" s="6" t="s">
        <v>572</v>
      </c>
      <c r="D5" s="6" t="s">
        <v>812</v>
      </c>
      <c r="E5" s="12">
        <v>1</v>
      </c>
      <c r="F5" s="12"/>
      <c r="G5" s="7">
        <v>2015</v>
      </c>
      <c r="I5" s="4" t="s">
        <v>1015</v>
      </c>
      <c r="J5" s="26">
        <v>9300</v>
      </c>
      <c r="K5" s="107" t="s">
        <v>1192</v>
      </c>
    </row>
    <row r="6" spans="1:11">
      <c r="B6" s="25" t="s">
        <v>13</v>
      </c>
      <c r="C6" s="6" t="s">
        <v>562</v>
      </c>
      <c r="D6" s="6" t="s">
        <v>812</v>
      </c>
      <c r="E6" s="12">
        <v>1</v>
      </c>
      <c r="F6" s="6">
        <v>1989</v>
      </c>
      <c r="G6" s="7" t="s">
        <v>650</v>
      </c>
      <c r="I6" s="4" t="s">
        <v>1016</v>
      </c>
      <c r="J6" s="26">
        <v>38900</v>
      </c>
      <c r="K6" s="107" t="s">
        <v>1192</v>
      </c>
    </row>
    <row r="7" spans="1:11">
      <c r="B7" s="25" t="s">
        <v>212</v>
      </c>
      <c r="C7" s="6" t="s">
        <v>572</v>
      </c>
      <c r="D7" s="6" t="s">
        <v>812</v>
      </c>
      <c r="E7" s="12">
        <v>1</v>
      </c>
      <c r="F7" s="6">
        <v>1991</v>
      </c>
      <c r="G7" s="44" t="s">
        <v>1112</v>
      </c>
      <c r="I7" s="4" t="s">
        <v>1017</v>
      </c>
      <c r="J7" s="26">
        <f>J4-J5+J6</f>
        <v>154648</v>
      </c>
    </row>
    <row r="8" spans="1:11">
      <c r="B8" s="25" t="s">
        <v>1051</v>
      </c>
      <c r="C8" s="6" t="s">
        <v>1137</v>
      </c>
      <c r="D8" s="6" t="s">
        <v>34</v>
      </c>
      <c r="E8" s="12" t="s">
        <v>583</v>
      </c>
      <c r="F8" s="12"/>
      <c r="G8" s="66"/>
    </row>
    <row r="9" spans="1:11">
      <c r="B9" s="25" t="s">
        <v>390</v>
      </c>
      <c r="C9" s="6" t="s">
        <v>1138</v>
      </c>
      <c r="D9" s="6" t="s">
        <v>1216</v>
      </c>
      <c r="E9" s="12">
        <v>1</v>
      </c>
      <c r="F9" s="6">
        <v>2006</v>
      </c>
      <c r="G9" s="7" t="s">
        <v>187</v>
      </c>
    </row>
    <row r="10" spans="1:11">
      <c r="B10" s="25" t="s">
        <v>1214</v>
      </c>
      <c r="C10" s="6" t="s">
        <v>1223</v>
      </c>
      <c r="D10" s="6" t="s">
        <v>1215</v>
      </c>
      <c r="E10" s="27">
        <v>1</v>
      </c>
      <c r="G10" s="24"/>
    </row>
    <row r="11" spans="1:11">
      <c r="B11" s="25" t="s">
        <v>1086</v>
      </c>
      <c r="C11" s="29" t="s">
        <v>1139</v>
      </c>
      <c r="D11" s="103" t="s">
        <v>1217</v>
      </c>
      <c r="E11" s="52" t="s">
        <v>1080</v>
      </c>
      <c r="F11" s="104">
        <v>40384</v>
      </c>
      <c r="G11" s="44" t="s">
        <v>755</v>
      </c>
    </row>
    <row r="12" spans="1:11">
      <c r="B12" s="112" t="s">
        <v>1290</v>
      </c>
      <c r="C12" s="29"/>
      <c r="D12" s="29"/>
      <c r="E12" s="52"/>
      <c r="F12" s="104">
        <v>41110</v>
      </c>
      <c r="G12" s="44"/>
    </row>
    <row r="13" spans="1:11">
      <c r="B13" s="112" t="s">
        <v>1291</v>
      </c>
      <c r="C13" s="29"/>
      <c r="D13" s="29"/>
      <c r="E13" s="52"/>
      <c r="F13" s="104"/>
      <c r="G13" s="44"/>
    </row>
    <row r="14" spans="1:11">
      <c r="B14" s="112" t="s">
        <v>1292</v>
      </c>
      <c r="C14" s="29"/>
      <c r="D14" s="29"/>
      <c r="E14" s="52"/>
      <c r="F14" s="104"/>
      <c r="G14" s="44"/>
    </row>
    <row r="15" spans="1:11">
      <c r="B15" s="112" t="s">
        <v>1293</v>
      </c>
      <c r="C15" s="29"/>
      <c r="D15" s="29"/>
      <c r="E15" s="52"/>
      <c r="F15" s="104"/>
      <c r="G15" s="44"/>
    </row>
    <row r="16" spans="1:11">
      <c r="B16" s="112" t="s">
        <v>1294</v>
      </c>
      <c r="C16" s="29"/>
      <c r="D16" s="29"/>
      <c r="E16" s="52"/>
      <c r="F16" s="104"/>
      <c r="G16" s="44"/>
    </row>
    <row r="17" spans="2:7">
      <c r="B17" s="112" t="s">
        <v>1295</v>
      </c>
      <c r="C17" s="29"/>
      <c r="D17" s="29"/>
      <c r="E17" s="52"/>
      <c r="F17" s="104">
        <v>41719</v>
      </c>
      <c r="G17" s="44"/>
    </row>
    <row r="18" spans="2:7" s="16" customFormat="1">
      <c r="B18" s="110" t="s">
        <v>1234</v>
      </c>
      <c r="C18" s="29" t="s">
        <v>1133</v>
      </c>
      <c r="D18" s="29" t="s">
        <v>1134</v>
      </c>
      <c r="E18" s="52">
        <v>1</v>
      </c>
      <c r="F18" s="29"/>
      <c r="G18" s="94"/>
    </row>
    <row r="19" spans="2:7" s="16" customFormat="1">
      <c r="B19" s="110" t="s">
        <v>1235</v>
      </c>
      <c r="C19" s="29" t="s">
        <v>950</v>
      </c>
      <c r="D19" s="29" t="s">
        <v>1142</v>
      </c>
      <c r="E19" s="52">
        <v>1</v>
      </c>
      <c r="F19" s="29" t="s">
        <v>1143</v>
      </c>
      <c r="G19" s="94"/>
    </row>
    <row r="20" spans="2:7">
      <c r="B20" s="105" t="s">
        <v>853</v>
      </c>
      <c r="C20" s="9" t="s">
        <v>1140</v>
      </c>
      <c r="D20" s="9" t="s">
        <v>35</v>
      </c>
      <c r="E20" s="59">
        <v>1</v>
      </c>
      <c r="F20" s="9">
        <v>2008</v>
      </c>
      <c r="G20" s="106" t="s">
        <v>186</v>
      </c>
    </row>
    <row r="21" spans="2:7" s="16" customFormat="1">
      <c r="B21" s="1"/>
      <c r="C21" s="2"/>
      <c r="D21" s="2"/>
      <c r="E21" s="2"/>
      <c r="F21" s="2" t="s">
        <v>4</v>
      </c>
      <c r="G21" s="3" t="s">
        <v>885</v>
      </c>
    </row>
    <row r="22" spans="2:7" s="16" customFormat="1">
      <c r="B22" s="68" t="s">
        <v>1146</v>
      </c>
      <c r="C22" s="29" t="s">
        <v>1147</v>
      </c>
      <c r="D22" s="29"/>
      <c r="E22" s="52">
        <v>1</v>
      </c>
      <c r="F22" s="29" t="s">
        <v>225</v>
      </c>
      <c r="G22" s="94"/>
    </row>
    <row r="23" spans="2:7" s="16" customFormat="1">
      <c r="B23" s="68" t="s">
        <v>1164</v>
      </c>
      <c r="C23" s="29" t="s">
        <v>532</v>
      </c>
      <c r="D23" s="29"/>
      <c r="E23" s="52" t="s">
        <v>539</v>
      </c>
      <c r="F23" s="29" t="s">
        <v>225</v>
      </c>
      <c r="G23" s="94"/>
    </row>
    <row r="24" spans="2:7">
      <c r="B24" s="25" t="s">
        <v>219</v>
      </c>
      <c r="C24" s="6" t="s">
        <v>933</v>
      </c>
      <c r="D24" s="6" t="s">
        <v>880</v>
      </c>
      <c r="E24" s="12">
        <v>1</v>
      </c>
      <c r="F24" s="6" t="s">
        <v>855</v>
      </c>
      <c r="G24" s="24"/>
    </row>
    <row r="25" spans="2:7">
      <c r="B25" s="25" t="s">
        <v>216</v>
      </c>
      <c r="C25" s="6" t="s">
        <v>566</v>
      </c>
      <c r="D25" s="6" t="s">
        <v>882</v>
      </c>
      <c r="E25" s="12">
        <v>1</v>
      </c>
      <c r="F25" s="29" t="s">
        <v>855</v>
      </c>
      <c r="G25" s="24"/>
    </row>
    <row r="26" spans="2:7">
      <c r="B26" s="5" t="s">
        <v>66</v>
      </c>
      <c r="C26" s="6" t="s">
        <v>95</v>
      </c>
      <c r="D26" s="6" t="s">
        <v>883</v>
      </c>
      <c r="E26" s="52" t="s">
        <v>83</v>
      </c>
      <c r="F26" s="95" t="s">
        <v>855</v>
      </c>
      <c r="G26" s="24" t="s">
        <v>565</v>
      </c>
    </row>
    <row r="27" spans="2:7">
      <c r="B27" s="68" t="s">
        <v>1148</v>
      </c>
      <c r="C27" s="29" t="s">
        <v>218</v>
      </c>
      <c r="D27" s="29" t="s">
        <v>1149</v>
      </c>
      <c r="E27" s="52">
        <v>1</v>
      </c>
      <c r="F27" s="95" t="s">
        <v>855</v>
      </c>
      <c r="G27" s="24"/>
    </row>
    <row r="28" spans="2:7">
      <c r="B28" s="5" t="s">
        <v>352</v>
      </c>
      <c r="C28" s="6" t="s">
        <v>353</v>
      </c>
      <c r="D28" s="6" t="s">
        <v>110</v>
      </c>
      <c r="E28" s="52" t="s">
        <v>1065</v>
      </c>
      <c r="F28" s="6">
        <v>1</v>
      </c>
      <c r="G28" s="24" t="s">
        <v>94</v>
      </c>
    </row>
    <row r="29" spans="2:7">
      <c r="B29" s="25" t="s">
        <v>31</v>
      </c>
      <c r="C29" s="29" t="s">
        <v>1067</v>
      </c>
      <c r="D29" s="29" t="s">
        <v>1064</v>
      </c>
      <c r="E29" s="52">
        <v>1</v>
      </c>
      <c r="F29" s="6" t="s">
        <v>855</v>
      </c>
      <c r="G29" s="24"/>
    </row>
    <row r="30" spans="2:7" s="23" customFormat="1">
      <c r="B30" s="64" t="s">
        <v>217</v>
      </c>
      <c r="C30" s="36" t="s">
        <v>218</v>
      </c>
      <c r="D30" s="36" t="s">
        <v>881</v>
      </c>
      <c r="E30" s="34">
        <v>1</v>
      </c>
      <c r="F30" s="36" t="s">
        <v>855</v>
      </c>
      <c r="G30" s="65"/>
    </row>
    <row r="31" spans="2:7">
      <c r="B31" s="5" t="s">
        <v>125</v>
      </c>
      <c r="C31" s="6" t="s">
        <v>32</v>
      </c>
      <c r="D31" s="6" t="s">
        <v>491</v>
      </c>
      <c r="E31" s="6" t="s">
        <v>773</v>
      </c>
      <c r="F31" s="6" t="s">
        <v>774</v>
      </c>
      <c r="G31" s="24"/>
    </row>
    <row r="32" spans="2:7">
      <c r="B32" s="5" t="s">
        <v>67</v>
      </c>
      <c r="C32" s="6" t="s">
        <v>567</v>
      </c>
      <c r="D32" s="6" t="s">
        <v>1002</v>
      </c>
      <c r="F32" s="6">
        <v>1</v>
      </c>
      <c r="G32" s="24"/>
    </row>
    <row r="33" spans="2:7">
      <c r="B33" s="5" t="s">
        <v>67</v>
      </c>
      <c r="C33" s="6" t="s">
        <v>30</v>
      </c>
      <c r="E33" s="6" t="s">
        <v>682</v>
      </c>
      <c r="F33" s="6">
        <v>1</v>
      </c>
      <c r="G33" s="24"/>
    </row>
    <row r="34" spans="2:7">
      <c r="B34" s="25" t="s">
        <v>786</v>
      </c>
      <c r="C34" s="6" t="s">
        <v>566</v>
      </c>
      <c r="D34" s="6" t="s">
        <v>787</v>
      </c>
      <c r="E34" s="12">
        <v>1</v>
      </c>
      <c r="F34" s="6" t="s">
        <v>774</v>
      </c>
      <c r="G34" s="24" t="s">
        <v>788</v>
      </c>
    </row>
    <row r="35" spans="2:7">
      <c r="B35" s="5" t="s">
        <v>789</v>
      </c>
      <c r="C35" s="6" t="s">
        <v>790</v>
      </c>
      <c r="D35" s="6" t="s">
        <v>928</v>
      </c>
      <c r="E35" s="12">
        <v>1</v>
      </c>
      <c r="F35" s="6" t="s">
        <v>774</v>
      </c>
      <c r="G35" s="24"/>
    </row>
    <row r="36" spans="2:7">
      <c r="B36" s="5" t="s">
        <v>131</v>
      </c>
      <c r="C36" s="6" t="s">
        <v>215</v>
      </c>
      <c r="D36" s="6" t="s">
        <v>132</v>
      </c>
      <c r="F36" s="6">
        <v>1</v>
      </c>
      <c r="G36" s="24"/>
    </row>
    <row r="37" spans="2:7">
      <c r="B37" s="5" t="s">
        <v>538</v>
      </c>
      <c r="E37" s="6" t="s">
        <v>539</v>
      </c>
      <c r="F37" s="6" t="s">
        <v>855</v>
      </c>
      <c r="G37" s="24"/>
    </row>
    <row r="38" spans="2:7">
      <c r="B38" s="5" t="s">
        <v>65</v>
      </c>
      <c r="C38" s="6" t="s">
        <v>810</v>
      </c>
      <c r="D38" s="6" t="s">
        <v>884</v>
      </c>
      <c r="F38" s="6">
        <v>2</v>
      </c>
      <c r="G38" s="24" t="s">
        <v>563</v>
      </c>
    </row>
    <row r="39" spans="2:7">
      <c r="B39" s="25" t="s">
        <v>108</v>
      </c>
      <c r="C39" s="6" t="s">
        <v>109</v>
      </c>
      <c r="D39" s="6" t="s">
        <v>553</v>
      </c>
      <c r="E39" s="6" t="s">
        <v>43</v>
      </c>
      <c r="F39" s="29" t="s">
        <v>774</v>
      </c>
      <c r="G39" s="24"/>
    </row>
    <row r="40" spans="2:7">
      <c r="B40" s="8" t="s">
        <v>51</v>
      </c>
      <c r="C40" s="9" t="s">
        <v>567</v>
      </c>
      <c r="D40" s="9" t="s">
        <v>52</v>
      </c>
      <c r="E40" s="59">
        <v>1</v>
      </c>
      <c r="F40" s="9" t="s">
        <v>774</v>
      </c>
      <c r="G40" s="17"/>
    </row>
    <row r="42" spans="2:7">
      <c r="B42" s="14"/>
      <c r="E42" s="23" t="s">
        <v>54</v>
      </c>
      <c r="F42" s="23"/>
    </row>
    <row r="43" spans="2:7">
      <c r="B43" s="16"/>
      <c r="E43" s="33" t="s">
        <v>471</v>
      </c>
      <c r="F43" s="23"/>
    </row>
    <row r="44" spans="2:7">
      <c r="B44" s="16"/>
      <c r="E44" s="23" t="s">
        <v>517</v>
      </c>
      <c r="F44" s="33"/>
    </row>
    <row r="45" spans="2:7">
      <c r="E45" s="23" t="s">
        <v>318</v>
      </c>
      <c r="F45" s="23"/>
    </row>
    <row r="46" spans="2:7">
      <c r="B46" s="16"/>
      <c r="E46" s="23" t="s">
        <v>53</v>
      </c>
      <c r="F46" s="23"/>
    </row>
    <row r="47" spans="2:7">
      <c r="E47" s="33" t="s">
        <v>518</v>
      </c>
      <c r="F47" s="23"/>
    </row>
    <row r="48" spans="2:7">
      <c r="B48" s="14"/>
      <c r="E48" s="23" t="s">
        <v>824</v>
      </c>
      <c r="F48" s="33"/>
    </row>
    <row r="49" spans="2:6">
      <c r="B49" s="14"/>
      <c r="E49" s="4" t="s">
        <v>333</v>
      </c>
      <c r="F49" s="23"/>
    </row>
    <row r="50" spans="2:6">
      <c r="E50" s="4" t="s">
        <v>888</v>
      </c>
      <c r="F50" s="23"/>
    </row>
    <row r="51" spans="2:6">
      <c r="E51" s="23" t="s">
        <v>995</v>
      </c>
    </row>
    <row r="52" spans="2:6">
      <c r="E52" s="4" t="s">
        <v>996</v>
      </c>
      <c r="F52" s="23"/>
    </row>
    <row r="53" spans="2:6">
      <c r="E53" s="23" t="s">
        <v>997</v>
      </c>
    </row>
    <row r="54" spans="2:6">
      <c r="E54" s="23" t="s">
        <v>772</v>
      </c>
    </row>
    <row r="55" spans="2:6">
      <c r="E55" s="23" t="s">
        <v>124</v>
      </c>
      <c r="F55" s="23"/>
    </row>
    <row r="56" spans="2:6">
      <c r="E56" s="23" t="s">
        <v>1008</v>
      </c>
    </row>
    <row r="57" spans="2:6">
      <c r="E57" s="23" t="s">
        <v>561</v>
      </c>
      <c r="F57" s="23"/>
    </row>
    <row r="58" spans="2:6">
      <c r="E58" s="33" t="s">
        <v>891</v>
      </c>
      <c r="F58" s="23"/>
    </row>
    <row r="59" spans="2:6">
      <c r="E59" s="23" t="s">
        <v>29</v>
      </c>
      <c r="F59" s="23"/>
    </row>
    <row r="60" spans="2:6">
      <c r="B60" s="4" t="s">
        <v>418</v>
      </c>
      <c r="E60" s="23" t="s">
        <v>645</v>
      </c>
      <c r="F60" s="23"/>
    </row>
    <row r="61" spans="2:6">
      <c r="E61" s="23" t="s">
        <v>892</v>
      </c>
      <c r="F61" s="33"/>
    </row>
    <row r="62" spans="2:6">
      <c r="E62" s="23" t="s">
        <v>484</v>
      </c>
      <c r="F62" s="23"/>
    </row>
    <row r="63" spans="2:6">
      <c r="E63" s="23" t="s">
        <v>483</v>
      </c>
      <c r="F63" s="23"/>
    </row>
    <row r="64" spans="2:6">
      <c r="E64" s="23" t="s">
        <v>730</v>
      </c>
      <c r="F64" s="23"/>
    </row>
    <row r="65" spans="5:6">
      <c r="E65" s="23" t="s">
        <v>620</v>
      </c>
      <c r="F65" s="23"/>
    </row>
    <row r="66" spans="5:6">
      <c r="E66" s="23" t="s">
        <v>978</v>
      </c>
    </row>
    <row r="67" spans="5:6">
      <c r="E67" s="23" t="s">
        <v>767</v>
      </c>
    </row>
    <row r="68" spans="5:6">
      <c r="E68" s="23" t="s">
        <v>38</v>
      </c>
    </row>
    <row r="69" spans="5:6">
      <c r="E69" s="23" t="s">
        <v>1018</v>
      </c>
    </row>
    <row r="70" spans="5:6">
      <c r="E70" s="23" t="s">
        <v>296</v>
      </c>
    </row>
    <row r="71" spans="5:6">
      <c r="E71" s="4" t="s">
        <v>943</v>
      </c>
    </row>
    <row r="72" spans="5:6">
      <c r="E72" s="23" t="s">
        <v>689</v>
      </c>
    </row>
    <row r="73" spans="5:6">
      <c r="E73" s="23" t="s">
        <v>1078</v>
      </c>
    </row>
    <row r="74" spans="5:6">
      <c r="E74" s="23" t="s">
        <v>1070</v>
      </c>
    </row>
    <row r="75" spans="5:6">
      <c r="E75" s="23" t="s">
        <v>1049</v>
      </c>
    </row>
    <row r="76" spans="5:6">
      <c r="E76" s="23" t="s">
        <v>1056</v>
      </c>
    </row>
    <row r="77" spans="5:6">
      <c r="E77" s="23" t="s">
        <v>1066</v>
      </c>
    </row>
    <row r="78" spans="5:6">
      <c r="E78" s="16" t="s">
        <v>1094</v>
      </c>
    </row>
    <row r="79" spans="5:6">
      <c r="E79" s="16" t="s">
        <v>1095</v>
      </c>
    </row>
    <row r="81" spans="5:5">
      <c r="E81" s="4" t="s">
        <v>1218</v>
      </c>
    </row>
    <row r="82" spans="5:5">
      <c r="E82" s="4" t="s">
        <v>1208</v>
      </c>
    </row>
    <row r="83" spans="5:5">
      <c r="E83" s="4" t="s">
        <v>1209</v>
      </c>
    </row>
  </sheetData>
  <phoneticPr fontId="3" type="noConversion"/>
  <hyperlinks>
    <hyperlink ref="B9" location="Vectibix!A1" display="Vectibix (panitumumab)" xr:uid="{00000000-0004-0000-0000-000000000000}"/>
    <hyperlink ref="B11" location="Denosumab!A1" display="Denosumab (AMG162)" xr:uid="{00000000-0004-0000-0000-000001000000}"/>
    <hyperlink ref="B25"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20" location="'531'!A1" display="AMG531 (fast track)" xr:uid="{00000000-0004-0000-0000-000006000000}"/>
    <hyperlink ref="B8" location="Sensipar!A1" display="Sensipar (cinacalcet)" xr:uid="{00000000-0004-0000-0000-000007000000}"/>
    <hyperlink ref="B24" location="'102'!A1" display="AMG102" xr:uid="{00000000-0004-0000-0000-000008000000}"/>
    <hyperlink ref="B5" location="Neulasta!A1" display="Neulasta (pegfilgrastim)" xr:uid="{00000000-0004-0000-0000-000009000000}"/>
    <hyperlink ref="B7" location="Neupogen!A1" display="Neupogen (filgrastim)" xr:uid="{00000000-0004-0000-0000-00000A000000}"/>
    <hyperlink ref="B4" location="Enbrel!A1" display="Enbrel (etanercept)" xr:uid="{00000000-0004-0000-0000-00000B000000}"/>
    <hyperlink ref="B39" location="'785'!A1" display="AMG785" xr:uid="{00000000-0004-0000-0000-00000E000000}"/>
    <hyperlink ref="B34" location="'208'!A1" display="AMG208" xr:uid="{00000000-0004-0000-0000-00000F000000}"/>
    <hyperlink ref="B29" location="'655'!A1" display="AMG655" xr:uid="{00000000-0004-0000-0000-000010000000}"/>
    <hyperlink ref="B10" location="Lumakras!A1" display="Lumakras (sotorasib)" xr:uid="{9E5CC73F-416C-46F7-923B-50F6862D49CD}"/>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RowHeight="12.75"/>
  <cols>
    <col min="1" max="1" width="5" bestFit="1" customWidth="1"/>
  </cols>
  <sheetData>
    <row r="1" spans="1:2">
      <c r="A1" s="11" t="s">
        <v>5</v>
      </c>
    </row>
    <row r="2" spans="1:2">
      <c r="B2" t="s">
        <v>343</v>
      </c>
    </row>
    <row r="4" spans="1:2">
      <c r="B4" t="s">
        <v>721</v>
      </c>
    </row>
    <row r="5" spans="1:2">
      <c r="B5" t="s">
        <v>438</v>
      </c>
    </row>
    <row r="7" spans="1:2">
      <c r="B7" t="s">
        <v>436</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RowHeight="12.75"/>
  <cols>
    <col min="1" max="1" width="5" bestFit="1" customWidth="1"/>
    <col min="2" max="2" width="12.85546875" bestFit="1" customWidth="1"/>
  </cols>
  <sheetData>
    <row r="1" spans="1:3">
      <c r="A1" s="11" t="s">
        <v>5</v>
      </c>
    </row>
    <row r="2" spans="1:3">
      <c r="B2" t="s">
        <v>287</v>
      </c>
      <c r="C2" t="s">
        <v>856</v>
      </c>
    </row>
    <row r="3" spans="1:3">
      <c r="B3" t="s">
        <v>288</v>
      </c>
    </row>
    <row r="4" spans="1:3">
      <c r="B4" t="s">
        <v>323</v>
      </c>
    </row>
    <row r="5" spans="1:3">
      <c r="C5" s="48" t="s">
        <v>857</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RowHeight="12.75"/>
  <cols>
    <col min="1" max="1" width="5" bestFit="1" customWidth="1"/>
    <col min="2" max="2" width="12.85546875" bestFit="1" customWidth="1"/>
  </cols>
  <sheetData>
    <row r="1" spans="1:3">
      <c r="A1" s="11" t="s">
        <v>5</v>
      </c>
    </row>
    <row r="2" spans="1:3">
      <c r="B2" t="s">
        <v>287</v>
      </c>
      <c r="C2" t="s">
        <v>280</v>
      </c>
    </row>
    <row r="3" spans="1:3">
      <c r="B3" t="s">
        <v>811</v>
      </c>
      <c r="C3" t="s">
        <v>926</v>
      </c>
    </row>
    <row r="4" spans="1:3">
      <c r="B4" t="s">
        <v>323</v>
      </c>
    </row>
    <row r="5" spans="1:3">
      <c r="C5" s="48" t="s">
        <v>1107</v>
      </c>
    </row>
    <row r="6" spans="1:3">
      <c r="C6" s="53" t="s">
        <v>1108</v>
      </c>
    </row>
    <row r="7" spans="1:3">
      <c r="C7" s="53"/>
    </row>
    <row r="8" spans="1:3">
      <c r="C8" s="53"/>
    </row>
    <row r="10" spans="1:3">
      <c r="C10" s="48" t="s">
        <v>927</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RowHeight="12.75"/>
  <cols>
    <col min="1" max="1" width="5" bestFit="1" customWidth="1"/>
    <col min="2" max="2" width="12.85546875" bestFit="1" customWidth="1"/>
  </cols>
  <sheetData>
    <row r="1" spans="1:4">
      <c r="A1" s="11" t="s">
        <v>5</v>
      </c>
    </row>
    <row r="2" spans="1:4">
      <c r="B2" t="s">
        <v>287</v>
      </c>
      <c r="C2" t="s">
        <v>126</v>
      </c>
    </row>
    <row r="3" spans="1:4">
      <c r="B3" t="s">
        <v>288</v>
      </c>
    </row>
    <row r="4" spans="1:4">
      <c r="B4" t="s">
        <v>811</v>
      </c>
      <c r="C4" t="s">
        <v>726</v>
      </c>
    </row>
    <row r="5" spans="1:4">
      <c r="C5" t="s">
        <v>918</v>
      </c>
    </row>
    <row r="6" spans="1:4">
      <c r="C6" t="s">
        <v>919</v>
      </c>
    </row>
    <row r="7" spans="1:4">
      <c r="C7" t="s">
        <v>281</v>
      </c>
    </row>
    <row r="8" spans="1:4">
      <c r="C8" t="s">
        <v>321</v>
      </c>
    </row>
    <row r="9" spans="1:4">
      <c r="C9" t="s">
        <v>758</v>
      </c>
    </row>
    <row r="10" spans="1:4">
      <c r="C10" t="s">
        <v>760</v>
      </c>
    </row>
    <row r="12" spans="1:4">
      <c r="B12" t="s">
        <v>7</v>
      </c>
      <c r="C12" t="s">
        <v>759</v>
      </c>
    </row>
    <row r="13" spans="1:4">
      <c r="C13" t="s">
        <v>761</v>
      </c>
    </row>
    <row r="14" spans="1:4">
      <c r="D14" t="s">
        <v>762</v>
      </c>
    </row>
    <row r="15" spans="1:4">
      <c r="C15" t="s">
        <v>763</v>
      </c>
    </row>
    <row r="16" spans="1:4">
      <c r="D16" t="s">
        <v>306</v>
      </c>
    </row>
    <row r="17" spans="2:4">
      <c r="C17" t="s">
        <v>441</v>
      </c>
    </row>
    <row r="18" spans="2:4">
      <c r="C18" t="s">
        <v>442</v>
      </c>
    </row>
    <row r="19" spans="2:4">
      <c r="C19" t="s">
        <v>1000</v>
      </c>
    </row>
    <row r="20" spans="2:4">
      <c r="D20" t="s">
        <v>407</v>
      </c>
    </row>
    <row r="21" spans="2:4">
      <c r="C21" t="s">
        <v>408</v>
      </c>
    </row>
    <row r="23" spans="2:4">
      <c r="C23" t="s">
        <v>838</v>
      </c>
    </row>
    <row r="24" spans="2:4">
      <c r="C24" t="s">
        <v>127</v>
      </c>
    </row>
    <row r="25" spans="2:4">
      <c r="C25" t="s">
        <v>80</v>
      </c>
    </row>
    <row r="26" spans="2:4">
      <c r="C26" t="s">
        <v>409</v>
      </c>
    </row>
    <row r="27" spans="2:4">
      <c r="C27" t="s">
        <v>501</v>
      </c>
    </row>
    <row r="28" spans="2:4">
      <c r="C28" t="s">
        <v>410</v>
      </c>
    </row>
    <row r="29" spans="2:4">
      <c r="C29" t="s">
        <v>349</v>
      </c>
    </row>
    <row r="30" spans="2:4">
      <c r="C30" t="s">
        <v>350</v>
      </c>
    </row>
    <row r="31" spans="2:4">
      <c r="B31" t="s">
        <v>323</v>
      </c>
    </row>
    <row r="32" spans="2:4">
      <c r="C32" s="48" t="s">
        <v>932</v>
      </c>
    </row>
    <row r="35" spans="3:3">
      <c r="C35" s="48" t="s">
        <v>1109</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RowHeight="12.75"/>
  <cols>
    <col min="1" max="1" width="5" style="4" bestFit="1" customWidth="1"/>
    <col min="2" max="2" width="12.85546875" style="4" bestFit="1" customWidth="1"/>
    <col min="3" max="16384" width="9.140625" style="4"/>
  </cols>
  <sheetData>
    <row r="1" spans="1:3">
      <c r="A1" s="10" t="s">
        <v>5</v>
      </c>
    </row>
    <row r="2" spans="1:3">
      <c r="B2" s="4" t="s">
        <v>287</v>
      </c>
      <c r="C2" s="4" t="s">
        <v>219</v>
      </c>
    </row>
    <row r="3" spans="1:3">
      <c r="B3" s="4" t="s">
        <v>288</v>
      </c>
    </row>
    <row r="4" spans="1:3">
      <c r="B4" s="4" t="s">
        <v>811</v>
      </c>
      <c r="C4" s="4" t="s">
        <v>973</v>
      </c>
    </row>
    <row r="5" spans="1:3">
      <c r="B5" s="4" t="s">
        <v>323</v>
      </c>
      <c r="C5" s="4" t="s">
        <v>351</v>
      </c>
    </row>
    <row r="8" spans="1:3">
      <c r="C8" s="22" t="s">
        <v>666</v>
      </c>
    </row>
    <row r="9" spans="1:3">
      <c r="C9" s="4" t="s">
        <v>536</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RowHeight="12.75"/>
  <cols>
    <col min="1" max="1" width="5" bestFit="1" customWidth="1"/>
    <col min="2" max="2" width="12" bestFit="1" customWidth="1"/>
  </cols>
  <sheetData>
    <row r="1" spans="1:3">
      <c r="A1" s="11" t="s">
        <v>5</v>
      </c>
    </row>
    <row r="2" spans="1:3">
      <c r="B2" t="s">
        <v>287</v>
      </c>
      <c r="C2" s="53" t="s">
        <v>31</v>
      </c>
    </row>
    <row r="3" spans="1:3">
      <c r="B3" s="53" t="s">
        <v>811</v>
      </c>
      <c r="C3" s="53" t="s">
        <v>1061</v>
      </c>
    </row>
    <row r="4" spans="1:3">
      <c r="B4" s="53" t="s">
        <v>1110</v>
      </c>
      <c r="C4" s="53" t="s">
        <v>1111</v>
      </c>
    </row>
    <row r="5" spans="1:3">
      <c r="B5" s="53" t="s">
        <v>323</v>
      </c>
      <c r="C5" s="48"/>
    </row>
    <row r="6" spans="1:3">
      <c r="B6" s="53"/>
      <c r="C6" s="48" t="s">
        <v>1068</v>
      </c>
    </row>
    <row r="7" spans="1:3">
      <c r="B7" s="53"/>
      <c r="C7" s="53" t="s">
        <v>1069</v>
      </c>
    </row>
    <row r="8" spans="1:3">
      <c r="B8" s="53"/>
      <c r="C8" s="48"/>
    </row>
    <row r="9" spans="1:3">
      <c r="B9" s="53"/>
      <c r="C9" s="48"/>
    </row>
    <row r="10" spans="1:3">
      <c r="C10" s="48" t="s">
        <v>1063</v>
      </c>
    </row>
    <row r="11" spans="1:3">
      <c r="C11" s="53" t="s">
        <v>1062</v>
      </c>
    </row>
  </sheetData>
  <hyperlinks>
    <hyperlink ref="A1" location="Main!A1" display="Main" xr:uid="{00000000-0004-0000-2C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RowHeight="12.75"/>
  <cols>
    <col min="1" max="1" width="5" bestFit="1" customWidth="1"/>
    <col min="2" max="2" width="12" bestFit="1" customWidth="1"/>
  </cols>
  <sheetData>
    <row r="1" spans="1:3">
      <c r="A1" s="11" t="s">
        <v>5</v>
      </c>
    </row>
    <row r="2" spans="1:3">
      <c r="B2" t="s">
        <v>287</v>
      </c>
      <c r="C2" t="s">
        <v>108</v>
      </c>
    </row>
    <row r="3" spans="1:3">
      <c r="B3" t="s">
        <v>323</v>
      </c>
    </row>
    <row r="4" spans="1:3">
      <c r="C4" s="48" t="s">
        <v>692</v>
      </c>
    </row>
    <row r="5" spans="1:3">
      <c r="C5" t="s">
        <v>693</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RowHeight="12.75"/>
  <cols>
    <col min="1" max="1" width="5" bestFit="1" customWidth="1"/>
    <col min="2" max="2" width="12.85546875" bestFit="1" customWidth="1"/>
  </cols>
  <sheetData>
    <row r="1" spans="1:3">
      <c r="A1" s="11" t="s">
        <v>5</v>
      </c>
    </row>
    <row r="2" spans="1:3">
      <c r="B2" t="s">
        <v>287</v>
      </c>
      <c r="C2" t="s">
        <v>929</v>
      </c>
    </row>
    <row r="3" spans="1:3">
      <c r="B3" t="s">
        <v>811</v>
      </c>
      <c r="C3" t="s">
        <v>930</v>
      </c>
    </row>
    <row r="4" spans="1:3">
      <c r="B4" t="s">
        <v>323</v>
      </c>
    </row>
    <row r="5" spans="1:3">
      <c r="C5" s="48" t="s">
        <v>931</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RowHeight="12.75"/>
  <cols>
    <col min="1" max="1" width="5" bestFit="1" customWidth="1"/>
    <col min="2" max="2" width="12.85546875" bestFit="1" customWidth="1"/>
  </cols>
  <sheetData>
    <row r="1" spans="1:3">
      <c r="A1" s="11" t="s">
        <v>5</v>
      </c>
    </row>
    <row r="2" spans="1:3">
      <c r="B2" t="s">
        <v>287</v>
      </c>
      <c r="C2" t="s">
        <v>923</v>
      </c>
    </row>
    <row r="3" spans="1:3">
      <c r="B3" t="s">
        <v>811</v>
      </c>
      <c r="C3" t="s">
        <v>924</v>
      </c>
    </row>
    <row r="4" spans="1:3">
      <c r="B4" t="s">
        <v>323</v>
      </c>
    </row>
    <row r="5" spans="1:3">
      <c r="C5" s="48" t="s">
        <v>925</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RowHeight="12.75"/>
  <cols>
    <col min="1" max="1" width="5" bestFit="1" customWidth="1"/>
    <col min="2" max="2" width="12.85546875" bestFit="1" customWidth="1"/>
  </cols>
  <sheetData>
    <row r="1" spans="1:3">
      <c r="A1" s="11" t="s">
        <v>5</v>
      </c>
    </row>
    <row r="2" spans="1:3">
      <c r="B2" t="s">
        <v>287</v>
      </c>
      <c r="C2" t="s">
        <v>656</v>
      </c>
    </row>
    <row r="3" spans="1:3">
      <c r="B3" t="s">
        <v>811</v>
      </c>
      <c r="C3" t="s">
        <v>523</v>
      </c>
    </row>
    <row r="4" spans="1:3">
      <c r="B4" t="s">
        <v>329</v>
      </c>
      <c r="C4" t="s">
        <v>524</v>
      </c>
    </row>
    <row r="5" spans="1:3">
      <c r="B5" t="s">
        <v>323</v>
      </c>
      <c r="C5" t="s">
        <v>970</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U156"/>
  <sheetViews>
    <sheetView zoomScale="160" zoomScaleNormal="160" workbookViewId="0">
      <pane xSplit="2" ySplit="2" topLeftCell="DV12" activePane="bottomRight" state="frozen"/>
      <selection pane="topRight" activeCell="C1" sqref="C1"/>
      <selection pane="bottomLeft" activeCell="A4" sqref="A4"/>
      <selection pane="bottomRight" activeCell="EH35" sqref="EH35"/>
    </sheetView>
  </sheetViews>
  <sheetFormatPr defaultRowHeight="12.75"/>
  <cols>
    <col min="1" max="1" width="5" style="4" bestFit="1" customWidth="1"/>
    <col min="2" max="2" width="19.42578125" style="4" bestFit="1" customWidth="1"/>
    <col min="3" max="4" width="5.5703125" style="71" bestFit="1" customWidth="1"/>
    <col min="5" max="5" width="6.85546875" style="71" bestFit="1" customWidth="1"/>
    <col min="6" max="6" width="5.5703125" style="71" bestFit="1" customWidth="1"/>
    <col min="7" max="8" width="6.85546875" style="71" bestFit="1" customWidth="1"/>
    <col min="9" max="9" width="7.140625" style="71" bestFit="1" customWidth="1"/>
    <col min="10" max="10" width="6.85546875" style="71" bestFit="1" customWidth="1"/>
    <col min="11" max="11" width="7.42578125" style="71" bestFit="1" customWidth="1"/>
    <col min="12" max="12" width="6.85546875" style="71" bestFit="1" customWidth="1"/>
    <col min="13" max="22" width="7.42578125" style="71" bestFit="1" customWidth="1"/>
    <col min="23" max="27" width="6.85546875" style="71" bestFit="1" customWidth="1"/>
    <col min="28" max="28" width="7.28515625" style="71" bestFit="1" customWidth="1"/>
    <col min="29" max="38" width="7.42578125" style="71" bestFit="1" customWidth="1"/>
    <col min="39" max="39" width="6.85546875" style="71" bestFit="1" customWidth="1"/>
    <col min="40" max="96" width="7.28515625" style="71" customWidth="1"/>
    <col min="97" max="97" width="9.140625" style="71"/>
    <col min="98" max="115" width="7.28515625" style="71" customWidth="1"/>
    <col min="116" max="128" width="8.5703125" style="71" customWidth="1"/>
    <col min="129" max="16384" width="9.140625" style="4"/>
  </cols>
  <sheetData>
    <row r="1" spans="1:133">
      <c r="A1" s="60" t="s">
        <v>5</v>
      </c>
    </row>
    <row r="2" spans="1:133">
      <c r="C2" s="71" t="s">
        <v>479</v>
      </c>
      <c r="D2" s="71" t="s">
        <v>480</v>
      </c>
      <c r="E2" s="71" t="s">
        <v>481</v>
      </c>
      <c r="F2" s="71" t="s">
        <v>482</v>
      </c>
      <c r="G2" s="71" t="s">
        <v>826</v>
      </c>
      <c r="H2" s="71" t="s">
        <v>827</v>
      </c>
      <c r="I2" s="71" t="s">
        <v>828</v>
      </c>
      <c r="J2" s="71" t="s">
        <v>571</v>
      </c>
      <c r="K2" s="71" t="s">
        <v>569</v>
      </c>
      <c r="L2" s="71" t="s">
        <v>568</v>
      </c>
      <c r="M2" s="71" t="s">
        <v>506</v>
      </c>
      <c r="N2" s="71" t="s">
        <v>507</v>
      </c>
      <c r="O2" s="71" t="s">
        <v>509</v>
      </c>
      <c r="P2" s="71" t="s">
        <v>510</v>
      </c>
      <c r="Q2" s="71" t="s">
        <v>511</v>
      </c>
      <c r="R2" s="71" t="s">
        <v>96</v>
      </c>
      <c r="S2" s="71" t="s">
        <v>841</v>
      </c>
      <c r="T2" s="71" t="s">
        <v>842</v>
      </c>
      <c r="U2" s="71" t="s">
        <v>843</v>
      </c>
      <c r="V2" s="71" t="s">
        <v>844</v>
      </c>
      <c r="W2" s="71" t="s">
        <v>769</v>
      </c>
      <c r="X2" s="71" t="s">
        <v>314</v>
      </c>
      <c r="Y2" s="71" t="s">
        <v>319</v>
      </c>
      <c r="Z2" s="71" t="s">
        <v>770</v>
      </c>
      <c r="AA2" s="71" t="s">
        <v>845</v>
      </c>
      <c r="AB2" s="71" t="s">
        <v>846</v>
      </c>
      <c r="AC2" s="71" t="s">
        <v>847</v>
      </c>
      <c r="AD2" s="71" t="s">
        <v>848</v>
      </c>
      <c r="AE2" s="71" t="s">
        <v>543</v>
      </c>
      <c r="AF2" s="71" t="s">
        <v>544</v>
      </c>
      <c r="AG2" s="71" t="s">
        <v>545</v>
      </c>
      <c r="AH2" s="71" t="s">
        <v>546</v>
      </c>
      <c r="AI2" s="71" t="s">
        <v>425</v>
      </c>
      <c r="AJ2" s="71" t="s">
        <v>47</v>
      </c>
      <c r="AK2" s="71" t="s">
        <v>48</v>
      </c>
      <c r="AL2" s="71" t="s">
        <v>49</v>
      </c>
      <c r="AM2" s="70" t="s">
        <v>1090</v>
      </c>
      <c r="AN2" s="70" t="s">
        <v>1091</v>
      </c>
      <c r="AO2" s="70" t="s">
        <v>1092</v>
      </c>
      <c r="AP2" s="70" t="s">
        <v>1093</v>
      </c>
      <c r="AQ2" s="70" t="s">
        <v>1119</v>
      </c>
      <c r="AR2" s="70" t="s">
        <v>1120</v>
      </c>
      <c r="AS2" s="70" t="s">
        <v>1121</v>
      </c>
      <c r="AT2" s="70" t="s">
        <v>1122</v>
      </c>
      <c r="AU2" s="70" t="s">
        <v>1128</v>
      </c>
      <c r="AV2" s="70" t="s">
        <v>1129</v>
      </c>
      <c r="AW2" s="70" t="s">
        <v>1130</v>
      </c>
      <c r="AX2" s="70" t="s">
        <v>1131</v>
      </c>
      <c r="AY2" s="70" t="s">
        <v>1153</v>
      </c>
      <c r="AZ2" s="70" t="s">
        <v>1154</v>
      </c>
      <c r="BA2" s="70" t="s">
        <v>1155</v>
      </c>
      <c r="BB2" s="70" t="s">
        <v>1156</v>
      </c>
      <c r="BC2" s="70" t="s">
        <v>1141</v>
      </c>
      <c r="BD2" s="70" t="s">
        <v>1152</v>
      </c>
      <c r="BE2" s="70" t="s">
        <v>1157</v>
      </c>
      <c r="BF2" s="70" t="s">
        <v>1158</v>
      </c>
      <c r="BG2" s="70" t="s">
        <v>1159</v>
      </c>
      <c r="BH2" s="70" t="s">
        <v>1160</v>
      </c>
      <c r="BI2" s="70" t="s">
        <v>1161</v>
      </c>
      <c r="BJ2" s="70" t="s">
        <v>1162</v>
      </c>
      <c r="BK2" s="70" t="s">
        <v>1165</v>
      </c>
      <c r="BL2" s="70" t="s">
        <v>1166</v>
      </c>
      <c r="BM2" s="70" t="s">
        <v>1167</v>
      </c>
      <c r="BN2" s="70" t="s">
        <v>1168</v>
      </c>
      <c r="BO2" s="70" t="s">
        <v>1169</v>
      </c>
      <c r="BP2" s="70" t="s">
        <v>1170</v>
      </c>
      <c r="BQ2" s="70" t="s">
        <v>1171</v>
      </c>
      <c r="BR2" s="70" t="s">
        <v>1172</v>
      </c>
      <c r="BS2" s="70" t="s">
        <v>1173</v>
      </c>
      <c r="BT2" s="70" t="s">
        <v>1174</v>
      </c>
      <c r="BU2" s="70" t="s">
        <v>1175</v>
      </c>
      <c r="BV2" s="70" t="s">
        <v>1176</v>
      </c>
      <c r="BW2" s="70" t="s">
        <v>1177</v>
      </c>
      <c r="BX2" s="70" t="s">
        <v>1178</v>
      </c>
      <c r="BY2" s="70" t="s">
        <v>1179</v>
      </c>
      <c r="BZ2" s="70" t="s">
        <v>1180</v>
      </c>
      <c r="CA2" s="70" t="s">
        <v>1181</v>
      </c>
      <c r="CB2" s="70" t="s">
        <v>1182</v>
      </c>
      <c r="CC2" s="70" t="s">
        <v>1183</v>
      </c>
      <c r="CD2" s="70" t="s">
        <v>1184</v>
      </c>
      <c r="CE2" s="70" t="s">
        <v>1185</v>
      </c>
      <c r="CF2" s="70" t="s">
        <v>1186</v>
      </c>
      <c r="CG2" s="70" t="s">
        <v>1187</v>
      </c>
      <c r="CH2" s="70" t="s">
        <v>1188</v>
      </c>
      <c r="CI2" s="70" t="s">
        <v>1189</v>
      </c>
      <c r="CJ2" s="70" t="s">
        <v>1190</v>
      </c>
      <c r="CK2" s="70" t="s">
        <v>1191</v>
      </c>
      <c r="CL2" s="70" t="s">
        <v>1192</v>
      </c>
      <c r="CM2" s="70" t="s">
        <v>1193</v>
      </c>
      <c r="CN2" s="70" t="s">
        <v>1194</v>
      </c>
      <c r="CO2" s="70" t="s">
        <v>1195</v>
      </c>
      <c r="CP2" s="70" t="s">
        <v>1196</v>
      </c>
      <c r="CQ2" s="70"/>
      <c r="CR2" s="70"/>
      <c r="CT2" s="71" t="s">
        <v>174</v>
      </c>
      <c r="CU2" s="71" t="s">
        <v>175</v>
      </c>
      <c r="CV2" s="71" t="s">
        <v>570</v>
      </c>
      <c r="CW2" s="71" t="s">
        <v>508</v>
      </c>
      <c r="CX2" s="71" t="s">
        <v>105</v>
      </c>
      <c r="CY2" s="71" t="s">
        <v>104</v>
      </c>
      <c r="CZ2" s="71" t="s">
        <v>746</v>
      </c>
      <c r="DA2" s="71" t="s">
        <v>823</v>
      </c>
      <c r="DB2" s="71" t="s">
        <v>290</v>
      </c>
      <c r="DC2" s="71" t="s">
        <v>564</v>
      </c>
      <c r="DD2" s="71" t="s">
        <v>965</v>
      </c>
      <c r="DE2" s="71" t="s">
        <v>574</v>
      </c>
      <c r="DF2" s="71" t="s">
        <v>613</v>
      </c>
      <c r="DG2" s="71" t="s">
        <v>661</v>
      </c>
      <c r="DH2" s="71" t="s">
        <v>662</v>
      </c>
      <c r="DI2" s="71" t="s">
        <v>304</v>
      </c>
      <c r="DJ2" s="71" t="s">
        <v>1126</v>
      </c>
      <c r="DK2" s="71" t="s">
        <v>1125</v>
      </c>
      <c r="DL2" s="71">
        <v>2018</v>
      </c>
      <c r="DM2" s="71">
        <v>2019</v>
      </c>
      <c r="DN2" s="107">
        <v>2020</v>
      </c>
      <c r="DO2" s="107">
        <v>2021</v>
      </c>
      <c r="DP2" s="107">
        <v>2022</v>
      </c>
      <c r="DQ2" s="70">
        <v>2023</v>
      </c>
      <c r="DR2" s="70">
        <v>2024</v>
      </c>
      <c r="DS2" s="70">
        <v>2025</v>
      </c>
      <c r="DT2" s="70">
        <v>2026</v>
      </c>
      <c r="DU2" s="70">
        <v>2027</v>
      </c>
      <c r="DV2" s="70">
        <f>+DU2+1</f>
        <v>2028</v>
      </c>
      <c r="DW2" s="70">
        <f t="shared" ref="DW2:EC2" si="0">+DV2+1</f>
        <v>2029</v>
      </c>
      <c r="DX2" s="70">
        <f t="shared" si="0"/>
        <v>2030</v>
      </c>
      <c r="DY2" s="70">
        <f t="shared" si="0"/>
        <v>2031</v>
      </c>
      <c r="DZ2" s="70">
        <f t="shared" si="0"/>
        <v>2032</v>
      </c>
      <c r="EA2" s="70">
        <f t="shared" si="0"/>
        <v>2033</v>
      </c>
      <c r="EB2" s="70">
        <f t="shared" si="0"/>
        <v>2034</v>
      </c>
      <c r="EC2" s="70">
        <f t="shared" si="0"/>
        <v>2035</v>
      </c>
    </row>
    <row r="3" spans="1:133" s="26" customFormat="1">
      <c r="B3" s="26" t="s">
        <v>602</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f>+AO3*0.95</f>
        <v>620.35</v>
      </c>
      <c r="AT3" s="67">
        <f>+AP3*0.95</f>
        <v>561.44999999999993</v>
      </c>
      <c r="AU3" s="67">
        <f t="shared" ref="AU3:AX4" si="1">+AQ3*0.95</f>
        <v>508.25</v>
      </c>
      <c r="AV3" s="67">
        <v>525</v>
      </c>
      <c r="AW3" s="67">
        <f t="shared" si="1"/>
        <v>589.33249999999998</v>
      </c>
      <c r="AX3" s="67">
        <f t="shared" si="1"/>
        <v>533.37749999999994</v>
      </c>
      <c r="AY3" s="67"/>
      <c r="AZ3" s="67">
        <v>502</v>
      </c>
      <c r="BA3" s="67"/>
      <c r="BB3" s="67"/>
      <c r="BC3" s="67"/>
      <c r="BD3" s="67">
        <v>512</v>
      </c>
      <c r="BE3" s="67"/>
      <c r="BF3" s="67"/>
      <c r="BG3" s="67"/>
      <c r="BH3" s="67"/>
      <c r="BI3" s="67"/>
      <c r="BJ3" s="67"/>
      <c r="BK3" s="67"/>
      <c r="BL3" s="67"/>
      <c r="BM3" s="67"/>
      <c r="BN3" s="67"/>
      <c r="BO3" s="67"/>
      <c r="BP3" s="67"/>
      <c r="BQ3" s="67"/>
      <c r="BR3" s="67"/>
      <c r="BS3" s="67"/>
      <c r="BT3" s="67"/>
      <c r="BU3" s="67"/>
      <c r="BV3" s="67">
        <v>264</v>
      </c>
      <c r="BW3" s="67">
        <v>219</v>
      </c>
      <c r="BX3" s="67">
        <v>223</v>
      </c>
      <c r="BY3" s="67">
        <v>215</v>
      </c>
      <c r="BZ3" s="67">
        <v>210</v>
      </c>
      <c r="CA3" s="67">
        <v>155</v>
      </c>
      <c r="CB3" s="67">
        <v>161</v>
      </c>
      <c r="CC3" s="67">
        <v>149</v>
      </c>
      <c r="CD3" s="67">
        <v>133</v>
      </c>
      <c r="CE3" s="67">
        <v>125</v>
      </c>
      <c r="CF3" s="67">
        <v>130</v>
      </c>
      <c r="CG3" s="67">
        <v>138</v>
      </c>
      <c r="CH3" s="67">
        <v>128</v>
      </c>
      <c r="CI3" s="67">
        <v>120</v>
      </c>
      <c r="CJ3" s="67">
        <v>136</v>
      </c>
      <c r="CK3" s="67">
        <v>136</v>
      </c>
      <c r="CL3" s="67">
        <v>114</v>
      </c>
      <c r="CM3" s="67">
        <f t="shared" ref="CM3" si="2">+CI3*0.9</f>
        <v>108</v>
      </c>
      <c r="CN3" s="67">
        <f t="shared" ref="CN3" si="3">+CJ3*0.9</f>
        <v>122.4</v>
      </c>
      <c r="CO3" s="67">
        <f t="shared" ref="CO3" si="4">+CK3*0.9</f>
        <v>122.4</v>
      </c>
      <c r="CP3" s="67">
        <f t="shared" ref="CP3" si="5">+CL3*0.9</f>
        <v>102.60000000000001</v>
      </c>
      <c r="CQ3" s="67"/>
      <c r="CR3" s="67"/>
      <c r="CS3" s="67"/>
      <c r="CT3" s="67">
        <v>1962.4</v>
      </c>
      <c r="CU3" s="67">
        <v>2108.1</v>
      </c>
      <c r="CV3" s="67">
        <v>2260</v>
      </c>
      <c r="CW3" s="67">
        <f>SUM(K3:N3)</f>
        <v>2434.6999999999998</v>
      </c>
      <c r="CX3" s="67">
        <f>SUM(O3:R3)</f>
        <v>2600.6</v>
      </c>
      <c r="CY3" s="67">
        <f>SUM(S3:V3)</f>
        <v>2455</v>
      </c>
      <c r="CZ3" s="67">
        <f>SUM(W3:Z3)</f>
        <v>2511</v>
      </c>
      <c r="DA3" s="67">
        <f>SUM(AA3:AD3)</f>
        <v>2489</v>
      </c>
      <c r="DB3" s="67">
        <f>SUM(AE3:AH3)</f>
        <v>2456</v>
      </c>
      <c r="DC3" s="67">
        <f>SUM(AI3:AL3)</f>
        <v>2569</v>
      </c>
      <c r="DD3" s="67">
        <f>SUM(AM3:AP3)</f>
        <v>2524</v>
      </c>
      <c r="DE3" s="67">
        <f>SUM(AQ3:AT3)</f>
        <v>2259.7999999999997</v>
      </c>
      <c r="DF3" s="67">
        <f>DE3*0.8</f>
        <v>1807.84</v>
      </c>
      <c r="DG3" s="67">
        <f>DF3*0.8</f>
        <v>1446.2719999999999</v>
      </c>
      <c r="DH3" s="67">
        <f t="shared" ref="DH3:DJ3" si="6">DG3*0.9</f>
        <v>1301.6448</v>
      </c>
      <c r="DI3" s="67">
        <f t="shared" si="6"/>
        <v>1171.4803200000001</v>
      </c>
      <c r="DJ3" s="67">
        <f t="shared" si="6"/>
        <v>1054.3322880000001</v>
      </c>
      <c r="DK3" s="67"/>
      <c r="DL3" s="67"/>
      <c r="DM3" s="67">
        <f>SUM(BW3:BZ3)</f>
        <v>867</v>
      </c>
      <c r="DN3" s="67">
        <f>SUM(CA3:CD3)</f>
        <v>598</v>
      </c>
      <c r="DO3" s="67">
        <f>SUM(CE3:CH3)</f>
        <v>521</v>
      </c>
      <c r="DP3" s="67">
        <f>SUM(CI3:CL3)</f>
        <v>506</v>
      </c>
      <c r="DQ3" s="67">
        <f>SUM(CM3:CP3)</f>
        <v>455.40000000000003</v>
      </c>
      <c r="DR3" s="67">
        <f t="shared" ref="DR3:EC3" si="7">+DQ3*0.9</f>
        <v>409.86</v>
      </c>
      <c r="DS3" s="67">
        <f t="shared" si="7"/>
        <v>368.87400000000002</v>
      </c>
      <c r="DT3" s="67">
        <f t="shared" si="7"/>
        <v>331.98660000000001</v>
      </c>
      <c r="DU3" s="67">
        <f t="shared" si="7"/>
        <v>298.78793999999999</v>
      </c>
      <c r="DV3" s="67">
        <f t="shared" si="7"/>
        <v>268.90914600000002</v>
      </c>
      <c r="DW3" s="67">
        <f t="shared" si="7"/>
        <v>242.01823140000002</v>
      </c>
      <c r="DX3" s="67">
        <f t="shared" si="7"/>
        <v>217.81640826000003</v>
      </c>
      <c r="DY3" s="67">
        <f t="shared" si="7"/>
        <v>196.03476743400003</v>
      </c>
      <c r="DZ3" s="67">
        <f t="shared" si="7"/>
        <v>176.43129069060004</v>
      </c>
      <c r="EA3" s="67">
        <f t="shared" si="7"/>
        <v>158.78816162154004</v>
      </c>
      <c r="EB3" s="67">
        <f t="shared" si="7"/>
        <v>142.90934545938603</v>
      </c>
      <c r="EC3" s="67">
        <f t="shared" si="7"/>
        <v>128.61841091344743</v>
      </c>
    </row>
    <row r="4" spans="1:133" s="26" customFormat="1">
      <c r="B4" s="26" t="s">
        <v>601</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f>+AO4*0.95</f>
        <v>591.85</v>
      </c>
      <c r="AT4" s="67">
        <f>+AP4*0.95</f>
        <v>601.35</v>
      </c>
      <c r="AU4" s="67">
        <f t="shared" si="1"/>
        <v>551</v>
      </c>
      <c r="AV4" s="67">
        <v>536</v>
      </c>
      <c r="AW4" s="67">
        <f t="shared" si="1"/>
        <v>562.25750000000005</v>
      </c>
      <c r="AX4" s="67">
        <f t="shared" si="1"/>
        <v>571.28250000000003</v>
      </c>
      <c r="AY4" s="67"/>
      <c r="AZ4" s="67">
        <v>524</v>
      </c>
      <c r="BA4" s="67"/>
      <c r="BB4" s="67"/>
      <c r="BC4" s="67"/>
      <c r="BD4" s="67">
        <v>517</v>
      </c>
      <c r="BE4" s="67"/>
      <c r="BF4" s="67"/>
      <c r="BG4" s="67"/>
      <c r="BH4" s="67"/>
      <c r="BI4" s="67"/>
      <c r="BJ4" s="67"/>
      <c r="BK4" s="67"/>
      <c r="BL4" s="67"/>
      <c r="BM4" s="67"/>
      <c r="BN4" s="67"/>
      <c r="BO4" s="67"/>
      <c r="BP4" s="67"/>
      <c r="BQ4" s="67"/>
      <c r="BR4" s="67"/>
      <c r="BS4" s="67"/>
      <c r="BT4" s="67"/>
      <c r="BU4" s="67"/>
      <c r="BV4" s="67">
        <v>474</v>
      </c>
      <c r="BW4" s="67">
        <v>414</v>
      </c>
      <c r="BX4" s="67">
        <v>436</v>
      </c>
      <c r="BY4" s="67">
        <v>452</v>
      </c>
      <c r="BZ4" s="67">
        <v>427</v>
      </c>
      <c r="CA4" s="67">
        <v>422</v>
      </c>
      <c r="CB4" s="67">
        <v>387</v>
      </c>
      <c r="CC4" s="67">
        <v>384</v>
      </c>
      <c r="CD4" s="67">
        <v>375</v>
      </c>
      <c r="CE4" s="67">
        <v>355</v>
      </c>
      <c r="CF4" s="67">
        <v>367</v>
      </c>
      <c r="CG4" s="67">
        <v>396</v>
      </c>
      <c r="CH4" s="67">
        <v>362</v>
      </c>
      <c r="CI4" s="67">
        <v>358</v>
      </c>
      <c r="CJ4" s="67">
        <v>357</v>
      </c>
      <c r="CK4" s="67">
        <v>358</v>
      </c>
      <c r="CL4" s="67">
        <v>348</v>
      </c>
      <c r="CM4" s="67">
        <f t="shared" ref="CM4" si="8">+CI4*0.9</f>
        <v>322.2</v>
      </c>
      <c r="CN4" s="67">
        <f t="shared" ref="CN4" si="9">+CJ4*0.9</f>
        <v>321.3</v>
      </c>
      <c r="CO4" s="67">
        <f t="shared" ref="CO4" si="10">+CK4*0.9</f>
        <v>322.2</v>
      </c>
      <c r="CP4" s="67">
        <f t="shared" ref="CP4" si="11">+CL4*0.9</f>
        <v>313.2</v>
      </c>
      <c r="CQ4" s="67"/>
      <c r="CR4" s="67"/>
      <c r="CS4" s="67"/>
      <c r="CT4" s="67"/>
      <c r="CU4" s="67">
        <v>42</v>
      </c>
      <c r="CV4" s="67">
        <v>415.6</v>
      </c>
      <c r="CW4" s="67">
        <f>SUM(K4:N4)</f>
        <v>1543.8</v>
      </c>
      <c r="CX4" s="67">
        <f>SUM(O4:R4)</f>
        <v>2473</v>
      </c>
      <c r="CY4" s="67">
        <f>SUM(S4:V4)</f>
        <v>3273</v>
      </c>
      <c r="CZ4" s="67">
        <f>SUM(W4:Z4)</f>
        <v>4121</v>
      </c>
      <c r="DA4" s="67">
        <f>SUM(AA4:AD4)</f>
        <v>3614</v>
      </c>
      <c r="DB4" s="67">
        <f>SUM(AE4:AH4)</f>
        <v>3137</v>
      </c>
      <c r="DC4" s="67">
        <f>SUM(AI4:AL4)</f>
        <v>2652</v>
      </c>
      <c r="DD4" s="67">
        <f>SUM(AM4:AP4)</f>
        <v>2486</v>
      </c>
      <c r="DE4" s="67">
        <f>SUM(AQ4:AT4)</f>
        <v>2358.1999999999998</v>
      </c>
      <c r="DF4" s="67">
        <f>DE4*(1+DF60)</f>
        <v>2240.2899999999995</v>
      </c>
      <c r="DG4" s="67">
        <f>DF4*(1+DG60)</f>
        <v>2016.2609999999995</v>
      </c>
      <c r="DH4" s="67">
        <f>DG4*(1+DH60)</f>
        <v>1814.6348999999996</v>
      </c>
      <c r="DI4" s="67">
        <f>DH4*(1+DI60)</f>
        <v>1633.1714099999997</v>
      </c>
      <c r="DJ4" s="67">
        <f>DI4*0.9</f>
        <v>1469.8542689999997</v>
      </c>
      <c r="DK4" s="67"/>
      <c r="DL4" s="67"/>
      <c r="DM4" s="67">
        <f>SUM(BW4:BZ4)</f>
        <v>1729</v>
      </c>
      <c r="DN4" s="67">
        <f>SUM(CA4:CD4)</f>
        <v>1568</v>
      </c>
      <c r="DO4" s="67">
        <f>SUM(CE4:CH4)</f>
        <v>1480</v>
      </c>
      <c r="DP4" s="67">
        <f>SUM(CI4:CL4)</f>
        <v>1421</v>
      </c>
      <c r="DQ4" s="67">
        <f>SUM(CM4:CP4)</f>
        <v>1278.9000000000001</v>
      </c>
      <c r="DR4" s="67">
        <f t="shared" ref="DR4:EC4" si="12">+DQ4*0.9</f>
        <v>1151.0100000000002</v>
      </c>
      <c r="DS4" s="67">
        <f t="shared" si="12"/>
        <v>1035.9090000000003</v>
      </c>
      <c r="DT4" s="67">
        <f t="shared" si="12"/>
        <v>932.3181000000003</v>
      </c>
      <c r="DU4" s="67">
        <f t="shared" si="12"/>
        <v>839.0862900000003</v>
      </c>
      <c r="DV4" s="67">
        <f t="shared" si="12"/>
        <v>755.17766100000028</v>
      </c>
      <c r="DW4" s="67">
        <f t="shared" si="12"/>
        <v>679.65989490000027</v>
      </c>
      <c r="DX4" s="67">
        <f t="shared" si="12"/>
        <v>611.6939054100003</v>
      </c>
      <c r="DY4" s="67">
        <f t="shared" si="12"/>
        <v>550.52451486900031</v>
      </c>
      <c r="DZ4" s="67">
        <f t="shared" si="12"/>
        <v>495.47206338210032</v>
      </c>
      <c r="EA4" s="67">
        <f t="shared" si="12"/>
        <v>445.92485704389031</v>
      </c>
      <c r="EB4" s="67">
        <f t="shared" si="12"/>
        <v>401.33237133950126</v>
      </c>
      <c r="EC4" s="67">
        <f t="shared" si="12"/>
        <v>361.19913420555116</v>
      </c>
    </row>
    <row r="5" spans="1:133" s="97" customFormat="1">
      <c r="B5" s="97" t="s">
        <v>419</v>
      </c>
      <c r="C5" s="73">
        <f>SUM(C3:C4)</f>
        <v>503</v>
      </c>
      <c r="D5" s="73">
        <f>SUM(D3:D4)</f>
        <v>518</v>
      </c>
      <c r="E5" s="73">
        <f>SUM(E3:E4)</f>
        <v>520</v>
      </c>
      <c r="F5" s="73">
        <f>SUM(F3:F4)</f>
        <v>609</v>
      </c>
      <c r="G5" s="73">
        <f t="shared" ref="G5:R5" si="13">SUM(G3:G4)</f>
        <v>551.40000000000009</v>
      </c>
      <c r="H5" s="73">
        <f t="shared" si="13"/>
        <v>626</v>
      </c>
      <c r="I5" s="73">
        <f t="shared" si="13"/>
        <v>672.09999999999991</v>
      </c>
      <c r="J5" s="73">
        <f t="shared" si="13"/>
        <v>826.7</v>
      </c>
      <c r="K5" s="73">
        <f t="shared" si="13"/>
        <v>801.90000000000009</v>
      </c>
      <c r="L5" s="73">
        <f t="shared" si="13"/>
        <v>958.8</v>
      </c>
      <c r="M5" s="73">
        <f t="shared" si="13"/>
        <v>1064.1999999999998</v>
      </c>
      <c r="N5" s="73">
        <f t="shared" si="13"/>
        <v>1153.5999999999999</v>
      </c>
      <c r="O5" s="73">
        <f t="shared" si="13"/>
        <v>1133</v>
      </c>
      <c r="P5" s="73">
        <f t="shared" si="13"/>
        <v>1249.5999999999999</v>
      </c>
      <c r="Q5" s="73">
        <f t="shared" si="13"/>
        <v>1289</v>
      </c>
      <c r="R5" s="73">
        <f t="shared" si="13"/>
        <v>1402</v>
      </c>
      <c r="S5" s="73">
        <f t="shared" ref="S5:Z5" si="14">S4+S3</f>
        <v>1306</v>
      </c>
      <c r="T5" s="73">
        <f t="shared" si="14"/>
        <v>1484</v>
      </c>
      <c r="U5" s="73">
        <f t="shared" si="14"/>
        <v>1439</v>
      </c>
      <c r="V5" s="73">
        <f t="shared" si="14"/>
        <v>1499</v>
      </c>
      <c r="W5" s="73">
        <f t="shared" si="14"/>
        <v>1497</v>
      </c>
      <c r="X5" s="73">
        <f>X4+X3</f>
        <v>1668</v>
      </c>
      <c r="Y5" s="73">
        <f t="shared" si="14"/>
        <v>1700</v>
      </c>
      <c r="Z5" s="73">
        <f t="shared" si="14"/>
        <v>1767</v>
      </c>
      <c r="AA5" s="73">
        <f t="shared" ref="AA5:AJ5" si="15">AA4+AA3</f>
        <v>1645</v>
      </c>
      <c r="AB5" s="73">
        <f t="shared" si="15"/>
        <v>1573</v>
      </c>
      <c r="AC5" s="73">
        <f t="shared" si="15"/>
        <v>1420</v>
      </c>
      <c r="AD5" s="73">
        <f t="shared" si="15"/>
        <v>1465</v>
      </c>
      <c r="AE5" s="73">
        <f t="shared" si="15"/>
        <v>1315</v>
      </c>
      <c r="AF5" s="73">
        <f t="shared" si="15"/>
        <v>1447</v>
      </c>
      <c r="AG5" s="73">
        <f t="shared" si="15"/>
        <v>1479</v>
      </c>
      <c r="AH5" s="73">
        <f t="shared" si="15"/>
        <v>1352</v>
      </c>
      <c r="AI5" s="73">
        <f t="shared" si="15"/>
        <v>1191</v>
      </c>
      <c r="AJ5" s="73">
        <f t="shared" si="15"/>
        <v>1331</v>
      </c>
      <c r="AK5" s="73">
        <f>AK4+AK3</f>
        <v>1348</v>
      </c>
      <c r="AL5" s="73">
        <f>AL4+AL3</f>
        <v>1351</v>
      </c>
      <c r="AM5" s="73">
        <f>AM4+AM3</f>
        <v>1250</v>
      </c>
      <c r="AN5" s="73">
        <f t="shared" ref="AN5:AT5" si="16">+AN4+AN3</f>
        <v>1260</v>
      </c>
      <c r="AO5" s="73">
        <f t="shared" si="16"/>
        <v>1276</v>
      </c>
      <c r="AP5" s="73">
        <f t="shared" si="16"/>
        <v>1224</v>
      </c>
      <c r="AQ5" s="73">
        <f t="shared" si="16"/>
        <v>1115</v>
      </c>
      <c r="AR5" s="73">
        <f>+AR4+AR3</f>
        <v>1128</v>
      </c>
      <c r="AS5" s="73">
        <f t="shared" si="16"/>
        <v>1212.2</v>
      </c>
      <c r="AT5" s="73">
        <f t="shared" si="16"/>
        <v>1162.8</v>
      </c>
      <c r="AU5" s="73">
        <f>+AU4+AU3</f>
        <v>1059.25</v>
      </c>
      <c r="AV5" s="73">
        <f>+AV4+AV3</f>
        <v>1061</v>
      </c>
      <c r="AW5" s="73">
        <f>+AW4+AW3</f>
        <v>1151.5900000000001</v>
      </c>
      <c r="AX5" s="73">
        <f>+AX4+AX3</f>
        <v>1104.6599999999999</v>
      </c>
      <c r="AY5" s="73">
        <f t="shared" ref="AY5:BD5" si="17">+AY4+AY3</f>
        <v>0</v>
      </c>
      <c r="AZ5" s="73">
        <f t="shared" si="17"/>
        <v>1026</v>
      </c>
      <c r="BA5" s="73">
        <f t="shared" si="17"/>
        <v>0</v>
      </c>
      <c r="BB5" s="73">
        <f t="shared" si="17"/>
        <v>0</v>
      </c>
      <c r="BC5" s="73">
        <f t="shared" si="17"/>
        <v>0</v>
      </c>
      <c r="BD5" s="73">
        <f t="shared" si="17"/>
        <v>1029</v>
      </c>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73"/>
      <c r="CO5" s="73"/>
      <c r="CP5" s="73"/>
      <c r="CQ5" s="73"/>
      <c r="CR5" s="73"/>
      <c r="CS5" s="73"/>
      <c r="CT5" s="73">
        <f t="shared" ref="CT5:DB5" si="18">CT4+CT3</f>
        <v>1962.4</v>
      </c>
      <c r="CU5" s="73">
        <f t="shared" si="18"/>
        <v>2150.1</v>
      </c>
      <c r="CV5" s="73">
        <f t="shared" si="18"/>
        <v>2675.6</v>
      </c>
      <c r="CW5" s="73">
        <f t="shared" si="18"/>
        <v>3978.5</v>
      </c>
      <c r="CX5" s="73">
        <f t="shared" si="18"/>
        <v>5073.6000000000004</v>
      </c>
      <c r="CY5" s="73">
        <f t="shared" si="18"/>
        <v>5728</v>
      </c>
      <c r="CZ5" s="73">
        <f t="shared" si="18"/>
        <v>6632</v>
      </c>
      <c r="DA5" s="73">
        <f>DA4+DA3</f>
        <v>6103</v>
      </c>
      <c r="DB5" s="73">
        <f t="shared" si="18"/>
        <v>5593</v>
      </c>
      <c r="DC5" s="73">
        <f>DC4+DC3</f>
        <v>5221</v>
      </c>
      <c r="DD5" s="73">
        <f>DD4+DD3</f>
        <v>5010</v>
      </c>
      <c r="DE5" s="73">
        <f>DE4+DE3</f>
        <v>4618</v>
      </c>
      <c r="DF5" s="67">
        <f>DF4+DF3</f>
        <v>4048.1299999999992</v>
      </c>
      <c r="DG5" s="67">
        <f t="shared" ref="DG5:DJ5" si="19">DG4+DG3</f>
        <v>3462.5329999999994</v>
      </c>
      <c r="DH5" s="67">
        <f t="shared" si="19"/>
        <v>3116.2796999999996</v>
      </c>
      <c r="DI5" s="67">
        <f t="shared" si="19"/>
        <v>2804.6517299999996</v>
      </c>
      <c r="DJ5" s="67">
        <f t="shared" si="19"/>
        <v>2524.186557</v>
      </c>
      <c r="DK5" s="67"/>
      <c r="DL5" s="67"/>
      <c r="DM5" s="67"/>
      <c r="DN5" s="73"/>
      <c r="DO5" s="73"/>
      <c r="DP5" s="73"/>
      <c r="DQ5" s="73"/>
      <c r="DR5" s="73"/>
      <c r="DS5" s="73"/>
      <c r="DT5" s="73"/>
      <c r="DU5" s="73"/>
      <c r="DV5" s="73"/>
      <c r="DW5" s="73"/>
      <c r="DX5" s="73"/>
    </row>
    <row r="6" spans="1:133" s="26" customFormat="1">
      <c r="B6" s="26" t="s">
        <v>603</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f t="shared" ref="AS6:AT8" si="20">+AO6</f>
        <v>338</v>
      </c>
      <c r="AT6" s="67">
        <f t="shared" si="20"/>
        <v>319</v>
      </c>
      <c r="AU6" s="67">
        <f>+AQ6</f>
        <v>296</v>
      </c>
      <c r="AV6" s="67">
        <v>332</v>
      </c>
      <c r="AW6" s="67">
        <f t="shared" ref="AW6:AX8" si="21">+AS6</f>
        <v>338</v>
      </c>
      <c r="AX6" s="67">
        <f t="shared" si="21"/>
        <v>319</v>
      </c>
      <c r="AY6" s="67"/>
      <c r="AZ6" s="67">
        <v>324</v>
      </c>
      <c r="BA6" s="67"/>
      <c r="BB6" s="67"/>
      <c r="BC6" s="67"/>
      <c r="BD6" s="67">
        <v>296</v>
      </c>
      <c r="BE6" s="67"/>
      <c r="BF6" s="67"/>
      <c r="BG6" s="67"/>
      <c r="BH6" s="67"/>
      <c r="BI6" s="67"/>
      <c r="BJ6" s="67"/>
      <c r="BK6" s="67"/>
      <c r="BL6" s="67"/>
      <c r="BM6" s="67"/>
      <c r="BN6" s="67"/>
      <c r="BO6" s="67"/>
      <c r="BP6" s="67"/>
      <c r="BQ6" s="67"/>
      <c r="BR6" s="67"/>
      <c r="BS6" s="67"/>
      <c r="BT6" s="67"/>
      <c r="BU6" s="67"/>
      <c r="BV6" s="67">
        <v>75</v>
      </c>
      <c r="BW6" s="67">
        <v>73</v>
      </c>
      <c r="BX6" s="67">
        <v>75</v>
      </c>
      <c r="BY6" s="67">
        <v>54</v>
      </c>
      <c r="BZ6" s="67">
        <v>62</v>
      </c>
      <c r="CA6" s="67">
        <v>65</v>
      </c>
      <c r="CB6" s="67">
        <v>49</v>
      </c>
      <c r="CC6" s="67">
        <v>65</v>
      </c>
      <c r="CD6" s="67">
        <v>46</v>
      </c>
      <c r="CE6" s="67">
        <v>34</v>
      </c>
      <c r="CF6" s="67">
        <v>51</v>
      </c>
      <c r="CG6" s="67">
        <v>52</v>
      </c>
      <c r="CH6" s="67">
        <v>31</v>
      </c>
      <c r="CI6" s="67">
        <v>38</v>
      </c>
      <c r="CJ6" s="67">
        <v>37</v>
      </c>
      <c r="CK6" s="67">
        <v>35</v>
      </c>
      <c r="CL6" s="67">
        <v>34</v>
      </c>
      <c r="CM6" s="67">
        <f t="shared" ref="CM6:CM8" si="22">+CI6*0.9</f>
        <v>34.200000000000003</v>
      </c>
      <c r="CN6" s="67">
        <f t="shared" ref="CN6:CN8" si="23">+CJ6*0.9</f>
        <v>33.300000000000004</v>
      </c>
      <c r="CO6" s="67">
        <f t="shared" ref="CO6:CO8" si="24">+CK6*0.9</f>
        <v>31.5</v>
      </c>
      <c r="CP6" s="67">
        <f t="shared" ref="CP6:CP8" si="25">+CL6*0.9</f>
        <v>30.6</v>
      </c>
      <c r="CQ6" s="67"/>
      <c r="CR6" s="67"/>
      <c r="CS6" s="67"/>
      <c r="CT6" s="67">
        <v>1224</v>
      </c>
      <c r="CU6" s="67">
        <v>1347</v>
      </c>
      <c r="CV6" s="67">
        <v>1379</v>
      </c>
      <c r="CW6" s="67">
        <f>386+881</f>
        <v>1267</v>
      </c>
      <c r="CX6" s="67">
        <f>SUM(O6:R6)</f>
        <v>1175.2</v>
      </c>
      <c r="CY6" s="67">
        <f>SUM(S6:V6)</f>
        <v>1216</v>
      </c>
      <c r="CZ6" s="67">
        <f t="shared" ref="CZ6:CZ18" si="26">SUM(W6:Z6)</f>
        <v>1213</v>
      </c>
      <c r="DA6" s="67">
        <f t="shared" ref="DA6:DA18" si="27">SUM(AA6:AD6)</f>
        <v>1277</v>
      </c>
      <c r="DB6" s="67">
        <f t="shared" ref="DB6:DB18" si="28">SUM(AE6:AH6)</f>
        <v>1341</v>
      </c>
      <c r="DC6" s="67">
        <f t="shared" ref="DC6:DC18" si="29">SUM(AI6:AL6)</f>
        <v>1288</v>
      </c>
      <c r="DD6" s="67">
        <f>SUM(AM6:AP6)</f>
        <v>1286</v>
      </c>
      <c r="DE6" s="67">
        <f>SUM(AQ6:AT6)</f>
        <v>1264</v>
      </c>
      <c r="DF6" s="67">
        <f>+DE6*0.8</f>
        <v>1011.2</v>
      </c>
      <c r="DG6" s="67">
        <f>+DF6*0.8</f>
        <v>808.96</v>
      </c>
      <c r="DH6" s="67">
        <f t="shared" ref="DH6:DJ6" si="30">+DG6*0.8</f>
        <v>647.16800000000012</v>
      </c>
      <c r="DI6" s="67">
        <f t="shared" si="30"/>
        <v>517.73440000000016</v>
      </c>
      <c r="DJ6" s="67">
        <f t="shared" si="30"/>
        <v>414.18752000000018</v>
      </c>
      <c r="DK6" s="67"/>
      <c r="DL6" s="67"/>
      <c r="DM6" s="67">
        <f t="shared" ref="DM6:DM8" si="31">SUM(BW6:BZ6)</f>
        <v>264</v>
      </c>
      <c r="DN6" s="67">
        <f t="shared" ref="DN6:DN8" si="32">SUM(CA6:CD6)</f>
        <v>225</v>
      </c>
      <c r="DO6" s="67">
        <f>SUM(CE6:CH6)</f>
        <v>168</v>
      </c>
      <c r="DP6" s="67">
        <f t="shared" ref="DP6:DP8" si="33">SUM(CI6:CL6)</f>
        <v>144</v>
      </c>
      <c r="DQ6" s="67">
        <f t="shared" ref="DQ6:DQ8" si="34">SUM(CM6:CP6)</f>
        <v>129.6</v>
      </c>
      <c r="DR6" s="67">
        <f t="shared" ref="DR6:EC6" si="35">+DQ6*0.9</f>
        <v>116.64</v>
      </c>
      <c r="DS6" s="67">
        <f t="shared" si="35"/>
        <v>104.976</v>
      </c>
      <c r="DT6" s="67">
        <f t="shared" si="35"/>
        <v>94.478400000000008</v>
      </c>
      <c r="DU6" s="67">
        <f t="shared" si="35"/>
        <v>85.030560000000008</v>
      </c>
      <c r="DV6" s="67">
        <f t="shared" si="35"/>
        <v>76.527504000000008</v>
      </c>
      <c r="DW6" s="67">
        <f t="shared" si="35"/>
        <v>68.874753600000005</v>
      </c>
      <c r="DX6" s="67">
        <f t="shared" si="35"/>
        <v>61.987278240000009</v>
      </c>
      <c r="DY6" s="67">
        <f t="shared" si="35"/>
        <v>55.788550416000007</v>
      </c>
      <c r="DZ6" s="67">
        <f t="shared" si="35"/>
        <v>50.209695374400006</v>
      </c>
      <c r="EA6" s="67">
        <f t="shared" si="35"/>
        <v>45.188725836960003</v>
      </c>
      <c r="EB6" s="67">
        <f t="shared" si="35"/>
        <v>40.669853253264002</v>
      </c>
      <c r="EC6" s="67">
        <f t="shared" si="35"/>
        <v>36.602867927937602</v>
      </c>
    </row>
    <row r="7" spans="1:133" s="26" customFormat="1">
      <c r="B7" s="26" t="s">
        <v>354</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f t="shared" si="20"/>
        <v>916</v>
      </c>
      <c r="AT7" s="67">
        <f t="shared" si="20"/>
        <v>918</v>
      </c>
      <c r="AU7" s="67">
        <f>+AQ7</f>
        <v>936</v>
      </c>
      <c r="AV7" s="67">
        <v>1015</v>
      </c>
      <c r="AW7" s="67">
        <f t="shared" si="21"/>
        <v>916</v>
      </c>
      <c r="AX7" s="67">
        <f t="shared" si="21"/>
        <v>918</v>
      </c>
      <c r="AY7" s="67"/>
      <c r="AZ7" s="67">
        <v>1120</v>
      </c>
      <c r="BA7" s="67"/>
      <c r="BB7" s="67"/>
      <c r="BC7" s="67"/>
      <c r="BD7" s="67">
        <v>1133</v>
      </c>
      <c r="BE7" s="67"/>
      <c r="BF7" s="67"/>
      <c r="BG7" s="67"/>
      <c r="BH7" s="67"/>
      <c r="BI7" s="67"/>
      <c r="BJ7" s="67"/>
      <c r="BK7" s="67"/>
      <c r="BL7" s="67"/>
      <c r="BM7" s="67"/>
      <c r="BN7" s="67"/>
      <c r="BO7" s="67"/>
      <c r="BP7" s="67"/>
      <c r="BQ7" s="67"/>
      <c r="BR7" s="67"/>
      <c r="BS7" s="67"/>
      <c r="BT7" s="67"/>
      <c r="BU7" s="67"/>
      <c r="BV7" s="67">
        <v>1169</v>
      </c>
      <c r="BW7" s="67">
        <v>1021</v>
      </c>
      <c r="BX7" s="67">
        <v>824</v>
      </c>
      <c r="BY7" s="67">
        <v>711</v>
      </c>
      <c r="BZ7" s="67">
        <v>665</v>
      </c>
      <c r="CA7" s="67">
        <v>609</v>
      </c>
      <c r="CB7" s="67">
        <v>593</v>
      </c>
      <c r="CC7" s="67">
        <v>555</v>
      </c>
      <c r="CD7" s="67">
        <v>536</v>
      </c>
      <c r="CE7" s="67">
        <v>482</v>
      </c>
      <c r="CF7" s="67">
        <v>486</v>
      </c>
      <c r="CG7" s="67">
        <v>415</v>
      </c>
      <c r="CH7" s="67">
        <v>351</v>
      </c>
      <c r="CI7" s="67">
        <v>348</v>
      </c>
      <c r="CJ7" s="67">
        <v>310</v>
      </c>
      <c r="CK7" s="67">
        <v>247</v>
      </c>
      <c r="CL7" s="67">
        <v>221</v>
      </c>
      <c r="CM7" s="67">
        <f t="shared" si="22"/>
        <v>313.2</v>
      </c>
      <c r="CN7" s="67">
        <f t="shared" si="23"/>
        <v>279</v>
      </c>
      <c r="CO7" s="67">
        <f t="shared" si="24"/>
        <v>222.3</v>
      </c>
      <c r="CP7" s="67">
        <f t="shared" si="25"/>
        <v>198.9</v>
      </c>
      <c r="CQ7" s="67"/>
      <c r="CR7" s="67"/>
      <c r="CS7" s="67"/>
      <c r="CT7" s="67"/>
      <c r="CU7" s="67"/>
      <c r="CV7" s="67">
        <v>464</v>
      </c>
      <c r="CW7" s="67">
        <f>1175+80</f>
        <v>1255</v>
      </c>
      <c r="CX7" s="67">
        <f>SUM(O7:R7)</f>
        <v>1739.6</v>
      </c>
      <c r="CY7" s="67">
        <f>SUM(S7:V7)</f>
        <v>2288</v>
      </c>
      <c r="CZ7" s="67">
        <f t="shared" si="26"/>
        <v>2710</v>
      </c>
      <c r="DA7" s="74">
        <f t="shared" si="27"/>
        <v>3000</v>
      </c>
      <c r="DB7" s="67">
        <f t="shared" si="28"/>
        <v>3318</v>
      </c>
      <c r="DC7" s="67">
        <f t="shared" si="29"/>
        <v>3355</v>
      </c>
      <c r="DD7" s="67">
        <f>SUM(AM7:AP7)</f>
        <v>3558</v>
      </c>
      <c r="DE7" s="67">
        <f>SUM(AQ7:AT7)</f>
        <v>3785</v>
      </c>
      <c r="DF7" s="67">
        <f>+DE7*0.95</f>
        <v>3595.75</v>
      </c>
      <c r="DG7" s="67">
        <f t="shared" ref="DG7:DJ7" si="36">+DF7*0.95</f>
        <v>3415.9624999999996</v>
      </c>
      <c r="DH7" s="67">
        <f t="shared" si="36"/>
        <v>3245.1643749999994</v>
      </c>
      <c r="DI7" s="67">
        <f t="shared" si="36"/>
        <v>3082.9061562499992</v>
      </c>
      <c r="DJ7" s="67">
        <f t="shared" si="36"/>
        <v>2928.7608484374991</v>
      </c>
      <c r="DK7" s="67"/>
      <c r="DL7" s="67"/>
      <c r="DM7" s="67">
        <f t="shared" si="31"/>
        <v>3221</v>
      </c>
      <c r="DN7" s="67">
        <f t="shared" si="32"/>
        <v>2293</v>
      </c>
      <c r="DO7" s="67">
        <f>SUM(CE7:CH7)</f>
        <v>1734</v>
      </c>
      <c r="DP7" s="67">
        <f t="shared" si="33"/>
        <v>1126</v>
      </c>
      <c r="DQ7" s="67">
        <f t="shared" si="34"/>
        <v>1013.4</v>
      </c>
      <c r="DR7" s="67">
        <f t="shared" ref="DR7:EC7" si="37">+DQ7*0.9</f>
        <v>912.06</v>
      </c>
      <c r="DS7" s="67">
        <f t="shared" si="37"/>
        <v>820.85399999999993</v>
      </c>
      <c r="DT7" s="67">
        <f t="shared" si="37"/>
        <v>738.76859999999999</v>
      </c>
      <c r="DU7" s="67">
        <f t="shared" si="37"/>
        <v>664.89174000000003</v>
      </c>
      <c r="DV7" s="67">
        <f t="shared" si="37"/>
        <v>598.40256600000009</v>
      </c>
      <c r="DW7" s="67">
        <f t="shared" si="37"/>
        <v>538.56230940000012</v>
      </c>
      <c r="DX7" s="67">
        <f t="shared" si="37"/>
        <v>484.70607846000013</v>
      </c>
      <c r="DY7" s="67">
        <f t="shared" si="37"/>
        <v>436.23547061400012</v>
      </c>
      <c r="DZ7" s="67">
        <f t="shared" si="37"/>
        <v>392.6119235526001</v>
      </c>
      <c r="EA7" s="67">
        <f t="shared" si="37"/>
        <v>353.35073119734011</v>
      </c>
      <c r="EB7" s="67">
        <f t="shared" si="37"/>
        <v>318.01565807760613</v>
      </c>
      <c r="EC7" s="67">
        <f t="shared" si="37"/>
        <v>286.21409226984554</v>
      </c>
    </row>
    <row r="8" spans="1:133" s="26" customFormat="1">
      <c r="B8" s="26" t="s">
        <v>355</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f t="shared" si="20"/>
        <v>914</v>
      </c>
      <c r="AT8" s="67">
        <f t="shared" si="20"/>
        <v>939</v>
      </c>
      <c r="AU8" s="67">
        <f>+AQ8</f>
        <v>875</v>
      </c>
      <c r="AV8" s="67">
        <v>1058</v>
      </c>
      <c r="AW8" s="67">
        <f t="shared" si="21"/>
        <v>914</v>
      </c>
      <c r="AX8" s="67">
        <f t="shared" si="21"/>
        <v>939</v>
      </c>
      <c r="AY8" s="67"/>
      <c r="AZ8" s="67">
        <v>1157</v>
      </c>
      <c r="BA8" s="67"/>
      <c r="BB8" s="67"/>
      <c r="BC8" s="67"/>
      <c r="BD8" s="67">
        <v>1243</v>
      </c>
      <c r="BE8" s="67"/>
      <c r="BF8" s="67"/>
      <c r="BG8" s="67"/>
      <c r="BH8" s="67"/>
      <c r="BI8" s="67"/>
      <c r="BJ8" s="67"/>
      <c r="BK8" s="67"/>
      <c r="BL8" s="67"/>
      <c r="BM8" s="67"/>
      <c r="BN8" s="67"/>
      <c r="BO8" s="67"/>
      <c r="BP8" s="67"/>
      <c r="BQ8" s="67"/>
      <c r="BR8" s="67"/>
      <c r="BS8" s="67"/>
      <c r="BT8" s="67"/>
      <c r="BU8" s="67"/>
      <c r="BV8" s="67">
        <v>1315</v>
      </c>
      <c r="BW8" s="67">
        <v>1151</v>
      </c>
      <c r="BX8" s="67">
        <v>1363</v>
      </c>
      <c r="BY8" s="67">
        <v>1366</v>
      </c>
      <c r="BZ8" s="67">
        <v>1346</v>
      </c>
      <c r="CA8" s="67">
        <v>1153</v>
      </c>
      <c r="CB8" s="67">
        <v>1246</v>
      </c>
      <c r="CC8" s="67">
        <v>1325</v>
      </c>
      <c r="CD8" s="67">
        <v>1272</v>
      </c>
      <c r="CE8" s="67">
        <v>924</v>
      </c>
      <c r="CF8" s="67">
        <v>1144</v>
      </c>
      <c r="CG8" s="67">
        <v>1289</v>
      </c>
      <c r="CH8" s="67">
        <v>1108</v>
      </c>
      <c r="CI8" s="67">
        <v>862</v>
      </c>
      <c r="CJ8" s="67">
        <v>1051</v>
      </c>
      <c r="CK8" s="67">
        <v>1106</v>
      </c>
      <c r="CL8" s="67">
        <v>1098</v>
      </c>
      <c r="CM8" s="67">
        <f t="shared" si="22"/>
        <v>775.80000000000007</v>
      </c>
      <c r="CN8" s="67">
        <f t="shared" si="23"/>
        <v>945.9</v>
      </c>
      <c r="CO8" s="67">
        <f t="shared" si="24"/>
        <v>995.4</v>
      </c>
      <c r="CP8" s="67">
        <f t="shared" si="25"/>
        <v>988.2</v>
      </c>
      <c r="CQ8" s="67"/>
      <c r="CR8" s="67"/>
      <c r="CS8" s="67"/>
      <c r="CT8" s="67"/>
      <c r="CU8" s="67"/>
      <c r="CV8" s="67">
        <v>362</v>
      </c>
      <c r="CW8" s="67">
        <f>1254+46</f>
        <v>1300</v>
      </c>
      <c r="CX8" s="74">
        <f>1827+73</f>
        <v>1900</v>
      </c>
      <c r="CY8" s="67">
        <f>SUM(S8:V8)</f>
        <v>2573</v>
      </c>
      <c r="CZ8" s="67">
        <f t="shared" si="26"/>
        <v>2879</v>
      </c>
      <c r="DA8" s="67">
        <f t="shared" si="27"/>
        <v>3230</v>
      </c>
      <c r="DB8" s="67">
        <f t="shared" si="28"/>
        <v>3598</v>
      </c>
      <c r="DC8" s="67">
        <f t="shared" si="29"/>
        <v>3493</v>
      </c>
      <c r="DD8" s="67">
        <f>SUM(AM8:AP8)</f>
        <v>3534</v>
      </c>
      <c r="DE8" s="67">
        <f>SUM(AQ8:AT8)</f>
        <v>3684</v>
      </c>
      <c r="DF8" s="67">
        <f>DE8*0.9</f>
        <v>3315.6</v>
      </c>
      <c r="DG8" s="67">
        <f>DF8*1.5</f>
        <v>4973.3999999999996</v>
      </c>
      <c r="DH8" s="67">
        <f t="shared" ref="DH8:DJ8" si="38">DG8*0.9</f>
        <v>4476.0599999999995</v>
      </c>
      <c r="DI8" s="67">
        <f t="shared" si="38"/>
        <v>4028.4539999999997</v>
      </c>
      <c r="DJ8" s="67">
        <f t="shared" si="38"/>
        <v>3625.6086</v>
      </c>
      <c r="DK8" s="67"/>
      <c r="DL8" s="67"/>
      <c r="DM8" s="67">
        <f t="shared" si="31"/>
        <v>5226</v>
      </c>
      <c r="DN8" s="67">
        <f t="shared" si="32"/>
        <v>4996</v>
      </c>
      <c r="DO8" s="67">
        <f>SUM(CE8:CH8)</f>
        <v>4465</v>
      </c>
      <c r="DP8" s="67">
        <f t="shared" si="33"/>
        <v>4117</v>
      </c>
      <c r="DQ8" s="67">
        <f t="shared" si="34"/>
        <v>3705.3</v>
      </c>
      <c r="DR8" s="67">
        <f t="shared" ref="DR8:EC8" si="39">+DQ8*0.9</f>
        <v>3334.7700000000004</v>
      </c>
      <c r="DS8" s="67">
        <f t="shared" si="39"/>
        <v>3001.2930000000006</v>
      </c>
      <c r="DT8" s="67">
        <f t="shared" si="39"/>
        <v>2701.1637000000005</v>
      </c>
      <c r="DU8" s="67">
        <f t="shared" si="39"/>
        <v>2431.0473300000003</v>
      </c>
      <c r="DV8" s="67">
        <f t="shared" si="39"/>
        <v>2187.9425970000002</v>
      </c>
      <c r="DW8" s="67">
        <f t="shared" si="39"/>
        <v>1969.1483373000003</v>
      </c>
      <c r="DX8" s="67">
        <f t="shared" si="39"/>
        <v>1772.2335035700003</v>
      </c>
      <c r="DY8" s="67">
        <f t="shared" si="39"/>
        <v>1595.0101532130002</v>
      </c>
      <c r="DZ8" s="67">
        <f t="shared" si="39"/>
        <v>1435.5091378917002</v>
      </c>
      <c r="EA8" s="67">
        <f t="shared" si="39"/>
        <v>1291.9582241025303</v>
      </c>
      <c r="EB8" s="67">
        <f t="shared" si="39"/>
        <v>1162.7624016922773</v>
      </c>
      <c r="EC8" s="67">
        <f t="shared" si="39"/>
        <v>1046.4861615230495</v>
      </c>
    </row>
    <row r="9" spans="1:133" s="26" customFormat="1">
      <c r="B9" s="97" t="s">
        <v>1236</v>
      </c>
      <c r="C9" s="67"/>
      <c r="D9" s="67"/>
      <c r="E9" s="74"/>
      <c r="F9" s="67"/>
      <c r="G9" s="74"/>
      <c r="H9" s="74"/>
      <c r="I9" s="74"/>
      <c r="J9" s="67"/>
      <c r="K9" s="74"/>
      <c r="L9" s="74"/>
      <c r="M9" s="74"/>
      <c r="N9" s="74"/>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111" t="s">
        <v>1288</v>
      </c>
      <c r="BY9" s="67"/>
      <c r="BZ9" s="67"/>
      <c r="CA9" s="67"/>
      <c r="CB9" s="111" t="s">
        <v>1285</v>
      </c>
      <c r="CC9" s="111" t="s">
        <v>1264</v>
      </c>
      <c r="CD9" s="111" t="s">
        <v>1266</v>
      </c>
      <c r="CE9" s="111" t="s">
        <v>1267</v>
      </c>
      <c r="CF9" s="111" t="s">
        <v>1255</v>
      </c>
      <c r="CG9" s="111" t="s">
        <v>1238</v>
      </c>
      <c r="CH9" s="111" t="s">
        <v>1268</v>
      </c>
      <c r="CI9" s="111" t="s">
        <v>1269</v>
      </c>
      <c r="CJ9" s="111" t="s">
        <v>1254</v>
      </c>
      <c r="CK9" s="111" t="s">
        <v>1237</v>
      </c>
      <c r="CL9" s="111"/>
      <c r="CM9" s="67"/>
      <c r="CN9" s="67"/>
      <c r="CO9" s="67"/>
      <c r="CP9" s="67"/>
      <c r="CQ9" s="67"/>
      <c r="CR9" s="67"/>
      <c r="CS9" s="67"/>
      <c r="CT9" s="67"/>
      <c r="CU9" s="67"/>
      <c r="CV9" s="67"/>
      <c r="CW9" s="67"/>
      <c r="CX9" s="74"/>
      <c r="CY9" s="67"/>
      <c r="CZ9" s="67"/>
      <c r="DA9" s="67"/>
      <c r="DB9" s="67"/>
      <c r="DC9" s="67"/>
      <c r="DD9" s="67"/>
      <c r="DE9" s="67"/>
      <c r="DF9" s="67"/>
      <c r="DG9" s="67"/>
      <c r="DH9" s="67"/>
      <c r="DI9" s="67"/>
      <c r="DJ9" s="67"/>
      <c r="DK9" s="67"/>
      <c r="DL9" s="67"/>
      <c r="DM9" s="67"/>
      <c r="DN9" s="67"/>
      <c r="DO9" s="67"/>
      <c r="DP9" s="67"/>
      <c r="DQ9" s="67">
        <v>2200</v>
      </c>
      <c r="DR9" s="67">
        <f t="shared" ref="DR9:DW9" si="40">+DQ9*1.05</f>
        <v>2310</v>
      </c>
      <c r="DS9" s="67">
        <f t="shared" si="40"/>
        <v>2425.5</v>
      </c>
      <c r="DT9" s="67">
        <f t="shared" si="40"/>
        <v>2546.7750000000001</v>
      </c>
      <c r="DU9" s="67">
        <f t="shared" si="40"/>
        <v>2674.11375</v>
      </c>
      <c r="DV9" s="67">
        <f t="shared" si="40"/>
        <v>2807.8194375000003</v>
      </c>
      <c r="DW9" s="67">
        <f t="shared" si="40"/>
        <v>2948.2104093750004</v>
      </c>
      <c r="DX9" s="67">
        <f>+DW9*0.99</f>
        <v>2918.7283052812504</v>
      </c>
      <c r="DY9" s="67">
        <f t="shared" ref="DY9:EC9" si="41">+DX9*0.99</f>
        <v>2889.5410222284377</v>
      </c>
      <c r="DZ9" s="67">
        <f t="shared" si="41"/>
        <v>2860.6456120061534</v>
      </c>
      <c r="EA9" s="67">
        <f t="shared" si="41"/>
        <v>2832.039155886092</v>
      </c>
      <c r="EB9" s="67">
        <f t="shared" si="41"/>
        <v>2803.7187643272309</v>
      </c>
      <c r="EC9" s="67">
        <f t="shared" si="41"/>
        <v>2775.6815766839586</v>
      </c>
    </row>
    <row r="10" spans="1:133" s="26" customFormat="1">
      <c r="B10" s="97" t="s">
        <v>1239</v>
      </c>
      <c r="C10" s="67"/>
      <c r="D10" s="67"/>
      <c r="E10" s="74"/>
      <c r="F10" s="67"/>
      <c r="G10" s="74"/>
      <c r="H10" s="74"/>
      <c r="I10" s="74"/>
      <c r="J10" s="67"/>
      <c r="K10" s="74"/>
      <c r="L10" s="74"/>
      <c r="M10" s="74"/>
      <c r="N10" s="74"/>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111" t="s">
        <v>1286</v>
      </c>
      <c r="BY10" s="67"/>
      <c r="BZ10" s="67"/>
      <c r="CA10" s="67"/>
      <c r="CB10" s="111" t="s">
        <v>1277</v>
      </c>
      <c r="CC10" s="111" t="s">
        <v>1265</v>
      </c>
      <c r="CD10" s="111" t="s">
        <v>1270</v>
      </c>
      <c r="CE10" s="111" t="s">
        <v>1271</v>
      </c>
      <c r="CF10" s="111" t="s">
        <v>1256</v>
      </c>
      <c r="CG10" s="111" t="s">
        <v>1241</v>
      </c>
      <c r="CH10" s="111" t="s">
        <v>1272</v>
      </c>
      <c r="CI10" s="111" t="s">
        <v>1273</v>
      </c>
      <c r="CJ10" s="111" t="s">
        <v>1257</v>
      </c>
      <c r="CK10" s="111" t="s">
        <v>1240</v>
      </c>
      <c r="CL10" s="111"/>
      <c r="CM10" s="67"/>
      <c r="CN10" s="67"/>
      <c r="CO10" s="67"/>
      <c r="CP10" s="67"/>
      <c r="CQ10" s="67"/>
      <c r="CR10" s="67"/>
      <c r="CS10" s="67"/>
      <c r="CT10" s="67"/>
      <c r="CU10" s="67"/>
      <c r="CV10" s="67"/>
      <c r="CW10" s="67"/>
      <c r="CX10" s="74"/>
      <c r="CY10" s="67"/>
      <c r="CZ10" s="67"/>
      <c r="DA10" s="67"/>
      <c r="DB10" s="67"/>
      <c r="DC10" s="67"/>
      <c r="DD10" s="67"/>
      <c r="DE10" s="67"/>
      <c r="DF10" s="67"/>
      <c r="DG10" s="67"/>
      <c r="DH10" s="67"/>
      <c r="DI10" s="67"/>
      <c r="DJ10" s="67"/>
      <c r="DK10" s="67"/>
      <c r="DL10" s="67"/>
      <c r="DM10" s="67"/>
      <c r="DN10" s="67"/>
      <c r="DO10" s="67"/>
      <c r="DP10" s="67"/>
      <c r="DQ10" s="67">
        <v>900</v>
      </c>
      <c r="DR10" s="67">
        <f>+DQ10*1.01</f>
        <v>909</v>
      </c>
      <c r="DS10" s="67">
        <f t="shared" ref="DS10:EC10" si="42">+DR10*1.01</f>
        <v>918.09</v>
      </c>
      <c r="DT10" s="67">
        <f t="shared" si="42"/>
        <v>927.2709000000001</v>
      </c>
      <c r="DU10" s="67">
        <f t="shared" si="42"/>
        <v>936.54360900000006</v>
      </c>
      <c r="DV10" s="67">
        <f t="shared" si="42"/>
        <v>945.90904509000006</v>
      </c>
      <c r="DW10" s="67">
        <f t="shared" si="42"/>
        <v>955.36813554090008</v>
      </c>
      <c r="DX10" s="67">
        <f t="shared" si="42"/>
        <v>964.92181689630911</v>
      </c>
      <c r="DY10" s="67">
        <f t="shared" si="42"/>
        <v>974.57103506527221</v>
      </c>
      <c r="DZ10" s="67">
        <f t="shared" si="42"/>
        <v>984.31674541592497</v>
      </c>
      <c r="EA10" s="67">
        <f t="shared" si="42"/>
        <v>994.15991287008421</v>
      </c>
      <c r="EB10" s="67">
        <f t="shared" si="42"/>
        <v>1004.1015119987851</v>
      </c>
      <c r="EC10" s="67">
        <f t="shared" si="42"/>
        <v>1014.1425271187729</v>
      </c>
    </row>
    <row r="11" spans="1:133" s="26" customFormat="1">
      <c r="B11" s="97" t="s">
        <v>1242</v>
      </c>
      <c r="C11" s="67"/>
      <c r="D11" s="67"/>
      <c r="E11" s="74"/>
      <c r="F11" s="67"/>
      <c r="G11" s="74"/>
      <c r="H11" s="74"/>
      <c r="I11" s="74"/>
      <c r="J11" s="67"/>
      <c r="K11" s="74"/>
      <c r="L11" s="74"/>
      <c r="M11" s="74"/>
      <c r="N11" s="74"/>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111" t="s">
        <v>1259</v>
      </c>
      <c r="BY11" s="67"/>
      <c r="BZ11" s="67"/>
      <c r="CA11" s="67"/>
      <c r="CB11" s="111" t="s">
        <v>1287</v>
      </c>
      <c r="CC11" s="111" t="s">
        <v>1274</v>
      </c>
      <c r="CD11" s="111" t="s">
        <v>1275</v>
      </c>
      <c r="CE11" s="111" t="s">
        <v>1276</v>
      </c>
      <c r="CF11" s="111" t="s">
        <v>1258</v>
      </c>
      <c r="CG11" s="111" t="s">
        <v>1244</v>
      </c>
      <c r="CH11" s="111" t="s">
        <v>1277</v>
      </c>
      <c r="CI11" s="111" t="s">
        <v>1278</v>
      </c>
      <c r="CJ11" s="111" t="s">
        <v>1244</v>
      </c>
      <c r="CK11" s="111" t="s">
        <v>1243</v>
      </c>
      <c r="CL11" s="111"/>
      <c r="CM11" s="67"/>
      <c r="CN11" s="67"/>
      <c r="CO11" s="67"/>
      <c r="CP11" s="67"/>
      <c r="CQ11" s="67"/>
      <c r="CR11" s="67"/>
      <c r="CS11" s="67"/>
      <c r="CT11" s="67"/>
      <c r="CU11" s="67"/>
      <c r="CV11" s="67"/>
      <c r="CW11" s="67"/>
      <c r="CX11" s="74"/>
      <c r="CY11" s="67"/>
      <c r="CZ11" s="67"/>
      <c r="DA11" s="67"/>
      <c r="DB11" s="67"/>
      <c r="DC11" s="67"/>
      <c r="DD11" s="67"/>
      <c r="DE11" s="67"/>
      <c r="DF11" s="67"/>
      <c r="DG11" s="67"/>
      <c r="DH11" s="67"/>
      <c r="DI11" s="67"/>
      <c r="DJ11" s="67"/>
      <c r="DK11" s="67"/>
      <c r="DL11" s="67"/>
      <c r="DM11" s="67"/>
      <c r="DN11" s="67"/>
      <c r="DO11" s="67"/>
      <c r="DP11" s="67"/>
      <c r="DQ11" s="67"/>
      <c r="DR11" s="67">
        <v>800</v>
      </c>
      <c r="DS11" s="67">
        <f>+DR11*0.8</f>
        <v>640</v>
      </c>
      <c r="DT11" s="67">
        <f t="shared" ref="DT11:EC11" si="43">+DS11*0.8</f>
        <v>512</v>
      </c>
      <c r="DU11" s="67">
        <f t="shared" si="43"/>
        <v>409.6</v>
      </c>
      <c r="DV11" s="67">
        <f t="shared" si="43"/>
        <v>327.68000000000006</v>
      </c>
      <c r="DW11" s="67">
        <f t="shared" si="43"/>
        <v>262.14400000000006</v>
      </c>
      <c r="DX11" s="67">
        <f t="shared" si="43"/>
        <v>209.71520000000007</v>
      </c>
      <c r="DY11" s="67">
        <f t="shared" si="43"/>
        <v>167.77216000000007</v>
      </c>
      <c r="DZ11" s="67">
        <f t="shared" si="43"/>
        <v>134.21772800000005</v>
      </c>
      <c r="EA11" s="67">
        <f t="shared" si="43"/>
        <v>107.37418240000005</v>
      </c>
      <c r="EB11" s="67">
        <f t="shared" si="43"/>
        <v>85.899345920000044</v>
      </c>
      <c r="EC11" s="67">
        <f t="shared" si="43"/>
        <v>68.719476736000033</v>
      </c>
    </row>
    <row r="12" spans="1:133" s="26" customFormat="1">
      <c r="B12" s="97" t="s">
        <v>1245</v>
      </c>
      <c r="C12" s="67"/>
      <c r="D12" s="67"/>
      <c r="E12" s="74"/>
      <c r="F12" s="67"/>
      <c r="G12" s="74"/>
      <c r="H12" s="74"/>
      <c r="I12" s="74"/>
      <c r="J12" s="67"/>
      <c r="K12" s="74"/>
      <c r="L12" s="74"/>
      <c r="M12" s="74"/>
      <c r="N12" s="74"/>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111" t="s">
        <v>1289</v>
      </c>
      <c r="BY12" s="67"/>
      <c r="BZ12" s="67"/>
      <c r="CA12" s="67"/>
      <c r="CB12" s="111" t="s">
        <v>1289</v>
      </c>
      <c r="CC12" s="111" t="s">
        <v>1279</v>
      </c>
      <c r="CD12" s="111" t="s">
        <v>1280</v>
      </c>
      <c r="CE12" s="111" t="s">
        <v>1279</v>
      </c>
      <c r="CF12" s="111" t="s">
        <v>1259</v>
      </c>
      <c r="CG12" s="111" t="s">
        <v>1247</v>
      </c>
      <c r="CH12" s="111" t="s">
        <v>1280</v>
      </c>
      <c r="CI12" s="111" t="s">
        <v>1259</v>
      </c>
      <c r="CJ12" s="111" t="s">
        <v>1260</v>
      </c>
      <c r="CK12" s="111" t="s">
        <v>1246</v>
      </c>
      <c r="CL12" s="111"/>
      <c r="CM12" s="67"/>
      <c r="CN12" s="67"/>
      <c r="CO12" s="67"/>
      <c r="CP12" s="67"/>
      <c r="CQ12" s="67"/>
      <c r="CR12" s="67"/>
      <c r="CS12" s="67"/>
      <c r="CT12" s="67"/>
      <c r="CU12" s="67"/>
      <c r="CV12" s="67"/>
      <c r="CW12" s="67"/>
      <c r="CX12" s="74"/>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row>
    <row r="13" spans="1:133" s="26" customFormat="1">
      <c r="B13" s="97" t="s">
        <v>1248</v>
      </c>
      <c r="C13" s="67"/>
      <c r="D13" s="67"/>
      <c r="E13" s="74"/>
      <c r="F13" s="67"/>
      <c r="G13" s="74"/>
      <c r="H13" s="74"/>
      <c r="I13" s="74"/>
      <c r="J13" s="67"/>
      <c r="K13" s="74"/>
      <c r="L13" s="74"/>
      <c r="M13" s="74"/>
      <c r="N13" s="74"/>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v>0</v>
      </c>
      <c r="BY13" s="67">
        <v>0</v>
      </c>
      <c r="BZ13" s="67">
        <v>0</v>
      </c>
      <c r="CA13" s="67">
        <v>0</v>
      </c>
      <c r="CB13" s="67">
        <v>0</v>
      </c>
      <c r="CC13" s="67">
        <v>0</v>
      </c>
      <c r="CD13" s="67">
        <v>0</v>
      </c>
      <c r="CE13" s="111" t="s">
        <v>1267</v>
      </c>
      <c r="CF13" s="111" t="s">
        <v>1262</v>
      </c>
      <c r="CG13" s="111" t="s">
        <v>1250</v>
      </c>
      <c r="CH13" s="111" t="s">
        <v>1281</v>
      </c>
      <c r="CI13" s="111" t="s">
        <v>1282</v>
      </c>
      <c r="CJ13" s="111" t="s">
        <v>1261</v>
      </c>
      <c r="CK13" s="111" t="s">
        <v>1249</v>
      </c>
      <c r="CL13" s="111"/>
      <c r="CM13" s="67"/>
      <c r="CN13" s="67"/>
      <c r="CO13" s="67"/>
      <c r="CP13" s="67"/>
      <c r="CQ13" s="67"/>
      <c r="CR13" s="67"/>
      <c r="CS13" s="67"/>
      <c r="CT13" s="67"/>
      <c r="CU13" s="67"/>
      <c r="CV13" s="67"/>
      <c r="CW13" s="67"/>
      <c r="CX13" s="74"/>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row>
    <row r="14" spans="1:133" s="26" customFormat="1">
      <c r="B14" s="97" t="s">
        <v>1251</v>
      </c>
      <c r="C14" s="67"/>
      <c r="D14" s="67"/>
      <c r="E14" s="74"/>
      <c r="F14" s="67"/>
      <c r="G14" s="74"/>
      <c r="H14" s="74"/>
      <c r="I14" s="74"/>
      <c r="J14" s="67"/>
      <c r="K14" s="74"/>
      <c r="L14" s="74"/>
      <c r="M14" s="74"/>
      <c r="N14" s="74"/>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111" t="s">
        <v>1284</v>
      </c>
      <c r="BY14" s="67"/>
      <c r="BZ14" s="67"/>
      <c r="CA14" s="67"/>
      <c r="CB14" s="111" t="s">
        <v>1263</v>
      </c>
      <c r="CC14" s="111" t="s">
        <v>1263</v>
      </c>
      <c r="CD14" s="111" t="s">
        <v>1283</v>
      </c>
      <c r="CE14" s="111" t="s">
        <v>1284</v>
      </c>
      <c r="CF14" s="111" t="s">
        <v>1263</v>
      </c>
      <c r="CG14" s="111" t="s">
        <v>1253</v>
      </c>
      <c r="CH14" s="111" t="s">
        <v>1282</v>
      </c>
      <c r="CI14" s="111" t="s">
        <v>1282</v>
      </c>
      <c r="CJ14" s="111" t="s">
        <v>1253</v>
      </c>
      <c r="CK14" s="111" t="s">
        <v>1252</v>
      </c>
      <c r="CL14" s="111"/>
      <c r="CM14" s="67"/>
      <c r="CN14" s="67"/>
      <c r="CO14" s="67"/>
      <c r="CP14" s="67"/>
      <c r="CQ14" s="67"/>
      <c r="CR14" s="67"/>
      <c r="CS14" s="67"/>
      <c r="CT14" s="67"/>
      <c r="CU14" s="67"/>
      <c r="CV14" s="67"/>
      <c r="CW14" s="67"/>
      <c r="CX14" s="74"/>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row>
    <row r="15" spans="1:133"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v>51.853999999999999</v>
      </c>
      <c r="CY15" s="67">
        <f>SUM(S15:V15)</f>
        <v>61</v>
      </c>
      <c r="CZ15" s="67">
        <f t="shared" si="26"/>
        <v>64</v>
      </c>
      <c r="DA15" s="67">
        <f t="shared" si="27"/>
        <v>68</v>
      </c>
      <c r="DB15" s="67">
        <f t="shared" si="28"/>
        <v>87</v>
      </c>
      <c r="DC15" s="67">
        <f t="shared" si="29"/>
        <v>110</v>
      </c>
      <c r="DD15" s="67"/>
      <c r="DE15" s="67"/>
      <c r="DF15" s="67"/>
      <c r="DG15" s="67"/>
      <c r="DH15" s="67"/>
      <c r="DI15" s="67"/>
      <c r="DJ15" s="67"/>
      <c r="DK15" s="67"/>
      <c r="DL15" s="67"/>
      <c r="DM15" s="67"/>
      <c r="DN15" s="67"/>
      <c r="DO15" s="67"/>
      <c r="DP15" s="67"/>
      <c r="DQ15" s="67"/>
      <c r="DR15" s="67"/>
      <c r="DS15" s="67"/>
      <c r="DT15" s="67"/>
      <c r="DU15" s="67"/>
      <c r="DV15" s="67"/>
      <c r="DW15" s="67"/>
      <c r="DX15" s="67"/>
    </row>
    <row r="16" spans="1:133" s="26" customFormat="1">
      <c r="B16" s="26" t="s">
        <v>356</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f t="shared" ref="AS16:AU18" si="44">+AR16</f>
        <v>199</v>
      </c>
      <c r="AT16" s="67">
        <f t="shared" si="44"/>
        <v>199</v>
      </c>
      <c r="AU16" s="67">
        <f t="shared" si="44"/>
        <v>199</v>
      </c>
      <c r="AV16" s="67">
        <v>232</v>
      </c>
      <c r="AW16" s="67">
        <f>+AV16</f>
        <v>232</v>
      </c>
      <c r="AX16" s="67">
        <f>+AW16</f>
        <v>232</v>
      </c>
      <c r="AY16" s="67"/>
      <c r="AZ16" s="67">
        <v>259</v>
      </c>
      <c r="BA16" s="67"/>
      <c r="BB16" s="67"/>
      <c r="BC16" s="67"/>
      <c r="BD16" s="67">
        <v>298</v>
      </c>
      <c r="BE16" s="67"/>
      <c r="BF16" s="67"/>
      <c r="BG16" s="67"/>
      <c r="BH16" s="67"/>
      <c r="BI16" s="67"/>
      <c r="BJ16" s="67"/>
      <c r="BK16" s="67"/>
      <c r="BL16" s="67"/>
      <c r="BM16" s="67"/>
      <c r="BN16" s="67"/>
      <c r="BO16" s="67"/>
      <c r="BP16" s="67"/>
      <c r="BQ16" s="67"/>
      <c r="BR16" s="67"/>
      <c r="BS16" s="67"/>
      <c r="BT16" s="67"/>
      <c r="BU16" s="67"/>
      <c r="BV16" s="67">
        <v>448</v>
      </c>
      <c r="BW16" s="67">
        <v>213</v>
      </c>
      <c r="BX16" s="67">
        <v>122</v>
      </c>
      <c r="BY16" s="67">
        <v>109</v>
      </c>
      <c r="BZ16" s="67">
        <v>107</v>
      </c>
      <c r="CA16" s="67">
        <v>123</v>
      </c>
      <c r="CB16" s="67">
        <v>81</v>
      </c>
      <c r="CC16" s="67">
        <v>39</v>
      </c>
      <c r="CD16" s="67">
        <v>45</v>
      </c>
      <c r="CE16" s="67">
        <v>23</v>
      </c>
      <c r="CF16" s="67">
        <v>24</v>
      </c>
      <c r="CG16" s="67">
        <v>19</v>
      </c>
      <c r="CH16" s="67">
        <v>18</v>
      </c>
      <c r="CI16" s="67">
        <v>20</v>
      </c>
      <c r="CJ16" s="67">
        <v>20</v>
      </c>
      <c r="CK16" s="67">
        <v>17</v>
      </c>
      <c r="CL16" s="67">
        <v>7</v>
      </c>
      <c r="CM16" s="67">
        <f t="shared" ref="CM16" si="45">+CI16*0.9</f>
        <v>18</v>
      </c>
      <c r="CN16" s="67">
        <f t="shared" ref="CN16" si="46">+CJ16*0.9</f>
        <v>18</v>
      </c>
      <c r="CO16" s="67">
        <f t="shared" ref="CO16" si="47">+CK16*0.9</f>
        <v>15.3</v>
      </c>
      <c r="CP16" s="67">
        <f t="shared" ref="CP16" si="48">+CL16*0.9</f>
        <v>6.3</v>
      </c>
      <c r="CQ16" s="67"/>
      <c r="CR16" s="67"/>
      <c r="CS16" s="67"/>
      <c r="CT16" s="67"/>
      <c r="CU16" s="67"/>
      <c r="CV16" s="67"/>
      <c r="CW16" s="74">
        <v>67</v>
      </c>
      <c r="CX16" s="74">
        <v>37</v>
      </c>
      <c r="CY16" s="74">
        <f>SUM(S16:V16)</f>
        <v>156</v>
      </c>
      <c r="CZ16" s="67">
        <f t="shared" si="26"/>
        <v>321</v>
      </c>
      <c r="DA16" s="67">
        <f t="shared" si="27"/>
        <v>463</v>
      </c>
      <c r="DB16" s="67">
        <f t="shared" si="28"/>
        <v>597</v>
      </c>
      <c r="DC16" s="67">
        <f t="shared" si="29"/>
        <v>651</v>
      </c>
      <c r="DD16" s="67">
        <f>SUM(AM16:AP16)</f>
        <v>714</v>
      </c>
      <c r="DE16" s="67">
        <f>SUM(AQ16:AT16)</f>
        <v>784</v>
      </c>
      <c r="DF16" s="67">
        <f>DE16*(1+DF68)</f>
        <v>799.68000000000006</v>
      </c>
      <c r="DG16" s="67">
        <f t="shared" ref="DG16:DJ16" si="49">DF16</f>
        <v>799.68000000000006</v>
      </c>
      <c r="DH16" s="67">
        <f t="shared" si="49"/>
        <v>799.68000000000006</v>
      </c>
      <c r="DI16" s="67">
        <f t="shared" si="49"/>
        <v>799.68000000000006</v>
      </c>
      <c r="DJ16" s="67">
        <f t="shared" si="49"/>
        <v>799.68000000000006</v>
      </c>
      <c r="DK16" s="67"/>
      <c r="DL16" s="67"/>
      <c r="DM16" s="67">
        <f t="shared" ref="DM16:DM33" si="50">SUM(BW16:BZ16)</f>
        <v>551</v>
      </c>
      <c r="DN16" s="67">
        <f t="shared" ref="DN16:DN33" si="51">SUM(CA16:CD16)</f>
        <v>288</v>
      </c>
      <c r="DO16" s="67">
        <f t="shared" ref="DO16:DO33" si="52">SUM(CE16:CH16)</f>
        <v>84</v>
      </c>
      <c r="DP16" s="67">
        <f t="shared" ref="DP16:DP34" si="53">SUM(CI16:CL16)</f>
        <v>64</v>
      </c>
      <c r="DQ16" s="67">
        <f t="shared" ref="DQ16:DQ33" si="54">SUM(CM16:CP16)</f>
        <v>57.599999999999994</v>
      </c>
      <c r="DR16" s="67">
        <f>+DQ16*0.9</f>
        <v>51.839999999999996</v>
      </c>
      <c r="DS16" s="67">
        <f t="shared" ref="DS16:EC16" si="55">+DR16*0.9</f>
        <v>46.655999999999999</v>
      </c>
      <c r="DT16" s="67">
        <f t="shared" si="55"/>
        <v>41.990400000000001</v>
      </c>
      <c r="DU16" s="67">
        <f t="shared" si="55"/>
        <v>37.791360000000005</v>
      </c>
      <c r="DV16" s="67">
        <f t="shared" si="55"/>
        <v>34.012224000000003</v>
      </c>
      <c r="DW16" s="67">
        <f t="shared" si="55"/>
        <v>30.611001600000005</v>
      </c>
      <c r="DX16" s="67">
        <f t="shared" si="55"/>
        <v>27.549901440000006</v>
      </c>
      <c r="DY16" s="67">
        <f t="shared" si="55"/>
        <v>24.794911296000006</v>
      </c>
      <c r="DZ16" s="67">
        <f t="shared" si="55"/>
        <v>22.315420166400006</v>
      </c>
      <c r="EA16" s="67">
        <f t="shared" si="55"/>
        <v>20.083878149760007</v>
      </c>
      <c r="EB16" s="67">
        <f t="shared" si="55"/>
        <v>18.075490334784007</v>
      </c>
      <c r="EC16" s="67">
        <f t="shared" si="55"/>
        <v>16.267941301305608</v>
      </c>
    </row>
    <row r="17" spans="2:134" s="26" customFormat="1">
      <c r="B17" s="26" t="s">
        <v>1207</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v>120</v>
      </c>
      <c r="BW17" s="67">
        <v>126</v>
      </c>
      <c r="BX17" s="67">
        <v>168</v>
      </c>
      <c r="BY17" s="67">
        <v>157</v>
      </c>
      <c r="BZ17" s="67">
        <v>179</v>
      </c>
      <c r="CA17" s="67">
        <v>175</v>
      </c>
      <c r="CB17" s="67">
        <v>186</v>
      </c>
      <c r="CC17" s="67">
        <v>183</v>
      </c>
      <c r="CD17" s="67">
        <v>172</v>
      </c>
      <c r="CE17" s="67">
        <v>79</v>
      </c>
      <c r="CF17" s="67">
        <v>71</v>
      </c>
      <c r="CG17" s="67">
        <v>61</v>
      </c>
      <c r="CH17" s="67">
        <v>69</v>
      </c>
      <c r="CI17" s="67">
        <v>86</v>
      </c>
      <c r="CJ17" s="67">
        <v>103</v>
      </c>
      <c r="CK17" s="67">
        <v>100</v>
      </c>
      <c r="CL17" s="67">
        <v>93</v>
      </c>
      <c r="CM17" s="67">
        <f t="shared" ref="CM17" si="56">+CI17*0.9</f>
        <v>77.400000000000006</v>
      </c>
      <c r="CN17" s="67">
        <f t="shared" ref="CN17" si="57">+CJ17*0.9</f>
        <v>92.7</v>
      </c>
      <c r="CO17" s="67">
        <f t="shared" ref="CO17" si="58">+CK17*0.9</f>
        <v>90</v>
      </c>
      <c r="CP17" s="67">
        <f t="shared" ref="CP17" si="59">+CL17*0.9</f>
        <v>83.7</v>
      </c>
      <c r="CQ17" s="67"/>
      <c r="CR17" s="67"/>
      <c r="CS17" s="67"/>
      <c r="CT17" s="67"/>
      <c r="CU17" s="67"/>
      <c r="CV17" s="67"/>
      <c r="CW17" s="74"/>
      <c r="CX17" s="74"/>
      <c r="CY17" s="74"/>
      <c r="CZ17" s="67"/>
      <c r="DA17" s="67"/>
      <c r="DB17" s="67"/>
      <c r="DC17" s="67"/>
      <c r="DD17" s="67"/>
      <c r="DE17" s="67"/>
      <c r="DF17" s="67"/>
      <c r="DG17" s="67"/>
      <c r="DH17" s="67"/>
      <c r="DI17" s="67"/>
      <c r="DJ17" s="67"/>
      <c r="DK17" s="67"/>
      <c r="DL17" s="67"/>
      <c r="DM17" s="67">
        <f t="shared" si="50"/>
        <v>630</v>
      </c>
      <c r="DN17" s="67">
        <f t="shared" si="51"/>
        <v>716</v>
      </c>
      <c r="DO17" s="67">
        <f t="shared" si="52"/>
        <v>280</v>
      </c>
      <c r="DP17" s="67">
        <f t="shared" si="53"/>
        <v>382</v>
      </c>
      <c r="DQ17" s="67">
        <f t="shared" si="54"/>
        <v>343.8</v>
      </c>
      <c r="DR17" s="67">
        <f t="shared" ref="DR17:EC17" si="60">+DQ17*0.9</f>
        <v>309.42</v>
      </c>
      <c r="DS17" s="67">
        <f t="shared" si="60"/>
        <v>278.47800000000001</v>
      </c>
      <c r="DT17" s="67">
        <f t="shared" si="60"/>
        <v>250.6302</v>
      </c>
      <c r="DU17" s="67">
        <f t="shared" si="60"/>
        <v>225.56718000000001</v>
      </c>
      <c r="DV17" s="67">
        <f t="shared" si="60"/>
        <v>203.01046200000002</v>
      </c>
      <c r="DW17" s="67">
        <f t="shared" si="60"/>
        <v>182.70941580000002</v>
      </c>
      <c r="DX17" s="67">
        <f t="shared" si="60"/>
        <v>164.43847422000002</v>
      </c>
      <c r="DY17" s="67">
        <f t="shared" si="60"/>
        <v>147.99462679800001</v>
      </c>
      <c r="DZ17" s="67">
        <f t="shared" si="60"/>
        <v>133.19516411820001</v>
      </c>
      <c r="EA17" s="67">
        <f t="shared" si="60"/>
        <v>119.87564770638001</v>
      </c>
      <c r="EB17" s="67">
        <f t="shared" si="60"/>
        <v>107.88808293574201</v>
      </c>
      <c r="EC17" s="67">
        <f t="shared" si="60"/>
        <v>97.099274642167813</v>
      </c>
    </row>
    <row r="18" spans="2:134" s="26" customFormat="1">
      <c r="B18" s="26" t="s">
        <v>889</v>
      </c>
      <c r="C18" s="67"/>
      <c r="D18" s="67"/>
      <c r="E18" s="67"/>
      <c r="F18" s="67"/>
      <c r="G18" s="67"/>
      <c r="H18" s="67"/>
      <c r="I18" s="67"/>
      <c r="J18" s="67"/>
      <c r="K18" s="67"/>
      <c r="L18" s="67"/>
      <c r="M18" s="67"/>
      <c r="N18" s="67"/>
      <c r="O18" s="67"/>
      <c r="P18" s="67"/>
      <c r="Q18" s="67"/>
      <c r="R18" s="67"/>
      <c r="S18" s="67"/>
      <c r="T18" s="67"/>
      <c r="U18" s="67"/>
      <c r="V18" s="67"/>
      <c r="W18" s="67"/>
      <c r="X18" s="67"/>
      <c r="Y18" s="67"/>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f t="shared" si="44"/>
        <v>81</v>
      </c>
      <c r="AT18" s="67">
        <f t="shared" si="44"/>
        <v>81</v>
      </c>
      <c r="AU18" s="67">
        <f t="shared" si="44"/>
        <v>81</v>
      </c>
      <c r="AV18" s="67">
        <v>90</v>
      </c>
      <c r="AW18" s="67">
        <f>+AV18</f>
        <v>90</v>
      </c>
      <c r="AX18" s="67">
        <f>+AW18</f>
        <v>90</v>
      </c>
      <c r="AY18" s="67"/>
      <c r="AZ18" s="67">
        <v>93</v>
      </c>
      <c r="BA18" s="67"/>
      <c r="BB18" s="67"/>
      <c r="BC18" s="67"/>
      <c r="BD18" s="67">
        <v>132</v>
      </c>
      <c r="BE18" s="67"/>
      <c r="BF18" s="67"/>
      <c r="BG18" s="67"/>
      <c r="BH18" s="67"/>
      <c r="BI18" s="67"/>
      <c r="BJ18" s="67"/>
      <c r="BK18" s="67"/>
      <c r="BL18" s="67"/>
      <c r="BM18" s="67"/>
      <c r="BN18" s="67"/>
      <c r="BO18" s="67"/>
      <c r="BP18" s="67"/>
      <c r="BQ18" s="67"/>
      <c r="BR18" s="67"/>
      <c r="BS18" s="67"/>
      <c r="BT18" s="67"/>
      <c r="BU18" s="67"/>
      <c r="BV18" s="67">
        <v>168</v>
      </c>
      <c r="BW18" s="67">
        <v>170</v>
      </c>
      <c r="BX18" s="67">
        <v>196</v>
      </c>
      <c r="BY18" s="67">
        <v>196</v>
      </c>
      <c r="BZ18" s="67">
        <v>182</v>
      </c>
      <c r="CA18" s="67">
        <v>202</v>
      </c>
      <c r="CB18" s="67">
        <v>195</v>
      </c>
      <c r="CC18" s="67">
        <v>193</v>
      </c>
      <c r="CD18" s="67">
        <v>221</v>
      </c>
      <c r="CE18" s="67">
        <v>191</v>
      </c>
      <c r="CF18" s="67">
        <v>239</v>
      </c>
      <c r="CG18" s="67">
        <v>200</v>
      </c>
      <c r="CH18" s="67">
        <v>243</v>
      </c>
      <c r="CI18" s="67">
        <v>201</v>
      </c>
      <c r="CJ18" s="67">
        <v>207</v>
      </c>
      <c r="CK18" s="67">
        <v>247</v>
      </c>
      <c r="CL18" s="67">
        <v>238</v>
      </c>
      <c r="CM18" s="67">
        <f t="shared" ref="CM18:CP18" si="61">+CI18*1.01</f>
        <v>203.01</v>
      </c>
      <c r="CN18" s="67">
        <f t="shared" si="61"/>
        <v>209.07</v>
      </c>
      <c r="CO18" s="67">
        <f t="shared" si="61"/>
        <v>249.47</v>
      </c>
      <c r="CP18" s="67">
        <f t="shared" si="61"/>
        <v>240.38</v>
      </c>
      <c r="CQ18" s="67"/>
      <c r="CR18" s="67"/>
      <c r="CS18" s="67"/>
      <c r="CT18" s="67"/>
      <c r="CU18" s="67"/>
      <c r="CV18" s="67"/>
      <c r="CW18" s="67"/>
      <c r="CX18" s="67"/>
      <c r="CY18" s="67"/>
      <c r="CZ18" s="67">
        <f t="shared" si="26"/>
        <v>39</v>
      </c>
      <c r="DA18" s="67">
        <f t="shared" si="27"/>
        <v>170</v>
      </c>
      <c r="DB18" s="67">
        <f t="shared" si="28"/>
        <v>153</v>
      </c>
      <c r="DC18" s="67">
        <f t="shared" si="29"/>
        <v>233</v>
      </c>
      <c r="DD18" s="67">
        <f>SUM(AM18:AP18)</f>
        <v>288</v>
      </c>
      <c r="DE18" s="67">
        <f>SUM(AQ18:AT18)</f>
        <v>318</v>
      </c>
      <c r="DF18" s="67">
        <f>DE18*(1+DF66)</f>
        <v>333.90000000000003</v>
      </c>
      <c r="DG18" s="67">
        <f>DF18*(1+DG66)</f>
        <v>333.90000000000003</v>
      </c>
      <c r="DH18" s="67">
        <f>DG18*(1+DH66)</f>
        <v>333.90000000000003</v>
      </c>
      <c r="DI18" s="67"/>
      <c r="DJ18" s="67"/>
      <c r="DK18" s="67"/>
      <c r="DL18" s="67"/>
      <c r="DM18" s="67">
        <f t="shared" si="50"/>
        <v>744</v>
      </c>
      <c r="DN18" s="67">
        <f t="shared" si="51"/>
        <v>811</v>
      </c>
      <c r="DO18" s="67">
        <f t="shared" si="52"/>
        <v>873</v>
      </c>
      <c r="DP18" s="67">
        <f t="shared" si="53"/>
        <v>893</v>
      </c>
      <c r="DQ18" s="67">
        <f t="shared" si="54"/>
        <v>901.93</v>
      </c>
      <c r="DR18" s="67">
        <f>+DQ18*1.01</f>
        <v>910.94929999999999</v>
      </c>
      <c r="DS18" s="67">
        <f t="shared" ref="DS18:EC18" si="62">+DR18*1.01</f>
        <v>920.05879300000004</v>
      </c>
      <c r="DT18" s="67">
        <f t="shared" si="62"/>
        <v>929.25938093000002</v>
      </c>
      <c r="DU18" s="67">
        <f t="shared" si="62"/>
        <v>938.55197473930002</v>
      </c>
      <c r="DV18" s="67">
        <f t="shared" si="62"/>
        <v>947.93749448669303</v>
      </c>
      <c r="DW18" s="67">
        <f t="shared" si="62"/>
        <v>957.41686943155992</v>
      </c>
      <c r="DX18" s="67">
        <f t="shared" si="62"/>
        <v>966.99103812587555</v>
      </c>
      <c r="DY18" s="67">
        <f t="shared" si="62"/>
        <v>976.66094850713432</v>
      </c>
      <c r="DZ18" s="67">
        <f t="shared" si="62"/>
        <v>986.42755799220572</v>
      </c>
      <c r="EA18" s="67">
        <f t="shared" si="62"/>
        <v>996.29183357212776</v>
      </c>
      <c r="EB18" s="67">
        <f t="shared" si="62"/>
        <v>1006.254751907849</v>
      </c>
      <c r="EC18" s="67">
        <f t="shared" si="62"/>
        <v>1016.3172994269275</v>
      </c>
    </row>
    <row r="19" spans="2:134" s="26" customFormat="1">
      <c r="B19" s="26" t="s">
        <v>1114</v>
      </c>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v>3</v>
      </c>
      <c r="AO19" s="67">
        <v>10</v>
      </c>
      <c r="AP19" s="67">
        <f>16+4</f>
        <v>20</v>
      </c>
      <c r="AQ19" s="67">
        <f>17+10</f>
        <v>27</v>
      </c>
      <c r="AR19" s="67">
        <f>30+14</f>
        <v>44</v>
      </c>
      <c r="AS19" s="67">
        <f t="shared" ref="AS19:AU20" si="63">+AR19+5</f>
        <v>49</v>
      </c>
      <c r="AT19" s="67">
        <f t="shared" si="63"/>
        <v>54</v>
      </c>
      <c r="AU19" s="67">
        <f t="shared" si="63"/>
        <v>59</v>
      </c>
      <c r="AV19" s="67">
        <v>120</v>
      </c>
      <c r="AW19" s="67">
        <f>+AV19+5</f>
        <v>125</v>
      </c>
      <c r="AX19" s="67">
        <f>+AW19+5</f>
        <v>130</v>
      </c>
      <c r="AY19" s="67"/>
      <c r="AZ19" s="67">
        <v>188</v>
      </c>
      <c r="BA19" s="67"/>
      <c r="BB19" s="67"/>
      <c r="BC19" s="67"/>
      <c r="BD19" s="67">
        <v>264</v>
      </c>
      <c r="BE19" s="67"/>
      <c r="BF19" s="67"/>
      <c r="BG19" s="67"/>
      <c r="BH19" s="67"/>
      <c r="BI19" s="67"/>
      <c r="BJ19" s="67"/>
      <c r="BK19" s="67"/>
      <c r="BL19" s="67"/>
      <c r="BM19" s="67"/>
      <c r="BN19" s="67"/>
      <c r="BO19" s="67"/>
      <c r="BP19" s="67"/>
      <c r="BQ19" s="67"/>
      <c r="BR19" s="67"/>
      <c r="BS19" s="67"/>
      <c r="BT19" s="67"/>
      <c r="BU19" s="67"/>
      <c r="BV19" s="67">
        <v>655</v>
      </c>
      <c r="BW19" s="67">
        <v>592</v>
      </c>
      <c r="BX19" s="67">
        <v>698</v>
      </c>
      <c r="BY19" s="67">
        <v>630</v>
      </c>
      <c r="BZ19" s="67">
        <v>752</v>
      </c>
      <c r="CA19" s="67">
        <v>654</v>
      </c>
      <c r="CB19" s="67">
        <v>659</v>
      </c>
      <c r="CC19" s="67">
        <v>701</v>
      </c>
      <c r="CD19" s="67">
        <v>749</v>
      </c>
      <c r="CE19" s="67">
        <v>758</v>
      </c>
      <c r="CF19" s="67">
        <v>814</v>
      </c>
      <c r="CG19" s="67">
        <v>803</v>
      </c>
      <c r="CH19" s="67">
        <v>873</v>
      </c>
      <c r="CI19" s="67">
        <v>852</v>
      </c>
      <c r="CJ19" s="67">
        <v>922</v>
      </c>
      <c r="CK19" s="67">
        <v>862</v>
      </c>
      <c r="CL19" s="109">
        <v>992</v>
      </c>
      <c r="CM19" s="67">
        <f t="shared" ref="CM19:CP19" si="64">+CI19*1.09</f>
        <v>928.68000000000006</v>
      </c>
      <c r="CN19" s="67">
        <f t="shared" si="64"/>
        <v>1004.98</v>
      </c>
      <c r="CO19" s="67">
        <f t="shared" si="64"/>
        <v>939.58</v>
      </c>
      <c r="CP19" s="67">
        <f t="shared" si="64"/>
        <v>1081.28</v>
      </c>
      <c r="CQ19" s="67"/>
      <c r="CR19" s="67"/>
      <c r="CS19" s="67"/>
      <c r="CT19" s="67"/>
      <c r="CU19" s="67"/>
      <c r="CV19" s="67"/>
      <c r="CW19" s="67"/>
      <c r="CX19" s="67"/>
      <c r="CY19" s="67"/>
      <c r="CZ19" s="67"/>
      <c r="DA19" s="67"/>
      <c r="DB19" s="67"/>
      <c r="DC19" s="67"/>
      <c r="DD19" s="67">
        <f>SUM(AM19:AP19)</f>
        <v>33</v>
      </c>
      <c r="DE19" s="67">
        <f>SUM(AQ19:AT19)</f>
        <v>174</v>
      </c>
      <c r="DF19" s="67"/>
      <c r="DG19" s="67"/>
      <c r="DH19" s="67"/>
      <c r="DI19" s="67"/>
      <c r="DJ19" s="67"/>
      <c r="DK19" s="67"/>
      <c r="DL19" s="67"/>
      <c r="DM19" s="67">
        <f t="shared" si="50"/>
        <v>2672</v>
      </c>
      <c r="DN19" s="67">
        <f t="shared" si="51"/>
        <v>2763</v>
      </c>
      <c r="DO19" s="67">
        <f t="shared" si="52"/>
        <v>3248</v>
      </c>
      <c r="DP19" s="67">
        <f t="shared" si="53"/>
        <v>3628</v>
      </c>
      <c r="DQ19" s="67">
        <f t="shared" si="54"/>
        <v>3954.5200000000004</v>
      </c>
      <c r="DR19" s="67">
        <f t="shared" ref="DR19:DW19" si="65">+DQ19*1.1</f>
        <v>4349.9720000000007</v>
      </c>
      <c r="DS19" s="67">
        <f t="shared" si="65"/>
        <v>4784.9692000000014</v>
      </c>
      <c r="DT19" s="67">
        <f t="shared" si="65"/>
        <v>5263.4661200000019</v>
      </c>
      <c r="DU19" s="67">
        <f t="shared" si="65"/>
        <v>5789.8127320000021</v>
      </c>
      <c r="DV19" s="67">
        <f t="shared" si="65"/>
        <v>6368.7940052000031</v>
      </c>
      <c r="DW19" s="67">
        <f t="shared" si="65"/>
        <v>7005.6734057200038</v>
      </c>
      <c r="DX19" s="67">
        <f t="shared" ref="DX19:EC19" si="66">+DW19*0.5</f>
        <v>3502.8367028600019</v>
      </c>
      <c r="DY19" s="67">
        <f t="shared" si="66"/>
        <v>1751.4183514300009</v>
      </c>
      <c r="DZ19" s="67">
        <f t="shared" si="66"/>
        <v>875.70917571500047</v>
      </c>
      <c r="EA19" s="67">
        <f t="shared" si="66"/>
        <v>437.85458785750023</v>
      </c>
      <c r="EB19" s="67">
        <f t="shared" si="66"/>
        <v>218.92729392875012</v>
      </c>
      <c r="EC19" s="67">
        <f t="shared" si="66"/>
        <v>109.46364696437506</v>
      </c>
    </row>
    <row r="20" spans="2:134" s="26" customFormat="1">
      <c r="B20" s="98" t="s">
        <v>1123</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v>8</v>
      </c>
      <c r="AQ20" s="67">
        <v>42</v>
      </c>
      <c r="AR20" s="67">
        <v>73</v>
      </c>
      <c r="AS20" s="67">
        <f t="shared" si="63"/>
        <v>78</v>
      </c>
      <c r="AT20" s="67">
        <f t="shared" si="63"/>
        <v>83</v>
      </c>
      <c r="AU20" s="67">
        <f t="shared" si="63"/>
        <v>88</v>
      </c>
      <c r="AV20" s="67">
        <v>179</v>
      </c>
      <c r="AW20" s="67">
        <f>+AV20+5</f>
        <v>184</v>
      </c>
      <c r="AX20" s="67">
        <f>+AW20+5</f>
        <v>189</v>
      </c>
      <c r="AY20" s="67"/>
      <c r="AZ20" s="67">
        <v>249</v>
      </c>
      <c r="BA20" s="67"/>
      <c r="BB20" s="67"/>
      <c r="BC20" s="67"/>
      <c r="BD20" s="67">
        <v>299</v>
      </c>
      <c r="BE20" s="67"/>
      <c r="BF20" s="67"/>
      <c r="BG20" s="67"/>
      <c r="BH20" s="67"/>
      <c r="BI20" s="67"/>
      <c r="BJ20" s="67"/>
      <c r="BK20" s="67"/>
      <c r="BL20" s="67"/>
      <c r="BM20" s="67"/>
      <c r="BN20" s="67"/>
      <c r="BO20" s="67"/>
      <c r="BP20" s="67"/>
      <c r="BQ20" s="67"/>
      <c r="BR20" s="67"/>
      <c r="BS20" s="67"/>
      <c r="BT20" s="67"/>
      <c r="BU20" s="67"/>
      <c r="BV20" s="67">
        <v>456</v>
      </c>
      <c r="BW20" s="67">
        <v>471</v>
      </c>
      <c r="BX20" s="67">
        <v>499</v>
      </c>
      <c r="BY20" s="67">
        <v>476</v>
      </c>
      <c r="BZ20" s="67">
        <v>489</v>
      </c>
      <c r="CA20" s="67">
        <v>481</v>
      </c>
      <c r="CB20" s="67">
        <v>435</v>
      </c>
      <c r="CC20" s="67">
        <v>481</v>
      </c>
      <c r="CD20" s="67">
        <v>502</v>
      </c>
      <c r="CE20" s="67">
        <v>468</v>
      </c>
      <c r="CF20" s="67">
        <v>488</v>
      </c>
      <c r="CG20" s="67">
        <v>517</v>
      </c>
      <c r="CH20" s="67">
        <v>545</v>
      </c>
      <c r="CI20" s="67">
        <v>502</v>
      </c>
      <c r="CJ20" s="67">
        <v>533</v>
      </c>
      <c r="CK20" s="67">
        <v>495</v>
      </c>
      <c r="CL20" s="109">
        <v>484</v>
      </c>
      <c r="CM20" s="67">
        <f t="shared" ref="CM20:CM21" si="67">+CI20*1.05</f>
        <v>527.1</v>
      </c>
      <c r="CN20" s="67">
        <f t="shared" ref="CN20:CN21" si="68">+CJ20*1.05</f>
        <v>559.65</v>
      </c>
      <c r="CO20" s="67">
        <f t="shared" ref="CO20:CO21" si="69">+CK20*1.05</f>
        <v>519.75</v>
      </c>
      <c r="CP20" s="67">
        <f t="shared" ref="CP20:CP21" si="70">+CL20*1.05</f>
        <v>508.20000000000005</v>
      </c>
      <c r="CQ20" s="67"/>
      <c r="CR20" s="67"/>
      <c r="CS20" s="67"/>
      <c r="CT20" s="67"/>
      <c r="CU20" s="67"/>
      <c r="CV20" s="67"/>
      <c r="CW20" s="67"/>
      <c r="CX20" s="67"/>
      <c r="CY20" s="67"/>
      <c r="CZ20" s="67"/>
      <c r="DA20" s="67"/>
      <c r="DB20" s="67"/>
      <c r="DC20" s="67"/>
      <c r="DD20" s="67">
        <v>8</v>
      </c>
      <c r="DE20" s="67">
        <f>SUM(AQ20:AT20)</f>
        <v>276</v>
      </c>
      <c r="DF20" s="67">
        <f>+DE20*1.5</f>
        <v>414</v>
      </c>
      <c r="DG20" s="67">
        <f>+DF20*1.5</f>
        <v>621</v>
      </c>
      <c r="DH20" s="67">
        <f>+DG20*1.5</f>
        <v>931.5</v>
      </c>
      <c r="DI20" s="67">
        <f>+DH20*1.5</f>
        <v>1397.25</v>
      </c>
      <c r="DJ20" s="67">
        <f>+DI20*1.5</f>
        <v>2095.875</v>
      </c>
      <c r="DK20" s="67"/>
      <c r="DL20" s="67"/>
      <c r="DM20" s="67">
        <f t="shared" si="50"/>
        <v>1935</v>
      </c>
      <c r="DN20" s="67">
        <f t="shared" si="51"/>
        <v>1899</v>
      </c>
      <c r="DO20" s="67">
        <f t="shared" si="52"/>
        <v>2018</v>
      </c>
      <c r="DP20" s="67">
        <f t="shared" si="53"/>
        <v>2014</v>
      </c>
      <c r="DQ20" s="67">
        <f t="shared" si="54"/>
        <v>2114.6999999999998</v>
      </c>
      <c r="DR20" s="67">
        <f t="shared" ref="DR20:DW20" si="71">+DQ20*0.99</f>
        <v>2093.5529999999999</v>
      </c>
      <c r="DS20" s="67">
        <f t="shared" si="71"/>
        <v>2072.6174699999997</v>
      </c>
      <c r="DT20" s="67">
        <f t="shared" si="71"/>
        <v>2051.8912952999995</v>
      </c>
      <c r="DU20" s="67">
        <f t="shared" si="71"/>
        <v>2031.3723823469995</v>
      </c>
      <c r="DV20" s="67">
        <f t="shared" si="71"/>
        <v>2011.0586585235296</v>
      </c>
      <c r="DW20" s="67">
        <f t="shared" si="71"/>
        <v>1990.9480719382943</v>
      </c>
      <c r="DX20" s="67">
        <f>+DW20*0.5</f>
        <v>995.47403596914717</v>
      </c>
      <c r="DY20" s="67">
        <f t="shared" ref="DY20:EC20" si="72">+DX20*0.5</f>
        <v>497.73701798457358</v>
      </c>
      <c r="DZ20" s="67">
        <f t="shared" si="72"/>
        <v>248.86850899228679</v>
      </c>
      <c r="EA20" s="67">
        <f t="shared" si="72"/>
        <v>124.4342544961434</v>
      </c>
      <c r="EB20" s="67">
        <f t="shared" si="72"/>
        <v>62.217127248071698</v>
      </c>
      <c r="EC20" s="67">
        <f t="shared" si="72"/>
        <v>31.108563624035849</v>
      </c>
    </row>
    <row r="21" spans="2:134" s="26" customFormat="1">
      <c r="B21" s="98" t="s">
        <v>1201</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v>0</v>
      </c>
      <c r="BW21" s="67">
        <v>0</v>
      </c>
      <c r="BX21" s="67">
        <v>0</v>
      </c>
      <c r="BY21" s="67">
        <v>0</v>
      </c>
      <c r="BZ21" s="67">
        <v>178</v>
      </c>
      <c r="CA21" s="67">
        <v>479</v>
      </c>
      <c r="CB21" s="67">
        <v>561</v>
      </c>
      <c r="CC21" s="67">
        <v>538</v>
      </c>
      <c r="CD21" s="67">
        <v>617</v>
      </c>
      <c r="CE21" s="67">
        <v>476</v>
      </c>
      <c r="CF21" s="67">
        <v>534</v>
      </c>
      <c r="CG21" s="67">
        <v>609</v>
      </c>
      <c r="CH21" s="67">
        <v>630</v>
      </c>
      <c r="CI21" s="67">
        <v>451</v>
      </c>
      <c r="CJ21" s="67">
        <v>594</v>
      </c>
      <c r="CK21" s="67">
        <v>627</v>
      </c>
      <c r="CL21" s="109">
        <v>616</v>
      </c>
      <c r="CM21" s="67">
        <f t="shared" si="67"/>
        <v>473.55</v>
      </c>
      <c r="CN21" s="67">
        <f t="shared" si="68"/>
        <v>623.70000000000005</v>
      </c>
      <c r="CO21" s="67">
        <f t="shared" si="69"/>
        <v>658.35</v>
      </c>
      <c r="CP21" s="67">
        <f t="shared" si="70"/>
        <v>646.80000000000007</v>
      </c>
      <c r="CQ21" s="67"/>
      <c r="CR21" s="67"/>
      <c r="CS21" s="67"/>
      <c r="CT21" s="67"/>
      <c r="CU21" s="67"/>
      <c r="CV21" s="67"/>
      <c r="CW21" s="67"/>
      <c r="CX21" s="67"/>
      <c r="CY21" s="67"/>
      <c r="CZ21" s="67"/>
      <c r="DA21" s="67"/>
      <c r="DB21" s="67"/>
      <c r="DC21" s="67"/>
      <c r="DD21" s="67"/>
      <c r="DE21" s="67"/>
      <c r="DF21" s="67"/>
      <c r="DG21" s="67"/>
      <c r="DH21" s="67"/>
      <c r="DI21" s="67"/>
      <c r="DJ21" s="67"/>
      <c r="DK21" s="67"/>
      <c r="DL21" s="67"/>
      <c r="DM21" s="67">
        <f t="shared" si="50"/>
        <v>178</v>
      </c>
      <c r="DN21" s="67">
        <f t="shared" si="51"/>
        <v>2195</v>
      </c>
      <c r="DO21" s="67">
        <f t="shared" si="52"/>
        <v>2249</v>
      </c>
      <c r="DP21" s="67">
        <f t="shared" si="53"/>
        <v>2288</v>
      </c>
      <c r="DQ21" s="67">
        <f t="shared" si="54"/>
        <v>2402.4</v>
      </c>
      <c r="DR21" s="67">
        <f>+DQ21*1.05</f>
        <v>2522.52</v>
      </c>
      <c r="DS21" s="67">
        <f t="shared" ref="DS21:DU21" si="73">+DR21*1.05</f>
        <v>2648.6460000000002</v>
      </c>
      <c r="DT21" s="67">
        <f t="shared" si="73"/>
        <v>2781.0783000000001</v>
      </c>
      <c r="DU21" s="67">
        <f t="shared" si="73"/>
        <v>2920.1322150000001</v>
      </c>
      <c r="DV21" s="67">
        <f>+DU21*0.7</f>
        <v>2044.0925505</v>
      </c>
      <c r="DW21" s="67">
        <f t="shared" ref="DW21:EC21" si="74">+DV21*0.2</f>
        <v>408.81851010000003</v>
      </c>
      <c r="DX21" s="67">
        <f t="shared" si="74"/>
        <v>81.763702020000011</v>
      </c>
      <c r="DY21" s="67">
        <f t="shared" si="74"/>
        <v>16.352740404000002</v>
      </c>
      <c r="DZ21" s="67">
        <f t="shared" si="74"/>
        <v>3.2705480808000007</v>
      </c>
      <c r="EA21" s="67">
        <f t="shared" si="74"/>
        <v>0.65410961616000018</v>
      </c>
      <c r="EB21" s="67">
        <f t="shared" si="74"/>
        <v>0.13082192323200004</v>
      </c>
      <c r="EC21" s="67">
        <f t="shared" si="74"/>
        <v>2.6164384646400009E-2</v>
      </c>
      <c r="ED21" s="67"/>
    </row>
    <row r="22" spans="2:134" s="26" customFormat="1">
      <c r="B22" s="98" t="s">
        <v>1197</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v>0</v>
      </c>
      <c r="BW22" s="67">
        <v>17</v>
      </c>
      <c r="BX22" s="67">
        <v>28</v>
      </c>
      <c r="BY22" s="67">
        <v>59</v>
      </c>
      <c r="BZ22" s="67">
        <v>85</v>
      </c>
      <c r="CA22" s="67">
        <v>100</v>
      </c>
      <c r="CB22" s="67">
        <v>101</v>
      </c>
      <c r="CC22" s="67">
        <v>59</v>
      </c>
      <c r="CD22" s="67">
        <v>90</v>
      </c>
      <c r="CE22" s="67">
        <v>107</v>
      </c>
      <c r="CF22" s="67">
        <v>131</v>
      </c>
      <c r="CG22" s="67">
        <v>149</v>
      </c>
      <c r="CH22" s="67">
        <v>143</v>
      </c>
      <c r="CI22" s="67">
        <v>170</v>
      </c>
      <c r="CJ22" s="67">
        <v>191</v>
      </c>
      <c r="CK22" s="67">
        <v>201</v>
      </c>
      <c r="CL22" s="109">
        <v>225</v>
      </c>
      <c r="CM22" s="67">
        <f t="shared" ref="CM22:CP22" si="75">+CL22+10</f>
        <v>235</v>
      </c>
      <c r="CN22" s="67">
        <f t="shared" si="75"/>
        <v>245</v>
      </c>
      <c r="CO22" s="67">
        <f t="shared" si="75"/>
        <v>255</v>
      </c>
      <c r="CP22" s="67">
        <f t="shared" si="75"/>
        <v>265</v>
      </c>
      <c r="CQ22" s="67"/>
      <c r="CR22" s="67"/>
      <c r="CS22" s="67"/>
      <c r="CT22" s="67"/>
      <c r="CU22" s="67"/>
      <c r="CV22" s="67"/>
      <c r="CW22" s="67"/>
      <c r="CX22" s="67"/>
      <c r="CY22" s="67"/>
      <c r="CZ22" s="67"/>
      <c r="DA22" s="67"/>
      <c r="DB22" s="67"/>
      <c r="DC22" s="67"/>
      <c r="DD22" s="67"/>
      <c r="DE22" s="67"/>
      <c r="DF22" s="67"/>
      <c r="DG22" s="67"/>
      <c r="DH22" s="67"/>
      <c r="DI22" s="67"/>
      <c r="DJ22" s="67"/>
      <c r="DK22" s="67"/>
      <c r="DL22" s="67"/>
      <c r="DM22" s="67">
        <f t="shared" si="50"/>
        <v>189</v>
      </c>
      <c r="DN22" s="67">
        <f t="shared" si="51"/>
        <v>350</v>
      </c>
      <c r="DO22" s="67">
        <f t="shared" si="52"/>
        <v>530</v>
      </c>
      <c r="DP22" s="67">
        <f t="shared" si="53"/>
        <v>787</v>
      </c>
      <c r="DQ22" s="67">
        <f t="shared" si="54"/>
        <v>1000</v>
      </c>
      <c r="DR22" s="67">
        <f>+DQ22*1.2</f>
        <v>1200</v>
      </c>
      <c r="DS22" s="67">
        <f>+DR22*1.1</f>
        <v>1320</v>
      </c>
      <c r="DT22" s="67">
        <f>+DS22*1.1</f>
        <v>1452.0000000000002</v>
      </c>
      <c r="DU22" s="67">
        <f>+DT22*1.1</f>
        <v>1597.2000000000003</v>
      </c>
      <c r="DV22" s="67">
        <f t="shared" ref="DV22:EB22" si="76">+DU22*1.05</f>
        <v>1677.0600000000004</v>
      </c>
      <c r="DW22" s="67">
        <f t="shared" si="76"/>
        <v>1760.9130000000005</v>
      </c>
      <c r="DX22" s="67">
        <f t="shared" si="76"/>
        <v>1848.9586500000005</v>
      </c>
      <c r="DY22" s="67">
        <f t="shared" si="76"/>
        <v>1941.4065825000007</v>
      </c>
      <c r="DZ22" s="67">
        <f t="shared" si="76"/>
        <v>2038.4769116250009</v>
      </c>
      <c r="EA22" s="67">
        <f t="shared" si="76"/>
        <v>2140.400757206251</v>
      </c>
      <c r="EB22" s="67">
        <f t="shared" si="76"/>
        <v>2247.4207950665636</v>
      </c>
      <c r="EC22" s="67">
        <f>+EB22*0.1</f>
        <v>224.74207950665638</v>
      </c>
    </row>
    <row r="23" spans="2:134" s="26" customFormat="1">
      <c r="B23" s="98" t="s">
        <v>1198</v>
      </c>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v>159</v>
      </c>
      <c r="BW23" s="67">
        <v>141</v>
      </c>
      <c r="BX23" s="67">
        <v>152</v>
      </c>
      <c r="BY23" s="67">
        <v>168</v>
      </c>
      <c r="BZ23" s="67">
        <v>200</v>
      </c>
      <c r="CA23" s="67">
        <v>229</v>
      </c>
      <c r="CB23" s="67">
        <v>200</v>
      </c>
      <c r="CC23" s="67">
        <v>205</v>
      </c>
      <c r="CD23" s="67">
        <v>253</v>
      </c>
      <c r="CE23" s="67">
        <v>286</v>
      </c>
      <c r="CF23" s="67">
        <v>286</v>
      </c>
      <c r="CG23" s="67">
        <v>272</v>
      </c>
      <c r="CH23" s="67">
        <v>273</v>
      </c>
      <c r="CI23" s="67">
        <v>329</v>
      </c>
      <c r="CJ23" s="67">
        <v>325</v>
      </c>
      <c r="CK23" s="67">
        <v>309</v>
      </c>
      <c r="CL23" s="109">
        <v>333</v>
      </c>
      <c r="CM23" s="67">
        <f t="shared" ref="CM23:CP23" si="77">+CI23*1.2</f>
        <v>394.8</v>
      </c>
      <c r="CN23" s="67">
        <f t="shared" si="77"/>
        <v>390</v>
      </c>
      <c r="CO23" s="67">
        <f t="shared" si="77"/>
        <v>370.8</v>
      </c>
      <c r="CP23" s="67">
        <f t="shared" si="77"/>
        <v>399.59999999999997</v>
      </c>
      <c r="CQ23" s="67"/>
      <c r="CR23" s="67"/>
      <c r="CS23" s="67"/>
      <c r="CT23" s="67"/>
      <c r="CU23" s="67"/>
      <c r="CV23" s="67"/>
      <c r="CW23" s="67"/>
      <c r="CX23" s="67"/>
      <c r="CY23" s="67"/>
      <c r="CZ23" s="67"/>
      <c r="DA23" s="67"/>
      <c r="DB23" s="67"/>
      <c r="DC23" s="67"/>
      <c r="DD23" s="67"/>
      <c r="DE23" s="67"/>
      <c r="DF23" s="67"/>
      <c r="DG23" s="67"/>
      <c r="DH23" s="67"/>
      <c r="DI23" s="67"/>
      <c r="DJ23" s="67"/>
      <c r="DK23" s="67"/>
      <c r="DL23" s="67"/>
      <c r="DM23" s="67">
        <f t="shared" si="50"/>
        <v>661</v>
      </c>
      <c r="DN23" s="67">
        <f t="shared" si="51"/>
        <v>887</v>
      </c>
      <c r="DO23" s="67">
        <f t="shared" si="52"/>
        <v>1117</v>
      </c>
      <c r="DP23" s="67">
        <f t="shared" si="53"/>
        <v>1296</v>
      </c>
      <c r="DQ23" s="67">
        <f t="shared" si="54"/>
        <v>1555.1999999999998</v>
      </c>
      <c r="DR23" s="67">
        <f t="shared" ref="DR23" si="78">+DQ23*1.2</f>
        <v>1866.2399999999998</v>
      </c>
      <c r="DS23" s="67">
        <f t="shared" ref="DS23:DU23" si="79">+DR23*1.1</f>
        <v>2052.864</v>
      </c>
      <c r="DT23" s="67">
        <f t="shared" si="79"/>
        <v>2258.1504000000004</v>
      </c>
      <c r="DU23" s="67">
        <f t="shared" si="79"/>
        <v>2483.9654400000009</v>
      </c>
      <c r="DV23" s="67">
        <f t="shared" ref="DV23:EB23" si="80">+DU23*1.05</f>
        <v>2608.1637120000009</v>
      </c>
      <c r="DW23" s="67">
        <f t="shared" si="80"/>
        <v>2738.5718976000012</v>
      </c>
      <c r="DX23" s="67">
        <f t="shared" si="80"/>
        <v>2875.5004924800014</v>
      </c>
      <c r="DY23" s="67">
        <f t="shared" si="80"/>
        <v>3019.2755171040017</v>
      </c>
      <c r="DZ23" s="67">
        <f t="shared" si="80"/>
        <v>3170.239292959202</v>
      </c>
      <c r="EA23" s="67">
        <f t="shared" si="80"/>
        <v>3328.7512576071622</v>
      </c>
      <c r="EB23" s="67">
        <f t="shared" si="80"/>
        <v>3495.1888204875204</v>
      </c>
      <c r="EC23" s="67">
        <f t="shared" ref="EC23" si="81">+EB23*0.1</f>
        <v>349.51888204875206</v>
      </c>
    </row>
    <row r="24" spans="2:134" s="26" customFormat="1">
      <c r="B24" s="98" t="s">
        <v>1199</v>
      </c>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v>95</v>
      </c>
      <c r="BW24" s="67">
        <v>59</v>
      </c>
      <c r="BX24" s="67">
        <v>83</v>
      </c>
      <c r="BY24" s="67">
        <v>66</v>
      </c>
      <c r="BZ24" s="67">
        <v>98</v>
      </c>
      <c r="CA24" s="67">
        <v>71</v>
      </c>
      <c r="CB24" s="67">
        <v>98</v>
      </c>
      <c r="CC24" s="67">
        <v>105</v>
      </c>
      <c r="CD24" s="67">
        <v>104</v>
      </c>
      <c r="CE24" s="67">
        <v>66</v>
      </c>
      <c r="CF24" s="67">
        <v>82</v>
      </c>
      <c r="CG24" s="67">
        <v>79</v>
      </c>
      <c r="CH24" s="67">
        <v>90</v>
      </c>
      <c r="CI24" s="67">
        <v>101</v>
      </c>
      <c r="CJ24" s="67">
        <v>92</v>
      </c>
      <c r="CK24" s="67">
        <v>107</v>
      </c>
      <c r="CL24" s="109">
        <v>114</v>
      </c>
      <c r="CM24" s="67">
        <f t="shared" ref="CM24:CP24" si="82">+CI24</f>
        <v>101</v>
      </c>
      <c r="CN24" s="67">
        <f t="shared" si="82"/>
        <v>92</v>
      </c>
      <c r="CO24" s="67">
        <f t="shared" si="82"/>
        <v>107</v>
      </c>
      <c r="CP24" s="67">
        <f t="shared" si="82"/>
        <v>114</v>
      </c>
      <c r="CQ24" s="67"/>
      <c r="CR24" s="67"/>
      <c r="CS24" s="67"/>
      <c r="CT24" s="67"/>
      <c r="CU24" s="67"/>
      <c r="CV24" s="67"/>
      <c r="CW24" s="67"/>
      <c r="CX24" s="67"/>
      <c r="CY24" s="67"/>
      <c r="CZ24" s="67"/>
      <c r="DA24" s="67"/>
      <c r="DB24" s="67"/>
      <c r="DC24" s="67"/>
      <c r="DD24" s="67"/>
      <c r="DE24" s="67"/>
      <c r="DF24" s="67"/>
      <c r="DG24" s="67"/>
      <c r="DH24" s="67"/>
      <c r="DI24" s="67"/>
      <c r="DJ24" s="67"/>
      <c r="DK24" s="67"/>
      <c r="DL24" s="67"/>
      <c r="DM24" s="67">
        <f t="shared" si="50"/>
        <v>306</v>
      </c>
      <c r="DN24" s="67">
        <f t="shared" si="51"/>
        <v>378</v>
      </c>
      <c r="DO24" s="67">
        <f t="shared" si="52"/>
        <v>317</v>
      </c>
      <c r="DP24" s="67">
        <f t="shared" si="53"/>
        <v>414</v>
      </c>
      <c r="DQ24" s="67">
        <f t="shared" si="54"/>
        <v>414</v>
      </c>
      <c r="DR24" s="67">
        <f>+DQ24*1.01</f>
        <v>418.14</v>
      </c>
      <c r="DS24" s="67">
        <f t="shared" ref="DS24:EC24" si="83">+DR24*1.01</f>
        <v>422.32139999999998</v>
      </c>
      <c r="DT24" s="67">
        <f t="shared" si="83"/>
        <v>426.54461399999997</v>
      </c>
      <c r="DU24" s="67">
        <f t="shared" si="83"/>
        <v>430.81006013999996</v>
      </c>
      <c r="DV24" s="67">
        <f t="shared" si="83"/>
        <v>435.11816074139995</v>
      </c>
      <c r="DW24" s="67">
        <f t="shared" si="83"/>
        <v>439.46934234881394</v>
      </c>
      <c r="DX24" s="67">
        <f t="shared" si="83"/>
        <v>443.86403577230209</v>
      </c>
      <c r="DY24" s="67">
        <f t="shared" si="83"/>
        <v>448.30267613002513</v>
      </c>
      <c r="DZ24" s="67">
        <f t="shared" si="83"/>
        <v>452.7857028913254</v>
      </c>
      <c r="EA24" s="67">
        <f t="shared" si="83"/>
        <v>457.31355992023867</v>
      </c>
      <c r="EB24" s="67">
        <f t="shared" si="83"/>
        <v>461.88669551944105</v>
      </c>
      <c r="EC24" s="67">
        <f t="shared" si="83"/>
        <v>466.50556247463544</v>
      </c>
    </row>
    <row r="25" spans="2:134" s="26" customFormat="1">
      <c r="B25" s="98" t="s">
        <v>1200</v>
      </c>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v>0</v>
      </c>
      <c r="BW25" s="67">
        <v>0</v>
      </c>
      <c r="BX25" s="67">
        <v>0</v>
      </c>
      <c r="BY25" s="67">
        <v>0</v>
      </c>
      <c r="BZ25" s="67">
        <v>0</v>
      </c>
      <c r="CA25" s="67">
        <v>0</v>
      </c>
      <c r="CB25" s="67">
        <v>0</v>
      </c>
      <c r="CC25" s="67">
        <v>0</v>
      </c>
      <c r="CD25" s="67">
        <v>0</v>
      </c>
      <c r="CE25" s="67">
        <v>0</v>
      </c>
      <c r="CF25" s="67">
        <v>0</v>
      </c>
      <c r="CG25" s="67">
        <v>0</v>
      </c>
      <c r="CH25" s="67">
        <v>0</v>
      </c>
      <c r="CI25" s="67">
        <v>7</v>
      </c>
      <c r="CJ25" s="67">
        <v>29</v>
      </c>
      <c r="CK25" s="67">
        <v>55</v>
      </c>
      <c r="CL25" s="109">
        <v>79</v>
      </c>
      <c r="CM25" s="67">
        <f>+CL25+20</f>
        <v>99</v>
      </c>
      <c r="CN25" s="67">
        <f t="shared" ref="CN25:CP25" si="84">+CM25+20</f>
        <v>119</v>
      </c>
      <c r="CO25" s="67">
        <f t="shared" si="84"/>
        <v>139</v>
      </c>
      <c r="CP25" s="67">
        <f t="shared" si="84"/>
        <v>159</v>
      </c>
      <c r="CQ25" s="67"/>
      <c r="CR25" s="67"/>
      <c r="CS25" s="67"/>
      <c r="CT25" s="67"/>
      <c r="CU25" s="67"/>
      <c r="CV25" s="67"/>
      <c r="CW25" s="67"/>
      <c r="CX25" s="67"/>
      <c r="CY25" s="67"/>
      <c r="CZ25" s="67"/>
      <c r="DA25" s="67"/>
      <c r="DB25" s="67"/>
      <c r="DC25" s="67"/>
      <c r="DD25" s="67"/>
      <c r="DE25" s="67"/>
      <c r="DF25" s="67"/>
      <c r="DG25" s="67"/>
      <c r="DH25" s="67"/>
      <c r="DI25" s="67"/>
      <c r="DJ25" s="67"/>
      <c r="DK25" s="67"/>
      <c r="DL25" s="67"/>
      <c r="DM25" s="67">
        <f t="shared" si="50"/>
        <v>0</v>
      </c>
      <c r="DN25" s="67">
        <f t="shared" si="51"/>
        <v>0</v>
      </c>
      <c r="DO25" s="67">
        <f t="shared" si="52"/>
        <v>0</v>
      </c>
      <c r="DP25" s="67">
        <f t="shared" si="53"/>
        <v>170</v>
      </c>
      <c r="DQ25" s="67">
        <f t="shared" si="54"/>
        <v>516</v>
      </c>
      <c r="DR25" s="67">
        <f>+DQ25*1.8</f>
        <v>928.80000000000007</v>
      </c>
      <c r="DS25" s="67">
        <f>+DR25*1.8</f>
        <v>1671.8400000000001</v>
      </c>
      <c r="DT25" s="67">
        <f>+DS25*1.2</f>
        <v>2006.2080000000001</v>
      </c>
      <c r="DU25" s="67">
        <f>+DT25*1.1</f>
        <v>2206.8288000000002</v>
      </c>
      <c r="DV25" s="67">
        <f>+DU25*1.1</f>
        <v>2427.5116800000005</v>
      </c>
      <c r="DW25" s="67">
        <f>+DV25*1.05</f>
        <v>2548.8872640000009</v>
      </c>
      <c r="DX25" s="67">
        <f>+DW25*1.05</f>
        <v>2676.3316272000011</v>
      </c>
      <c r="DY25" s="67">
        <f>+DX25*1.05</f>
        <v>2810.1482085600014</v>
      </c>
      <c r="DZ25" s="26">
        <f>+DY25*1.01</f>
        <v>2838.2496906456013</v>
      </c>
      <c r="EA25" s="26">
        <f>+DZ25*1.01</f>
        <v>2866.6321875520575</v>
      </c>
      <c r="EB25" s="26">
        <f>+EA25*1.01</f>
        <v>2895.2985094275782</v>
      </c>
      <c r="EC25" s="26">
        <f>+EB25*1.01</f>
        <v>2924.2514945218541</v>
      </c>
    </row>
    <row r="26" spans="2:134" s="26" customFormat="1">
      <c r="B26" s="98" t="s">
        <v>1202</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v>11</v>
      </c>
      <c r="BW26" s="67">
        <v>31</v>
      </c>
      <c r="BX26" s="67">
        <v>52</v>
      </c>
      <c r="BY26" s="67">
        <v>61</v>
      </c>
      <c r="BZ26" s="67">
        <v>71</v>
      </c>
      <c r="CA26" s="67">
        <v>86</v>
      </c>
      <c r="CB26" s="67">
        <v>62</v>
      </c>
      <c r="CC26" s="67">
        <v>80</v>
      </c>
      <c r="CD26" s="67">
        <v>103</v>
      </c>
      <c r="CE26" s="67">
        <v>106</v>
      </c>
      <c r="CF26" s="67">
        <v>107</v>
      </c>
      <c r="CG26" s="67">
        <v>111</v>
      </c>
      <c r="CH26" s="67">
        <v>115</v>
      </c>
      <c r="CI26" s="67">
        <v>108</v>
      </c>
      <c r="CJ26" s="67">
        <v>116</v>
      </c>
      <c r="CK26" s="67">
        <v>117</v>
      </c>
      <c r="CL26" s="109">
        <v>119</v>
      </c>
      <c r="CM26" s="67">
        <f>+CI26*2.5</f>
        <v>270</v>
      </c>
      <c r="CN26" s="67">
        <f>+CJ26*2.5</f>
        <v>290</v>
      </c>
      <c r="CO26" s="67">
        <f>+CK26*2.5</f>
        <v>292.5</v>
      </c>
      <c r="CP26" s="67">
        <f>+CL26*2.5</f>
        <v>297.5</v>
      </c>
      <c r="CQ26" s="67"/>
      <c r="CR26" s="67"/>
      <c r="CS26" s="67"/>
      <c r="CT26" s="67"/>
      <c r="CU26" s="67"/>
      <c r="CV26" s="67"/>
      <c r="CW26" s="67"/>
      <c r="CX26" s="67"/>
      <c r="CY26" s="67"/>
      <c r="CZ26" s="67"/>
      <c r="DA26" s="67"/>
      <c r="DB26" s="67"/>
      <c r="DC26" s="67"/>
      <c r="DD26" s="67"/>
      <c r="DE26" s="67"/>
      <c r="DF26" s="67"/>
      <c r="DG26" s="67"/>
      <c r="DH26" s="67"/>
      <c r="DI26" s="67"/>
      <c r="DJ26" s="67"/>
      <c r="DK26" s="67"/>
      <c r="DL26" s="67"/>
      <c r="DM26" s="67">
        <f t="shared" si="50"/>
        <v>215</v>
      </c>
      <c r="DN26" s="67">
        <f t="shared" si="51"/>
        <v>331</v>
      </c>
      <c r="DO26" s="67">
        <f t="shared" si="52"/>
        <v>439</v>
      </c>
      <c r="DP26" s="67">
        <f t="shared" si="53"/>
        <v>460</v>
      </c>
      <c r="DQ26" s="67">
        <f t="shared" si="54"/>
        <v>1150</v>
      </c>
      <c r="DR26" s="67">
        <f t="shared" ref="DR26:EC26" si="85">+DQ26*0.9</f>
        <v>1035</v>
      </c>
      <c r="DS26" s="67">
        <f t="shared" si="85"/>
        <v>931.5</v>
      </c>
      <c r="DT26" s="67">
        <f t="shared" si="85"/>
        <v>838.35</v>
      </c>
      <c r="DU26" s="67">
        <f t="shared" si="85"/>
        <v>754.51499999999999</v>
      </c>
      <c r="DV26" s="67">
        <f t="shared" si="85"/>
        <v>679.06349999999998</v>
      </c>
      <c r="DW26" s="67">
        <f t="shared" si="85"/>
        <v>611.15715</v>
      </c>
      <c r="DX26" s="67">
        <f t="shared" si="85"/>
        <v>550.04143499999998</v>
      </c>
      <c r="DY26" s="67">
        <f t="shared" si="85"/>
        <v>495.03729149999998</v>
      </c>
      <c r="DZ26" s="67">
        <f t="shared" si="85"/>
        <v>445.53356235000001</v>
      </c>
      <c r="EA26" s="67">
        <f t="shared" si="85"/>
        <v>400.98020611500004</v>
      </c>
      <c r="EB26" s="67">
        <f t="shared" si="85"/>
        <v>360.88218550350007</v>
      </c>
      <c r="EC26" s="67">
        <f t="shared" si="85"/>
        <v>324.79396695315006</v>
      </c>
    </row>
    <row r="27" spans="2:134" s="26" customFormat="1">
      <c r="B27" s="98" t="s">
        <v>1203</v>
      </c>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v>0</v>
      </c>
      <c r="BW27" s="67">
        <v>0</v>
      </c>
      <c r="BX27" s="67">
        <v>0</v>
      </c>
      <c r="BY27" s="67">
        <v>0</v>
      </c>
      <c r="BZ27" s="67">
        <v>0</v>
      </c>
      <c r="CA27" s="67">
        <v>0</v>
      </c>
      <c r="CB27" s="67">
        <v>0</v>
      </c>
      <c r="CC27" s="67">
        <v>0</v>
      </c>
      <c r="CD27" s="67">
        <v>0</v>
      </c>
      <c r="CE27" s="67">
        <v>0</v>
      </c>
      <c r="CF27" s="67">
        <v>9</v>
      </c>
      <c r="CG27" s="67">
        <v>36</v>
      </c>
      <c r="CH27" s="67">
        <v>45</v>
      </c>
      <c r="CI27" s="67">
        <v>62</v>
      </c>
      <c r="CJ27" s="67">
        <v>77</v>
      </c>
      <c r="CK27" s="67">
        <v>75</v>
      </c>
      <c r="CL27" s="67">
        <v>71</v>
      </c>
      <c r="CM27" s="67">
        <f t="shared" ref="CM27:CP27" si="86">+CL27+10</f>
        <v>81</v>
      </c>
      <c r="CN27" s="67">
        <f t="shared" si="86"/>
        <v>91</v>
      </c>
      <c r="CO27" s="67">
        <f t="shared" si="86"/>
        <v>101</v>
      </c>
      <c r="CP27" s="67">
        <f t="shared" si="86"/>
        <v>111</v>
      </c>
      <c r="CQ27" s="67"/>
      <c r="CR27" s="67"/>
      <c r="CS27" s="67"/>
      <c r="CT27" s="67"/>
      <c r="CU27" s="67"/>
      <c r="CV27" s="67"/>
      <c r="CW27" s="67"/>
      <c r="CX27" s="67"/>
      <c r="CY27" s="67"/>
      <c r="CZ27" s="67"/>
      <c r="DA27" s="67"/>
      <c r="DB27" s="67"/>
      <c r="DC27" s="67"/>
      <c r="DD27" s="67"/>
      <c r="DE27" s="67"/>
      <c r="DF27" s="67"/>
      <c r="DG27" s="67"/>
      <c r="DH27" s="67"/>
      <c r="DI27" s="67"/>
      <c r="DJ27" s="67"/>
      <c r="DK27" s="67"/>
      <c r="DL27" s="67"/>
      <c r="DM27" s="67">
        <f t="shared" si="50"/>
        <v>0</v>
      </c>
      <c r="DN27" s="67">
        <f t="shared" si="51"/>
        <v>0</v>
      </c>
      <c r="DO27" s="67">
        <f t="shared" si="52"/>
        <v>90</v>
      </c>
      <c r="DP27" s="67">
        <f t="shared" si="53"/>
        <v>285</v>
      </c>
      <c r="DQ27" s="67">
        <f t="shared" si="54"/>
        <v>384</v>
      </c>
      <c r="DR27" s="67">
        <f>+DQ27*1.05</f>
        <v>403.20000000000005</v>
      </c>
      <c r="DS27" s="67">
        <f>+DR27*1.05</f>
        <v>423.36000000000007</v>
      </c>
      <c r="DT27" s="67">
        <f t="shared" ref="DT27:EC27" si="87">+DS27*1.01</f>
        <v>427.59360000000009</v>
      </c>
      <c r="DU27" s="67">
        <f t="shared" si="87"/>
        <v>431.8695360000001</v>
      </c>
      <c r="DV27" s="67">
        <f t="shared" si="87"/>
        <v>436.18823136000009</v>
      </c>
      <c r="DW27" s="67">
        <f t="shared" si="87"/>
        <v>440.55011367360009</v>
      </c>
      <c r="DX27" s="67">
        <f t="shared" si="87"/>
        <v>444.9556148103361</v>
      </c>
      <c r="DY27" s="67">
        <f t="shared" si="87"/>
        <v>449.40517095843944</v>
      </c>
      <c r="DZ27" s="67">
        <f t="shared" si="87"/>
        <v>453.89922266802387</v>
      </c>
      <c r="EA27" s="67">
        <f t="shared" si="87"/>
        <v>458.43821489470412</v>
      </c>
      <c r="EB27" s="67">
        <f t="shared" si="87"/>
        <v>463.02259704365116</v>
      </c>
      <c r="EC27" s="67">
        <f t="shared" si="87"/>
        <v>467.65282301408769</v>
      </c>
    </row>
    <row r="28" spans="2:134" s="26" customFormat="1">
      <c r="B28" s="98" t="s">
        <v>1163</v>
      </c>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v>0</v>
      </c>
      <c r="BA28" s="67"/>
      <c r="BB28" s="67"/>
      <c r="BC28" s="67"/>
      <c r="BD28" s="67">
        <v>78</v>
      </c>
      <c r="BE28" s="67"/>
      <c r="BF28" s="67"/>
      <c r="BG28" s="67"/>
      <c r="BH28" s="67"/>
      <c r="BI28" s="67"/>
      <c r="BJ28" s="67"/>
      <c r="BK28" s="67"/>
      <c r="BL28" s="67"/>
      <c r="BM28" s="67"/>
      <c r="BN28" s="67"/>
      <c r="BO28" s="67"/>
      <c r="BP28" s="67"/>
      <c r="BQ28" s="67"/>
      <c r="BR28" s="67"/>
      <c r="BS28" s="67"/>
      <c r="BT28" s="67"/>
      <c r="BU28" s="67"/>
      <c r="BV28" s="67">
        <v>251</v>
      </c>
      <c r="BW28" s="67">
        <v>245</v>
      </c>
      <c r="BX28" s="67">
        <v>267</v>
      </c>
      <c r="BY28" s="67">
        <v>266</v>
      </c>
      <c r="BZ28" s="67">
        <v>266</v>
      </c>
      <c r="CA28" s="67">
        <v>280</v>
      </c>
      <c r="CB28" s="67">
        <v>253</v>
      </c>
      <c r="CC28" s="67">
        <v>260</v>
      </c>
      <c r="CD28" s="67">
        <v>272</v>
      </c>
      <c r="CE28" s="67">
        <v>251</v>
      </c>
      <c r="CF28" s="67">
        <v>280</v>
      </c>
      <c r="CG28" s="67">
        <v>293</v>
      </c>
      <c r="CH28" s="67">
        <v>284</v>
      </c>
      <c r="CI28" s="67">
        <v>287</v>
      </c>
      <c r="CJ28" s="67">
        <v>317</v>
      </c>
      <c r="CK28" s="67">
        <v>318</v>
      </c>
      <c r="CL28" s="67">
        <v>325</v>
      </c>
      <c r="CM28" s="67">
        <f t="shared" ref="CM28:CM30" si="88">+CI28*1.05</f>
        <v>301.35000000000002</v>
      </c>
      <c r="CN28" s="67">
        <f t="shared" ref="CN28:CN30" si="89">+CJ28*1.05</f>
        <v>332.85</v>
      </c>
      <c r="CO28" s="67">
        <f t="shared" ref="CO28:CO30" si="90">+CK28*1.05</f>
        <v>333.90000000000003</v>
      </c>
      <c r="CP28" s="67">
        <f t="shared" ref="CP28:CP30" si="91">+CL28*1.05</f>
        <v>341.25</v>
      </c>
      <c r="CQ28" s="67"/>
      <c r="CR28" s="67"/>
      <c r="CS28" s="67"/>
      <c r="CT28" s="67"/>
      <c r="CU28" s="67"/>
      <c r="CV28" s="67"/>
      <c r="CW28" s="67"/>
      <c r="CX28" s="67"/>
      <c r="CY28" s="67"/>
      <c r="CZ28" s="67"/>
      <c r="DA28" s="67"/>
      <c r="DB28" s="67"/>
      <c r="DC28" s="67"/>
      <c r="DD28" s="67"/>
      <c r="DE28" s="67"/>
      <c r="DF28" s="67"/>
      <c r="DG28" s="67"/>
      <c r="DH28" s="67"/>
      <c r="DI28" s="67"/>
      <c r="DJ28" s="67"/>
      <c r="DK28" s="67"/>
      <c r="DL28" s="67"/>
      <c r="DM28" s="67">
        <f t="shared" si="50"/>
        <v>1044</v>
      </c>
      <c r="DN28" s="67">
        <f t="shared" si="51"/>
        <v>1065</v>
      </c>
      <c r="DO28" s="67">
        <f t="shared" si="52"/>
        <v>1108</v>
      </c>
      <c r="DP28" s="67">
        <f t="shared" si="53"/>
        <v>1247</v>
      </c>
      <c r="DQ28" s="67">
        <f t="shared" si="54"/>
        <v>1309.3500000000001</v>
      </c>
      <c r="DR28" s="67">
        <f>+DQ28*1.1</f>
        <v>1440.2850000000003</v>
      </c>
      <c r="DS28" s="67">
        <f>+DR28*1.1</f>
        <v>1584.3135000000004</v>
      </c>
      <c r="DT28" s="67">
        <f>+DS28*0.5</f>
        <v>792.15675000000022</v>
      </c>
      <c r="DU28" s="67">
        <f>+DT28*0.5</f>
        <v>396.07837500000011</v>
      </c>
      <c r="DV28" s="67">
        <f>+DU28*0.5</f>
        <v>198.03918750000005</v>
      </c>
      <c r="DW28" s="67">
        <f>+DV28*0.5</f>
        <v>99.019593750000027</v>
      </c>
      <c r="DX28" s="67">
        <f t="shared" ref="DX28:EC28" si="92">+DW28*0.5</f>
        <v>49.509796875000013</v>
      </c>
      <c r="DY28" s="67">
        <f t="shared" si="92"/>
        <v>24.754898437500007</v>
      </c>
      <c r="DZ28" s="67">
        <f t="shared" si="92"/>
        <v>12.377449218750003</v>
      </c>
      <c r="EA28" s="67">
        <f t="shared" si="92"/>
        <v>6.1887246093750017</v>
      </c>
      <c r="EB28" s="67">
        <f t="shared" si="92"/>
        <v>3.0943623046875008</v>
      </c>
      <c r="EC28" s="67">
        <f t="shared" si="92"/>
        <v>1.5471811523437504</v>
      </c>
    </row>
    <row r="29" spans="2:134" s="26" customFormat="1">
      <c r="B29" s="26" t="s">
        <v>791</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f>28+21</f>
        <v>49</v>
      </c>
      <c r="AN29" s="67">
        <f>32+23</f>
        <v>55</v>
      </c>
      <c r="AO29" s="67">
        <f>35+25</f>
        <v>60</v>
      </c>
      <c r="AP29" s="67">
        <f>34+31</f>
        <v>65</v>
      </c>
      <c r="AQ29" s="67">
        <f>37+28</f>
        <v>65</v>
      </c>
      <c r="AR29" s="67">
        <f>40+35</f>
        <v>75</v>
      </c>
      <c r="AS29" s="67">
        <f>+AR29</f>
        <v>75</v>
      </c>
      <c r="AT29" s="67">
        <f>+AS29</f>
        <v>75</v>
      </c>
      <c r="AU29" s="67">
        <f>+AT29</f>
        <v>75</v>
      </c>
      <c r="AV29" s="67">
        <v>86</v>
      </c>
      <c r="AW29" s="67">
        <f>+AV29</f>
        <v>86</v>
      </c>
      <c r="AX29" s="67">
        <f>+AW29</f>
        <v>86</v>
      </c>
      <c r="AY29" s="67"/>
      <c r="AZ29" s="67">
        <v>105</v>
      </c>
      <c r="BA29" s="67"/>
      <c r="BB29" s="67"/>
      <c r="BC29" s="67"/>
      <c r="BD29" s="67">
        <v>118</v>
      </c>
      <c r="BE29" s="67"/>
      <c r="BF29" s="67"/>
      <c r="BG29" s="67"/>
      <c r="BH29" s="67"/>
      <c r="BI29" s="67"/>
      <c r="BJ29" s="67"/>
      <c r="BK29" s="67"/>
      <c r="BL29" s="67"/>
      <c r="BM29" s="67"/>
      <c r="BN29" s="67"/>
      <c r="BO29" s="67"/>
      <c r="BP29" s="67"/>
      <c r="BQ29" s="67"/>
      <c r="BR29" s="67"/>
      <c r="BS29" s="67"/>
      <c r="BT29" s="67"/>
      <c r="BU29" s="67"/>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67">
        <f t="shared" si="88"/>
        <v>279.3</v>
      </c>
      <c r="CN29" s="67">
        <f t="shared" si="89"/>
        <v>298.2</v>
      </c>
      <c r="CO29" s="67">
        <f t="shared" si="90"/>
        <v>302.40000000000003</v>
      </c>
      <c r="CP29" s="67">
        <f t="shared" si="91"/>
        <v>492.45000000000005</v>
      </c>
      <c r="CQ29" s="67"/>
      <c r="CR29" s="67"/>
      <c r="CS29" s="67"/>
      <c r="CT29" s="67"/>
      <c r="CU29" s="67"/>
      <c r="CV29" s="67"/>
      <c r="CW29" s="67"/>
      <c r="CX29" s="67"/>
      <c r="CY29" s="67"/>
      <c r="CZ29" s="67"/>
      <c r="DA29" s="67"/>
      <c r="DB29" s="67"/>
      <c r="DC29" s="67"/>
      <c r="DD29" s="67">
        <f>SUM(AM29:AP29)</f>
        <v>229</v>
      </c>
      <c r="DE29" s="67">
        <f>SUM(AQ29:AT29)</f>
        <v>290</v>
      </c>
      <c r="DF29" s="67">
        <f t="shared" ref="DF29:DK29" si="93">+DE29*1.05</f>
        <v>304.5</v>
      </c>
      <c r="DG29" s="67">
        <f t="shared" si="93"/>
        <v>319.72500000000002</v>
      </c>
      <c r="DH29" s="67">
        <f t="shared" si="93"/>
        <v>335.71125000000006</v>
      </c>
      <c r="DI29" s="67">
        <f t="shared" si="93"/>
        <v>352.49681250000009</v>
      </c>
      <c r="DJ29" s="67">
        <f t="shared" si="93"/>
        <v>370.12165312500014</v>
      </c>
      <c r="DK29" s="67">
        <f t="shared" si="93"/>
        <v>388.62773578125018</v>
      </c>
      <c r="DL29" s="67"/>
      <c r="DM29" s="67">
        <f t="shared" si="50"/>
        <v>795</v>
      </c>
      <c r="DN29" s="67">
        <f t="shared" si="51"/>
        <v>850</v>
      </c>
      <c r="DO29" s="67">
        <f t="shared" si="52"/>
        <v>1027</v>
      </c>
      <c r="DP29" s="67">
        <f t="shared" si="53"/>
        <v>1307</v>
      </c>
      <c r="DQ29" s="67">
        <f t="shared" si="54"/>
        <v>1372.3500000000001</v>
      </c>
      <c r="DR29" s="67">
        <f t="shared" ref="DR29:DU30" si="94">+DQ29*1.05</f>
        <v>1440.9675000000002</v>
      </c>
      <c r="DS29" s="67">
        <f t="shared" si="94"/>
        <v>1513.0158750000003</v>
      </c>
      <c r="DT29" s="67">
        <f t="shared" si="94"/>
        <v>1588.6666687500003</v>
      </c>
      <c r="DU29" s="67">
        <f t="shared" si="94"/>
        <v>1668.1000021875004</v>
      </c>
      <c r="DV29" s="67">
        <f t="shared" ref="DV29:EC29" si="95">+DU29*0.99</f>
        <v>1651.4190021656254</v>
      </c>
      <c r="DW29" s="67">
        <f t="shared" si="95"/>
        <v>1634.9048121439691</v>
      </c>
      <c r="DX29" s="67">
        <f t="shared" si="95"/>
        <v>1618.5557640225295</v>
      </c>
      <c r="DY29" s="67">
        <f t="shared" si="95"/>
        <v>1602.3702063823041</v>
      </c>
      <c r="DZ29" s="67">
        <f t="shared" si="95"/>
        <v>1586.346504318481</v>
      </c>
      <c r="EA29" s="67">
        <f t="shared" si="95"/>
        <v>1570.4830392752963</v>
      </c>
      <c r="EB29" s="67">
        <f t="shared" si="95"/>
        <v>1554.7782088825434</v>
      </c>
      <c r="EC29" s="67">
        <f t="shared" si="95"/>
        <v>1539.2304267937179</v>
      </c>
    </row>
    <row r="30" spans="2:134" s="26" customFormat="1">
      <c r="B30" s="98" t="s">
        <v>1204</v>
      </c>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v>63</v>
      </c>
      <c r="BW30" s="67">
        <v>69</v>
      </c>
      <c r="BX30" s="67">
        <v>78</v>
      </c>
      <c r="BY30" s="67">
        <v>85</v>
      </c>
      <c r="BZ30" s="67">
        <v>80</v>
      </c>
      <c r="CA30" s="67">
        <v>94</v>
      </c>
      <c r="CB30" s="67">
        <v>93</v>
      </c>
      <c r="CC30" s="67">
        <v>89</v>
      </c>
      <c r="CD30" s="67">
        <v>103</v>
      </c>
      <c r="CE30" s="67">
        <v>107</v>
      </c>
      <c r="CF30" s="67">
        <v>108</v>
      </c>
      <c r="CG30" s="67">
        <v>125</v>
      </c>
      <c r="CH30" s="67">
        <v>132</v>
      </c>
      <c r="CI30" s="67">
        <v>138</v>
      </c>
      <c r="CJ30" s="67">
        <v>139</v>
      </c>
      <c r="CK30" s="67">
        <v>142</v>
      </c>
      <c r="CL30" s="67">
        <v>164</v>
      </c>
      <c r="CM30" s="67">
        <f t="shared" si="88"/>
        <v>144.9</v>
      </c>
      <c r="CN30" s="67">
        <f t="shared" si="89"/>
        <v>145.95000000000002</v>
      </c>
      <c r="CO30" s="67">
        <f t="shared" si="90"/>
        <v>149.1</v>
      </c>
      <c r="CP30" s="67">
        <f t="shared" si="91"/>
        <v>172.20000000000002</v>
      </c>
      <c r="CQ30" s="67"/>
      <c r="CR30" s="67"/>
      <c r="CS30" s="67"/>
      <c r="CT30" s="67"/>
      <c r="CU30" s="67"/>
      <c r="CV30" s="67"/>
      <c r="CW30" s="67"/>
      <c r="CX30" s="67"/>
      <c r="CY30" s="67"/>
      <c r="CZ30" s="67"/>
      <c r="DA30" s="67"/>
      <c r="DB30" s="67"/>
      <c r="DC30" s="67"/>
      <c r="DD30" s="67"/>
      <c r="DE30" s="67"/>
      <c r="DF30" s="67"/>
      <c r="DG30" s="67"/>
      <c r="DH30" s="67"/>
      <c r="DI30" s="67"/>
      <c r="DJ30" s="67"/>
      <c r="DK30" s="67"/>
      <c r="DL30" s="67"/>
      <c r="DM30" s="67">
        <f t="shared" si="50"/>
        <v>312</v>
      </c>
      <c r="DN30" s="67">
        <f t="shared" si="51"/>
        <v>379</v>
      </c>
      <c r="DO30" s="67">
        <f t="shared" si="52"/>
        <v>472</v>
      </c>
      <c r="DP30" s="67">
        <f t="shared" si="53"/>
        <v>583</v>
      </c>
      <c r="DQ30" s="67">
        <f t="shared" si="54"/>
        <v>612.15000000000009</v>
      </c>
      <c r="DR30" s="67">
        <f t="shared" si="94"/>
        <v>642.75750000000016</v>
      </c>
      <c r="DS30" s="67">
        <f t="shared" si="94"/>
        <v>674.89537500000017</v>
      </c>
      <c r="DT30" s="67">
        <f t="shared" si="94"/>
        <v>708.64014375000022</v>
      </c>
      <c r="DU30" s="67">
        <f t="shared" si="94"/>
        <v>744.07215093750028</v>
      </c>
      <c r="DV30" s="67">
        <f t="shared" ref="DV30:EC30" si="96">+DU30*1.05</f>
        <v>781.27575848437527</v>
      </c>
      <c r="DW30" s="67">
        <f t="shared" si="96"/>
        <v>820.33954640859406</v>
      </c>
      <c r="DX30" s="67">
        <f t="shared" si="96"/>
        <v>861.35652372902382</v>
      </c>
      <c r="DY30" s="67">
        <f t="shared" si="96"/>
        <v>904.42434991547509</v>
      </c>
      <c r="DZ30" s="67">
        <f t="shared" si="96"/>
        <v>949.64556741124886</v>
      </c>
      <c r="EA30" s="67">
        <f t="shared" si="96"/>
        <v>997.1278457818114</v>
      </c>
      <c r="EB30" s="67">
        <f t="shared" si="96"/>
        <v>1046.9842380709019</v>
      </c>
      <c r="EC30" s="67">
        <f t="shared" si="96"/>
        <v>1099.3334499744471</v>
      </c>
    </row>
    <row r="31" spans="2:134" s="26" customFormat="1">
      <c r="B31" s="98" t="s">
        <v>1205</v>
      </c>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v>0</v>
      </c>
      <c r="BW31" s="67">
        <v>0</v>
      </c>
      <c r="BX31" s="67">
        <v>0</v>
      </c>
      <c r="BY31" s="67">
        <v>43</v>
      </c>
      <c r="BZ31" s="67">
        <v>84</v>
      </c>
      <c r="CA31" s="67">
        <v>115</v>
      </c>
      <c r="CB31" s="67">
        <v>172</v>
      </c>
      <c r="CC31" s="67">
        <v>231</v>
      </c>
      <c r="CD31" s="67">
        <v>280</v>
      </c>
      <c r="CE31" s="67">
        <v>294</v>
      </c>
      <c r="CF31" s="67">
        <v>294</v>
      </c>
      <c r="CG31" s="67">
        <v>274</v>
      </c>
      <c r="CH31" s="67">
        <v>304</v>
      </c>
      <c r="CI31" s="67">
        <v>244</v>
      </c>
      <c r="CJ31" s="67">
        <v>243</v>
      </c>
      <c r="CK31" s="67">
        <v>209</v>
      </c>
      <c r="CL31" s="67">
        <v>205</v>
      </c>
      <c r="CM31" s="67">
        <f t="shared" ref="CM31:CM32" si="97">+CI31</f>
        <v>244</v>
      </c>
      <c r="CN31" s="67">
        <f t="shared" ref="CN31:CN32" si="98">+CJ31</f>
        <v>243</v>
      </c>
      <c r="CO31" s="67">
        <f t="shared" ref="CO31:CO32" si="99">+CK31</f>
        <v>209</v>
      </c>
      <c r="CP31" s="67">
        <f t="shared" ref="CP31:CP32" si="100">+CL31</f>
        <v>205</v>
      </c>
      <c r="CQ31" s="67"/>
      <c r="CR31" s="67"/>
      <c r="CS31" s="67"/>
      <c r="CT31" s="67"/>
      <c r="CU31" s="67"/>
      <c r="CV31" s="67"/>
      <c r="CW31" s="67"/>
      <c r="CX31" s="67"/>
      <c r="CY31" s="67"/>
      <c r="CZ31" s="67"/>
      <c r="DA31" s="67"/>
      <c r="DB31" s="67"/>
      <c r="DC31" s="67"/>
      <c r="DD31" s="67"/>
      <c r="DE31" s="67"/>
      <c r="DF31" s="67"/>
      <c r="DG31" s="67"/>
      <c r="DH31" s="67"/>
      <c r="DI31" s="67"/>
      <c r="DJ31" s="67"/>
      <c r="DK31" s="67"/>
      <c r="DL31" s="67"/>
      <c r="DM31" s="67">
        <f t="shared" si="50"/>
        <v>127</v>
      </c>
      <c r="DN31" s="67">
        <f t="shared" si="51"/>
        <v>798</v>
      </c>
      <c r="DO31" s="67">
        <f t="shared" si="52"/>
        <v>1166</v>
      </c>
      <c r="DP31" s="67">
        <f t="shared" si="53"/>
        <v>901</v>
      </c>
      <c r="DQ31" s="67">
        <f t="shared" si="54"/>
        <v>901</v>
      </c>
      <c r="DR31" s="67">
        <f>+DQ31*0.9</f>
        <v>810.9</v>
      </c>
      <c r="DS31" s="67">
        <f t="shared" ref="DS31:EC31" si="101">+DR31*0.9</f>
        <v>729.81</v>
      </c>
      <c r="DT31" s="67">
        <f t="shared" si="101"/>
        <v>656.82899999999995</v>
      </c>
      <c r="DU31" s="67">
        <f t="shared" si="101"/>
        <v>591.14609999999993</v>
      </c>
      <c r="DV31" s="67">
        <f t="shared" si="101"/>
        <v>532.03148999999996</v>
      </c>
      <c r="DW31" s="67">
        <f t="shared" si="101"/>
        <v>478.82834099999997</v>
      </c>
      <c r="DX31" s="67">
        <f t="shared" si="101"/>
        <v>430.9455069</v>
      </c>
      <c r="DY31" s="67">
        <f t="shared" si="101"/>
        <v>387.85095620999999</v>
      </c>
      <c r="DZ31" s="67">
        <f t="shared" si="101"/>
        <v>349.06586058900001</v>
      </c>
      <c r="EA31" s="67">
        <f t="shared" si="101"/>
        <v>314.15927453009999</v>
      </c>
      <c r="EB31" s="67">
        <f t="shared" si="101"/>
        <v>282.74334707708999</v>
      </c>
      <c r="EC31" s="67">
        <f t="shared" si="101"/>
        <v>254.46901236938101</v>
      </c>
    </row>
    <row r="32" spans="2:134" s="26" customFormat="1">
      <c r="B32" s="98" t="s">
        <v>1206</v>
      </c>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v>23</v>
      </c>
      <c r="BW32" s="67">
        <v>24</v>
      </c>
      <c r="BX32" s="67">
        <v>30</v>
      </c>
      <c r="BY32" s="67">
        <v>69</v>
      </c>
      <c r="BZ32" s="67">
        <v>103</v>
      </c>
      <c r="CA32" s="67">
        <v>119</v>
      </c>
      <c r="CB32" s="67">
        <v>123</v>
      </c>
      <c r="CC32" s="67">
        <v>167</v>
      </c>
      <c r="CD32" s="67">
        <v>158</v>
      </c>
      <c r="CE32" s="67">
        <v>161</v>
      </c>
      <c r="CF32" s="67">
        <v>156</v>
      </c>
      <c r="CG32" s="67">
        <v>116</v>
      </c>
      <c r="CH32" s="67">
        <v>139</v>
      </c>
      <c r="CI32" s="67">
        <v>96</v>
      </c>
      <c r="CJ32" s="67">
        <v>85</v>
      </c>
      <c r="CK32" s="67">
        <v>72</v>
      </c>
      <c r="CL32" s="67">
        <v>63</v>
      </c>
      <c r="CM32" s="67">
        <f t="shared" si="97"/>
        <v>96</v>
      </c>
      <c r="CN32" s="67">
        <f t="shared" si="98"/>
        <v>85</v>
      </c>
      <c r="CO32" s="67">
        <f t="shared" si="99"/>
        <v>72</v>
      </c>
      <c r="CP32" s="67">
        <f t="shared" si="100"/>
        <v>63</v>
      </c>
      <c r="CQ32" s="67"/>
      <c r="CR32" s="67"/>
      <c r="CS32" s="67"/>
      <c r="CT32" s="67"/>
      <c r="CU32" s="67"/>
      <c r="CV32" s="67"/>
      <c r="CW32" s="67"/>
      <c r="CX32" s="67"/>
      <c r="CY32" s="67"/>
      <c r="CZ32" s="67"/>
      <c r="DA32" s="67"/>
      <c r="DB32" s="67"/>
      <c r="DC32" s="67"/>
      <c r="DD32" s="67"/>
      <c r="DE32" s="67"/>
      <c r="DF32" s="67"/>
      <c r="DG32" s="67"/>
      <c r="DH32" s="67"/>
      <c r="DI32" s="67"/>
      <c r="DJ32" s="67"/>
      <c r="DK32" s="67"/>
      <c r="DL32" s="67"/>
      <c r="DM32" s="67">
        <f t="shared" si="50"/>
        <v>226</v>
      </c>
      <c r="DN32" s="67">
        <f t="shared" si="51"/>
        <v>567</v>
      </c>
      <c r="DO32" s="67">
        <f t="shared" si="52"/>
        <v>572</v>
      </c>
      <c r="DP32" s="67">
        <f t="shared" si="53"/>
        <v>316</v>
      </c>
      <c r="DQ32" s="67">
        <f t="shared" si="54"/>
        <v>316</v>
      </c>
      <c r="DR32" s="67">
        <f t="shared" ref="DR32:EC32" si="102">+DQ32*0.9</f>
        <v>284.40000000000003</v>
      </c>
      <c r="DS32" s="67">
        <f t="shared" si="102"/>
        <v>255.96000000000004</v>
      </c>
      <c r="DT32" s="67">
        <f t="shared" si="102"/>
        <v>230.36400000000003</v>
      </c>
      <c r="DU32" s="67">
        <f t="shared" si="102"/>
        <v>207.32760000000005</v>
      </c>
      <c r="DV32" s="67">
        <f t="shared" si="102"/>
        <v>186.59484000000003</v>
      </c>
      <c r="DW32" s="67">
        <f t="shared" si="102"/>
        <v>167.93535600000004</v>
      </c>
      <c r="DX32" s="67">
        <f t="shared" si="102"/>
        <v>151.14182040000003</v>
      </c>
      <c r="DY32" s="67">
        <f t="shared" si="102"/>
        <v>136.02763836000003</v>
      </c>
      <c r="DZ32" s="67">
        <f t="shared" si="102"/>
        <v>122.42487452400003</v>
      </c>
      <c r="EA32" s="67">
        <f t="shared" si="102"/>
        <v>110.18238707160003</v>
      </c>
      <c r="EB32" s="67">
        <f t="shared" si="102"/>
        <v>99.164148364440038</v>
      </c>
      <c r="EC32" s="67">
        <f t="shared" si="102"/>
        <v>89.247733527996033</v>
      </c>
    </row>
    <row r="33" spans="2:203" s="26" customFormat="1">
      <c r="B33" s="26" t="s">
        <v>451</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v>74</v>
      </c>
      <c r="BA33" s="67"/>
      <c r="BB33" s="67"/>
      <c r="BC33" s="67"/>
      <c r="BD33" s="67">
        <v>59</v>
      </c>
      <c r="BE33" s="67"/>
      <c r="BF33" s="67"/>
      <c r="BG33" s="67"/>
      <c r="BH33" s="67"/>
      <c r="BI33" s="67"/>
      <c r="BJ33" s="67"/>
      <c r="BK33" s="67"/>
      <c r="BL33" s="67"/>
      <c r="BM33" s="67"/>
      <c r="BN33" s="67"/>
      <c r="BO33" s="67"/>
      <c r="BP33" s="67"/>
      <c r="BQ33" s="67"/>
      <c r="BR33" s="67"/>
      <c r="BS33" s="67"/>
      <c r="BT33" s="67"/>
      <c r="BU33" s="67"/>
      <c r="BV33" s="67">
        <v>73</v>
      </c>
      <c r="BW33" s="67">
        <v>61</v>
      </c>
      <c r="BX33" s="67">
        <v>79</v>
      </c>
      <c r="BY33" s="67">
        <v>85</v>
      </c>
      <c r="BZ33" s="67">
        <v>87</v>
      </c>
      <c r="CA33" s="67">
        <v>64</v>
      </c>
      <c r="CB33" s="67">
        <v>60</v>
      </c>
      <c r="CC33" s="67">
        <v>83</v>
      </c>
      <c r="CD33" s="67">
        <v>76</v>
      </c>
      <c r="CE33" s="67">
        <v>72</v>
      </c>
      <c r="CF33" s="67">
        <v>68</v>
      </c>
      <c r="CG33" s="67">
        <v>93</v>
      </c>
      <c r="CH33" s="67">
        <v>106</v>
      </c>
      <c r="CI33" s="67">
        <v>85</v>
      </c>
      <c r="CJ33" s="67">
        <v>113</v>
      </c>
      <c r="CK33" s="67">
        <v>114</v>
      </c>
      <c r="CL33" s="67">
        <v>119</v>
      </c>
      <c r="CM33" s="67">
        <f t="shared" ref="CM33" si="103">AVERAGE(CI33:CL33)</f>
        <v>107.75</v>
      </c>
      <c r="CN33" s="67">
        <f t="shared" ref="CN33" si="104">AVERAGE(CJ33:CM33)</f>
        <v>113.4375</v>
      </c>
      <c r="CO33" s="67">
        <f t="shared" ref="CO33" si="105">AVERAGE(CK33:CN33)</f>
        <v>113.546875</v>
      </c>
      <c r="CP33" s="67">
        <f t="shared" ref="CP33" si="106">AVERAGE(CL33:CO33)</f>
        <v>113.43359375</v>
      </c>
      <c r="CQ33" s="67"/>
      <c r="CR33" s="67"/>
      <c r="CS33" s="67"/>
      <c r="CT33" s="67"/>
      <c r="CU33" s="67"/>
      <c r="CV33" s="67"/>
      <c r="CW33" s="67"/>
      <c r="CX33" s="67"/>
      <c r="CY33" s="67"/>
      <c r="CZ33" s="67"/>
      <c r="DA33" s="67"/>
      <c r="DB33" s="67"/>
      <c r="DC33" s="67"/>
      <c r="DD33" s="67"/>
      <c r="DE33" s="67"/>
      <c r="DF33" s="67"/>
      <c r="DG33" s="67"/>
      <c r="DH33" s="67"/>
      <c r="DI33" s="67"/>
      <c r="DJ33" s="67"/>
      <c r="DK33" s="67"/>
      <c r="DL33" s="67"/>
      <c r="DM33" s="67">
        <f t="shared" si="50"/>
        <v>312</v>
      </c>
      <c r="DN33" s="67">
        <f t="shared" si="51"/>
        <v>283</v>
      </c>
      <c r="DO33" s="67">
        <f t="shared" si="52"/>
        <v>339</v>
      </c>
      <c r="DP33" s="67">
        <f t="shared" si="53"/>
        <v>431</v>
      </c>
      <c r="DQ33" s="67">
        <f t="shared" si="54"/>
        <v>448.16796875</v>
      </c>
      <c r="DR33" s="67">
        <f t="shared" ref="DR33:EC33" si="107">+DQ33*0.9</f>
        <v>403.35117187500003</v>
      </c>
      <c r="DS33" s="67">
        <f t="shared" si="107"/>
        <v>363.01605468750006</v>
      </c>
      <c r="DT33" s="67">
        <f t="shared" si="107"/>
        <v>326.71444921875008</v>
      </c>
      <c r="DU33" s="67">
        <f t="shared" si="107"/>
        <v>294.0430042968751</v>
      </c>
      <c r="DV33" s="67">
        <f t="shared" si="107"/>
        <v>264.63870386718759</v>
      </c>
      <c r="DW33" s="67">
        <f t="shared" si="107"/>
        <v>238.17483348046883</v>
      </c>
      <c r="DX33" s="67">
        <f t="shared" si="107"/>
        <v>214.35735013242194</v>
      </c>
      <c r="DY33" s="67">
        <f t="shared" si="107"/>
        <v>192.92161511917976</v>
      </c>
      <c r="DZ33" s="67">
        <f t="shared" si="107"/>
        <v>173.62945360726178</v>
      </c>
      <c r="EA33" s="67">
        <f t="shared" si="107"/>
        <v>156.26650824653561</v>
      </c>
      <c r="EB33" s="67">
        <f t="shared" si="107"/>
        <v>140.63985742188206</v>
      </c>
      <c r="EC33" s="67">
        <f t="shared" si="107"/>
        <v>126.57587167969385</v>
      </c>
    </row>
    <row r="34" spans="2:203" s="26" customFormat="1">
      <c r="B34" s="97" t="s">
        <v>1233</v>
      </c>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v>21</v>
      </c>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67"/>
      <c r="DK34" s="67"/>
      <c r="DL34" s="67"/>
      <c r="DM34" s="67"/>
      <c r="DN34" s="67"/>
      <c r="DO34" s="67"/>
      <c r="DP34" s="67">
        <f t="shared" si="53"/>
        <v>21</v>
      </c>
      <c r="DQ34" s="67">
        <v>200</v>
      </c>
      <c r="DR34" s="67">
        <f>+DQ34*1.5</f>
        <v>300</v>
      </c>
      <c r="DS34" s="67">
        <f>+DR34*1.5</f>
        <v>450</v>
      </c>
      <c r="DT34" s="67">
        <f>+DS34*1.5</f>
        <v>675</v>
      </c>
      <c r="DU34" s="67">
        <f>+DT34*1.01</f>
        <v>681.75</v>
      </c>
      <c r="DV34" s="67">
        <f t="shared" ref="DV34:EB34" si="108">+DU34*1.01</f>
        <v>688.5675</v>
      </c>
      <c r="DW34" s="67">
        <f t="shared" si="108"/>
        <v>695.45317499999999</v>
      </c>
      <c r="DX34" s="67">
        <f t="shared" si="108"/>
        <v>702.40770674999999</v>
      </c>
      <c r="DY34" s="67">
        <f t="shared" si="108"/>
        <v>709.43178381749999</v>
      </c>
      <c r="DZ34" s="67">
        <f t="shared" si="108"/>
        <v>716.52610165567501</v>
      </c>
      <c r="EA34" s="67">
        <f t="shared" si="108"/>
        <v>723.69136267223178</v>
      </c>
      <c r="EB34" s="67">
        <f t="shared" si="108"/>
        <v>730.92827629895407</v>
      </c>
      <c r="EC34" s="26">
        <f>+EB34*0.1</f>
        <v>73.09282762989541</v>
      </c>
    </row>
    <row r="35" spans="2:203" s="26" customFormat="1">
      <c r="B35" s="26" t="s">
        <v>98</v>
      </c>
      <c r="C35" s="67">
        <f t="shared" ref="C35:J35" si="109">C3+C4+C6+C7+C8+C15+C16</f>
        <v>797</v>
      </c>
      <c r="D35" s="67">
        <f t="shared" si="109"/>
        <v>858</v>
      </c>
      <c r="E35" s="67">
        <f t="shared" si="109"/>
        <v>903</v>
      </c>
      <c r="F35" s="67">
        <f t="shared" si="109"/>
        <v>962</v>
      </c>
      <c r="G35" s="67">
        <f t="shared" si="109"/>
        <v>908.60000000000014</v>
      </c>
      <c r="H35" s="67">
        <f t="shared" si="109"/>
        <v>1115</v>
      </c>
      <c r="I35" s="67">
        <f t="shared" si="109"/>
        <v>1345.8</v>
      </c>
      <c r="J35" s="67">
        <f t="shared" si="109"/>
        <v>1621.6000000000001</v>
      </c>
      <c r="K35" s="67">
        <f t="shared" ref="K35:S35" si="110">K3+K4+K6+K7+K8+K15+K16</f>
        <v>1636</v>
      </c>
      <c r="L35" s="67">
        <f t="shared" si="110"/>
        <v>1916.5</v>
      </c>
      <c r="M35" s="67">
        <f t="shared" si="110"/>
        <v>2078.1999999999998</v>
      </c>
      <c r="N35" s="67">
        <f t="shared" si="110"/>
        <v>2238</v>
      </c>
      <c r="O35" s="67">
        <f t="shared" si="110"/>
        <v>2207.6999999999998</v>
      </c>
      <c r="P35" s="67">
        <f t="shared" si="110"/>
        <v>2430.6999999999998</v>
      </c>
      <c r="Q35" s="67">
        <f t="shared" si="110"/>
        <v>2560</v>
      </c>
      <c r="R35" s="67">
        <f t="shared" si="110"/>
        <v>2778</v>
      </c>
      <c r="S35" s="67">
        <f t="shared" si="110"/>
        <v>2735</v>
      </c>
      <c r="T35" s="67">
        <f t="shared" ref="T35:Z35" si="111">T3+T4+T6+T7+T8+T15+T16+T18</f>
        <v>3072</v>
      </c>
      <c r="U35" s="67">
        <f t="shared" si="111"/>
        <v>3047</v>
      </c>
      <c r="V35" s="67">
        <f t="shared" si="111"/>
        <v>3168</v>
      </c>
      <c r="W35" s="67">
        <f t="shared" si="111"/>
        <v>3127</v>
      </c>
      <c r="X35" s="67">
        <f t="shared" si="111"/>
        <v>3491</v>
      </c>
      <c r="Y35" s="67">
        <f t="shared" si="111"/>
        <v>3503</v>
      </c>
      <c r="Z35" s="67">
        <f t="shared" si="111"/>
        <v>3737</v>
      </c>
      <c r="AA35" s="67">
        <f t="shared" ref="AA35:AI35" si="112">AA3+AA4+AA6+AA7+AA8+AA15+AA16+AA18</f>
        <v>3565</v>
      </c>
      <c r="AB35" s="67">
        <f t="shared" si="112"/>
        <v>3604</v>
      </c>
      <c r="AC35" s="67">
        <f t="shared" si="112"/>
        <v>3524</v>
      </c>
      <c r="AD35" s="67">
        <f t="shared" si="112"/>
        <v>3618</v>
      </c>
      <c r="AE35" s="67">
        <f t="shared" si="112"/>
        <v>3537</v>
      </c>
      <c r="AF35" s="67">
        <f t="shared" si="112"/>
        <v>3692</v>
      </c>
      <c r="AG35" s="67">
        <f>AG3+AG4+AG6+AG7+AG8+AG15+AG16+AG18</f>
        <v>3784</v>
      </c>
      <c r="AH35" s="67">
        <f t="shared" si="112"/>
        <v>3674</v>
      </c>
      <c r="AI35" s="67">
        <f t="shared" si="112"/>
        <v>3238</v>
      </c>
      <c r="AJ35" s="67">
        <f>AJ3+AJ4+AJ6+AJ7+AJ8+AJ15+AJ16+AJ18</f>
        <v>3634</v>
      </c>
      <c r="AK35" s="67">
        <f>AK3+AK4+AK6+AK7+AK8+AK15+AK16+AK18</f>
        <v>3736</v>
      </c>
      <c r="AL35" s="67">
        <f>AL3+AL4+AL6+AL7+AL8+AL15+AL16+AL18</f>
        <v>3743</v>
      </c>
      <c r="AM35" s="67">
        <f>AM3+AM4+AM6+AM7+AM8+AM15+AM16+AM18+AM29</f>
        <v>3528</v>
      </c>
      <c r="AN35" s="67">
        <f>AN3+AN4+AN6+AN7+AN8+AN15+AN16+AN18+AN29+AN19</f>
        <v>3613</v>
      </c>
      <c r="AO35" s="67">
        <f>AO3+AO4+AO6+AO7+AO8+AO15+AO16+AO18+AO29+AO19</f>
        <v>3759</v>
      </c>
      <c r="AP35" s="67">
        <f>AP3+AP4+AP6+AP7+AP8+AP15+AP16+AP18+AP29+AP19+AP20</f>
        <v>3760</v>
      </c>
      <c r="AQ35" s="67">
        <f>AQ3+AQ4+AQ6+AQ7+AQ8+AQ15+AQ16+AQ18+AQ29+AQ19+AQ20</f>
        <v>3618</v>
      </c>
      <c r="AR35" s="67">
        <f>SUM(AR5:AR29)</f>
        <v>3882</v>
      </c>
      <c r="AS35" s="67">
        <f>AS3+AS4+AS6+AS7+AS8+AS15+AS16+AS18+AS29+AS19</f>
        <v>3784.2</v>
      </c>
      <c r="AT35" s="67">
        <f>AT3+AT4+AT6+AT7+AT8+AT15+AT16+AT18+AT29+AT19</f>
        <v>3747.8</v>
      </c>
      <c r="AU35" s="67">
        <f>AU3+AU4+AU6+AU7+AU8+AU15+AU16+AU18+AU29+AU19</f>
        <v>3580.25</v>
      </c>
      <c r="AV35" s="67">
        <f>AV3+AV4+AV6+AV7+AV8+AV15+AV16+AV18+AV29+AV19+AV20</f>
        <v>4173</v>
      </c>
      <c r="AW35" s="67">
        <f>AW3+AW4+AW6+AW7+AW8+AW15+AW16+AW18+AW29+AW19</f>
        <v>3852.59</v>
      </c>
      <c r="AX35" s="67">
        <f>AX3+AX4+AX6+AX7+AX8+AX15+AX16+AX18+AX29+AX19+AX20+AX28</f>
        <v>4007.66</v>
      </c>
      <c r="AY35" s="67">
        <f t="shared" ref="AY35:BD35" si="113">SUM(AY5:AY33)</f>
        <v>0</v>
      </c>
      <c r="AZ35" s="67">
        <f t="shared" si="113"/>
        <v>4595</v>
      </c>
      <c r="BA35" s="67">
        <f t="shared" si="113"/>
        <v>0</v>
      </c>
      <c r="BB35" s="67">
        <f t="shared" si="113"/>
        <v>0</v>
      </c>
      <c r="BC35" s="67">
        <f t="shared" si="113"/>
        <v>0</v>
      </c>
      <c r="BD35" s="67">
        <f t="shared" si="113"/>
        <v>4949</v>
      </c>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f t="shared" ref="CT35:CZ35" si="114">CT3+CT4+CT6+CT7+CT8+CT15+CT16+CT18</f>
        <v>3186.4</v>
      </c>
      <c r="CU35" s="67">
        <f t="shared" si="114"/>
        <v>3497.1</v>
      </c>
      <c r="CV35" s="67">
        <f t="shared" si="114"/>
        <v>4880.6000000000004</v>
      </c>
      <c r="CW35" s="74">
        <f t="shared" si="114"/>
        <v>7867.5</v>
      </c>
      <c r="CX35" s="74">
        <f t="shared" si="114"/>
        <v>9977.253999999999</v>
      </c>
      <c r="CY35" s="74">
        <f t="shared" si="114"/>
        <v>12022</v>
      </c>
      <c r="CZ35" s="67">
        <f t="shared" si="114"/>
        <v>13858</v>
      </c>
      <c r="DA35" s="67">
        <f>DA3+DA4+DA6+DA7+DA8+DA15+DA16+DA18</f>
        <v>14311</v>
      </c>
      <c r="DB35" s="67">
        <f>DB3+DB4+DB6+DB7+DB8+DB15+DB16+DB18+DB19+DB29</f>
        <v>14687</v>
      </c>
      <c r="DC35" s="67">
        <f>SUM(DC5:DC29)</f>
        <v>14351</v>
      </c>
      <c r="DD35" s="67">
        <f t="shared" ref="DD35:DI35" si="115">SUM(DD5:DD29)</f>
        <v>14660</v>
      </c>
      <c r="DE35" s="67">
        <f>SUM(DE5:DE29)</f>
        <v>15193</v>
      </c>
      <c r="DF35" s="67">
        <f t="shared" si="115"/>
        <v>13822.759999999998</v>
      </c>
      <c r="DG35" s="67">
        <f t="shared" si="115"/>
        <v>14735.160499999998</v>
      </c>
      <c r="DH35" s="67">
        <f t="shared" si="115"/>
        <v>13885.463324999999</v>
      </c>
      <c r="DI35" s="67">
        <f t="shared" si="115"/>
        <v>12983.17309875</v>
      </c>
      <c r="DJ35" s="67">
        <f>SUM(DJ5:DJ29)</f>
        <v>12758.420178562499</v>
      </c>
      <c r="DK35" s="67">
        <f>SUM(DK5:DK29)</f>
        <v>388.62773578125018</v>
      </c>
      <c r="DL35" s="67">
        <f>SUM(DL5:DL29)</f>
        <v>0</v>
      </c>
      <c r="DM35" s="67">
        <f>SUM(DM3:DM33)</f>
        <v>22204</v>
      </c>
      <c r="DN35" s="67">
        <f t="shared" ref="DN35:DO35" si="116">SUM(DN3:DN33)</f>
        <v>24240</v>
      </c>
      <c r="DO35" s="67">
        <f t="shared" si="116"/>
        <v>24297</v>
      </c>
      <c r="DP35" s="67">
        <f>SUM(DP3:DP33)</f>
        <v>24780</v>
      </c>
      <c r="DQ35" s="67">
        <f>SUM(DQ3:DQ34)</f>
        <v>29635.767968750002</v>
      </c>
      <c r="DR35" s="67">
        <f t="shared" ref="DR35:EC35" si="117">SUM(DR3:DR34)</f>
        <v>31355.635471875004</v>
      </c>
      <c r="DS35" s="67">
        <f t="shared" si="117"/>
        <v>32459.817667687508</v>
      </c>
      <c r="DT35" s="67">
        <f t="shared" si="117"/>
        <v>32490.294621948753</v>
      </c>
      <c r="DU35" s="67">
        <f t="shared" si="117"/>
        <v>32770.035131648183</v>
      </c>
      <c r="DV35" s="67">
        <f t="shared" si="117"/>
        <v>32142.945117418822</v>
      </c>
      <c r="DW35" s="67">
        <f t="shared" si="117"/>
        <v>30914.36777151121</v>
      </c>
      <c r="DX35" s="67">
        <f t="shared" si="117"/>
        <v>25848.782674824201</v>
      </c>
      <c r="DY35" s="67">
        <f t="shared" si="117"/>
        <v>23401.793165253843</v>
      </c>
      <c r="DZ35" s="67">
        <f t="shared" si="117"/>
        <v>22108.40076584194</v>
      </c>
      <c r="EA35" s="67">
        <f t="shared" si="117"/>
        <v>21458.59358783887</v>
      </c>
      <c r="EB35" s="67">
        <f t="shared" si="117"/>
        <v>21154.934861815233</v>
      </c>
      <c r="EC35" s="67">
        <f t="shared" si="117"/>
        <v>14928.908449368631</v>
      </c>
    </row>
    <row r="36" spans="2:203" s="26" customFormat="1">
      <c r="B36" s="26" t="s">
        <v>451</v>
      </c>
      <c r="C36" s="67">
        <f>3+31.5+68.4</f>
        <v>102.9</v>
      </c>
      <c r="D36" s="67">
        <f>16+54+80</f>
        <v>150</v>
      </c>
      <c r="E36" s="67">
        <f>60.6+62.9+90.7+89.5</f>
        <v>303.7</v>
      </c>
      <c r="F36" s="67"/>
      <c r="G36" s="67">
        <f>31.5+68.4</f>
        <v>99.9</v>
      </c>
      <c r="H36" s="67">
        <f>80+53.9</f>
        <v>133.9</v>
      </c>
      <c r="I36" s="67">
        <f>62.8+90.7</f>
        <v>153.5</v>
      </c>
      <c r="J36" s="67">
        <f>92.4+52.1</f>
        <v>144.5</v>
      </c>
      <c r="K36" s="67">
        <v>125.3</v>
      </c>
      <c r="L36" s="67">
        <v>124.6</v>
      </c>
      <c r="M36" s="67">
        <v>130</v>
      </c>
      <c r="N36" s="67">
        <f>99.3+9.3</f>
        <v>108.6</v>
      </c>
      <c r="O36" s="67">
        <f>13+122.2</f>
        <v>135.19999999999999</v>
      </c>
      <c r="P36" s="67">
        <f>18+135.9</f>
        <v>153.9</v>
      </c>
      <c r="Q36" s="67">
        <f>19+134</f>
        <v>153</v>
      </c>
      <c r="R36" s="67">
        <v>131</v>
      </c>
      <c r="S36" s="67">
        <v>98</v>
      </c>
      <c r="T36" s="67">
        <v>100</v>
      </c>
      <c r="U36" s="67">
        <v>107</v>
      </c>
      <c r="V36" s="67">
        <v>103</v>
      </c>
      <c r="W36" s="67">
        <v>90</v>
      </c>
      <c r="X36" s="67">
        <v>113</v>
      </c>
      <c r="Y36" s="67">
        <v>109</v>
      </c>
      <c r="Z36" s="67">
        <v>98</v>
      </c>
      <c r="AA36" s="67">
        <v>122</v>
      </c>
      <c r="AB36" s="67">
        <v>124</v>
      </c>
      <c r="AC36" s="67">
        <v>87</v>
      </c>
      <c r="AD36" s="67">
        <v>127</v>
      </c>
      <c r="AE36" s="67">
        <v>76</v>
      </c>
      <c r="AF36" s="67">
        <v>72</v>
      </c>
      <c r="AG36" s="67">
        <v>91</v>
      </c>
      <c r="AH36" s="67">
        <v>77</v>
      </c>
      <c r="AI36" s="67">
        <v>70</v>
      </c>
      <c r="AJ36" s="67">
        <v>79</v>
      </c>
      <c r="AK36" s="67">
        <v>76</v>
      </c>
      <c r="AL36" s="67">
        <v>66</v>
      </c>
      <c r="AM36" s="67">
        <v>64</v>
      </c>
      <c r="AN36" s="67">
        <v>191</v>
      </c>
      <c r="AO36" s="67">
        <v>57</v>
      </c>
      <c r="AP36" s="67">
        <v>81</v>
      </c>
      <c r="AQ36" s="67">
        <v>88</v>
      </c>
      <c r="AR36" s="67">
        <f>11+66</f>
        <v>77</v>
      </c>
      <c r="AS36" s="67">
        <f>+AR36</f>
        <v>77</v>
      </c>
      <c r="AT36" s="67">
        <f>+AS36</f>
        <v>77</v>
      </c>
      <c r="AU36" s="67">
        <f>+AT36</f>
        <v>77</v>
      </c>
      <c r="AV36" s="67">
        <f>27+277</f>
        <v>304</v>
      </c>
      <c r="AW36" s="67">
        <f>+AV36</f>
        <v>304</v>
      </c>
      <c r="AX36" s="67">
        <f>+AW36</f>
        <v>304</v>
      </c>
      <c r="AY36" s="67"/>
      <c r="AZ36" s="67"/>
      <c r="BA36" s="67"/>
      <c r="BB36" s="67"/>
      <c r="BC36" s="67"/>
      <c r="BD36" s="67">
        <v>231</v>
      </c>
      <c r="BE36" s="67"/>
      <c r="BF36" s="67"/>
      <c r="BG36" s="67"/>
      <c r="BH36" s="67"/>
      <c r="BI36" s="67"/>
      <c r="BJ36" s="67"/>
      <c r="BK36" s="67"/>
      <c r="BL36" s="67"/>
      <c r="BM36" s="67"/>
      <c r="BN36" s="67"/>
      <c r="BO36" s="67"/>
      <c r="BP36" s="67"/>
      <c r="BQ36" s="67"/>
      <c r="BR36" s="67"/>
      <c r="BS36" s="67"/>
      <c r="BT36" s="67"/>
      <c r="BU36" s="67"/>
      <c r="BV36" s="67">
        <v>229</v>
      </c>
      <c r="BW36" s="67">
        <v>271</v>
      </c>
      <c r="BX36" s="67">
        <v>297</v>
      </c>
      <c r="BY36" s="67">
        <v>274</v>
      </c>
      <c r="BZ36" s="67">
        <v>316</v>
      </c>
      <c r="CA36" s="67">
        <v>267</v>
      </c>
      <c r="CB36" s="67">
        <v>298</v>
      </c>
      <c r="CC36" s="67">
        <v>319</v>
      </c>
      <c r="CD36" s="67">
        <v>300</v>
      </c>
      <c r="CE36" s="67">
        <v>309</v>
      </c>
      <c r="CF36" s="67">
        <v>412</v>
      </c>
      <c r="CG36" s="67">
        <v>386</v>
      </c>
      <c r="CH36" s="67">
        <v>575</v>
      </c>
      <c r="CI36" s="67">
        <v>507</v>
      </c>
      <c r="CJ36" s="67">
        <v>313</v>
      </c>
      <c r="CK36" s="67">
        <v>415</v>
      </c>
      <c r="CL36" s="67">
        <v>287</v>
      </c>
      <c r="CM36" s="67">
        <f t="shared" ref="CM36:CP36" si="118">AVERAGE(CI36:CL36)</f>
        <v>380.5</v>
      </c>
      <c r="CN36" s="67">
        <f t="shared" si="118"/>
        <v>348.875</v>
      </c>
      <c r="CO36" s="67">
        <f t="shared" si="118"/>
        <v>357.84375</v>
      </c>
      <c r="CP36" s="67">
        <f t="shared" si="118"/>
        <v>343.5546875</v>
      </c>
      <c r="CQ36" s="67"/>
      <c r="CR36" s="67"/>
      <c r="CS36" s="67"/>
      <c r="CT36" s="67">
        <v>427</v>
      </c>
      <c r="CU36" s="67">
        <v>505</v>
      </c>
      <c r="CV36" s="67">
        <v>532</v>
      </c>
      <c r="CW36" s="67">
        <v>488</v>
      </c>
      <c r="CX36" s="67">
        <v>573.1</v>
      </c>
      <c r="CY36" s="67">
        <f>SUM(S36:V36)</f>
        <v>408</v>
      </c>
      <c r="CZ36" s="67">
        <f>SUM(W36:Z36)</f>
        <v>410</v>
      </c>
      <c r="DA36" s="67">
        <f>SUM(AA36:AD36)</f>
        <v>460</v>
      </c>
      <c r="DB36" s="67">
        <f>SUM(AE36:AH36)</f>
        <v>316</v>
      </c>
      <c r="DC36" s="67">
        <f>SUM(AI36:AL36)</f>
        <v>291</v>
      </c>
      <c r="DD36" s="67">
        <f>SUM(AM36:AP36)</f>
        <v>393</v>
      </c>
      <c r="DE36" s="67">
        <f>SUM(AQ36:AT36)</f>
        <v>319</v>
      </c>
      <c r="DF36" s="67">
        <f>DE36*(1+DF64)</f>
        <v>325.38</v>
      </c>
      <c r="DG36" s="67">
        <f>DF36*(1+DG64)</f>
        <v>331.88760000000002</v>
      </c>
      <c r="DH36" s="67">
        <f>DG36*(1+DH64)</f>
        <v>338.52535200000005</v>
      </c>
      <c r="DI36" s="67">
        <f>DH36</f>
        <v>338.52535200000005</v>
      </c>
      <c r="DJ36" s="67">
        <f>DI36</f>
        <v>338.52535200000005</v>
      </c>
      <c r="DK36" s="67">
        <f>DJ36</f>
        <v>338.52535200000005</v>
      </c>
      <c r="DL36" s="67"/>
      <c r="DM36" s="67">
        <f t="shared" ref="DM36" si="119">SUM(BW36:BZ36)</f>
        <v>1158</v>
      </c>
      <c r="DN36" s="67">
        <f>SUM(CA36:CD36)</f>
        <v>1184</v>
      </c>
      <c r="DO36" s="67">
        <f>SUM(CE36:CH36)</f>
        <v>1682</v>
      </c>
      <c r="DP36" s="67">
        <f>SUM(CI36:CL36)</f>
        <v>1522</v>
      </c>
      <c r="DQ36" s="67">
        <f t="shared" ref="DQ36" si="120">SUM(CM36:CP36)</f>
        <v>1430.7734375</v>
      </c>
      <c r="DR36" s="67">
        <f>+DQ36*0.9</f>
        <v>1287.69609375</v>
      </c>
      <c r="DS36" s="67">
        <f t="shared" ref="DS36:EC36" si="121">+DR36*0.9</f>
        <v>1158.926484375</v>
      </c>
      <c r="DT36" s="67">
        <f t="shared" si="121"/>
        <v>1043.0338359375</v>
      </c>
      <c r="DU36" s="67">
        <f t="shared" si="121"/>
        <v>938.73045234375002</v>
      </c>
      <c r="DV36" s="67">
        <f t="shared" si="121"/>
        <v>844.857407109375</v>
      </c>
      <c r="DW36" s="67">
        <f t="shared" si="121"/>
        <v>760.37166639843747</v>
      </c>
      <c r="DX36" s="67">
        <f t="shared" si="121"/>
        <v>684.33449975859378</v>
      </c>
      <c r="DY36" s="67">
        <f t="shared" si="121"/>
        <v>615.90104978273439</v>
      </c>
      <c r="DZ36" s="67">
        <f t="shared" si="121"/>
        <v>554.31094480446097</v>
      </c>
      <c r="EA36" s="67">
        <f t="shared" si="121"/>
        <v>498.87985032401491</v>
      </c>
      <c r="EB36" s="67">
        <f t="shared" si="121"/>
        <v>448.99186529161341</v>
      </c>
      <c r="EC36" s="67">
        <f t="shared" si="121"/>
        <v>404.09267876245207</v>
      </c>
    </row>
    <row r="37" spans="2:203" s="15" customFormat="1">
      <c r="B37" s="32" t="s">
        <v>445</v>
      </c>
      <c r="C37" s="75">
        <f t="shared" ref="C37:J37" si="122">SUM(C35:C36)</f>
        <v>899.9</v>
      </c>
      <c r="D37" s="75">
        <f t="shared" si="122"/>
        <v>1008</v>
      </c>
      <c r="E37" s="75">
        <f t="shared" si="122"/>
        <v>1206.7</v>
      </c>
      <c r="F37" s="75">
        <f t="shared" si="122"/>
        <v>962</v>
      </c>
      <c r="G37" s="75">
        <f t="shared" si="122"/>
        <v>1008.5000000000001</v>
      </c>
      <c r="H37" s="75">
        <f t="shared" si="122"/>
        <v>1248.9000000000001</v>
      </c>
      <c r="I37" s="75">
        <f t="shared" si="122"/>
        <v>1499.3</v>
      </c>
      <c r="J37" s="75">
        <f t="shared" si="122"/>
        <v>1766.1000000000001</v>
      </c>
      <c r="K37" s="75">
        <f t="shared" ref="K37:S37" si="123">SUM(K35:K36)</f>
        <v>1761.3</v>
      </c>
      <c r="L37" s="75">
        <f t="shared" si="123"/>
        <v>2041.1</v>
      </c>
      <c r="M37" s="75">
        <f>SUM(M35:M36)</f>
        <v>2208.1999999999998</v>
      </c>
      <c r="N37" s="75">
        <f>SUM(N35:N36)</f>
        <v>2346.6</v>
      </c>
      <c r="O37" s="75">
        <f t="shared" si="123"/>
        <v>2342.8999999999996</v>
      </c>
      <c r="P37" s="75">
        <f t="shared" si="123"/>
        <v>2584.6</v>
      </c>
      <c r="Q37" s="75">
        <f t="shared" si="123"/>
        <v>2713</v>
      </c>
      <c r="R37" s="75">
        <f t="shared" si="123"/>
        <v>2909</v>
      </c>
      <c r="S37" s="75">
        <f t="shared" si="123"/>
        <v>2833</v>
      </c>
      <c r="T37" s="75">
        <f>SUM(T35,T36)</f>
        <v>3172</v>
      </c>
      <c r="U37" s="75">
        <f>SUM(U35,U36)</f>
        <v>3154</v>
      </c>
      <c r="V37" s="75">
        <f>SUM(V35,V36)</f>
        <v>3271</v>
      </c>
      <c r="W37" s="75">
        <f t="shared" ref="W37:AD37" si="124">SUM(W35:W36)</f>
        <v>3217</v>
      </c>
      <c r="X37" s="75">
        <f t="shared" si="124"/>
        <v>3604</v>
      </c>
      <c r="Y37" s="75">
        <f t="shared" si="124"/>
        <v>3612</v>
      </c>
      <c r="Z37" s="75">
        <f t="shared" si="124"/>
        <v>3835</v>
      </c>
      <c r="AA37" s="75">
        <f t="shared" si="124"/>
        <v>3687</v>
      </c>
      <c r="AB37" s="75">
        <f t="shared" si="124"/>
        <v>3728</v>
      </c>
      <c r="AC37" s="75">
        <f t="shared" si="124"/>
        <v>3611</v>
      </c>
      <c r="AD37" s="75">
        <f t="shared" si="124"/>
        <v>3745</v>
      </c>
      <c r="AE37" s="75">
        <f t="shared" ref="AE37:AN37" si="125">SUM(AE35:AE36)</f>
        <v>3613</v>
      </c>
      <c r="AF37" s="75">
        <f t="shared" si="125"/>
        <v>3764</v>
      </c>
      <c r="AG37" s="75">
        <f t="shared" si="125"/>
        <v>3875</v>
      </c>
      <c r="AH37" s="75">
        <f t="shared" si="125"/>
        <v>3751</v>
      </c>
      <c r="AI37" s="75">
        <f t="shared" si="125"/>
        <v>3308</v>
      </c>
      <c r="AJ37" s="75">
        <f t="shared" si="125"/>
        <v>3713</v>
      </c>
      <c r="AK37" s="75">
        <f t="shared" si="125"/>
        <v>3812</v>
      </c>
      <c r="AL37" s="75">
        <f t="shared" si="125"/>
        <v>3809</v>
      </c>
      <c r="AM37" s="75">
        <f t="shared" si="125"/>
        <v>3592</v>
      </c>
      <c r="AN37" s="75">
        <f t="shared" si="125"/>
        <v>3804</v>
      </c>
      <c r="AO37" s="75">
        <f t="shared" ref="AO37:AT37" si="126">SUM(AO35:AO36)</f>
        <v>3816</v>
      </c>
      <c r="AP37" s="75">
        <f t="shared" si="126"/>
        <v>3841</v>
      </c>
      <c r="AQ37" s="75">
        <f t="shared" si="126"/>
        <v>3706</v>
      </c>
      <c r="AR37" s="75">
        <f>SUM(AR35:AR36)</f>
        <v>3959</v>
      </c>
      <c r="AS37" s="75">
        <f>SUM(AS35:AS36)</f>
        <v>3861.2</v>
      </c>
      <c r="AT37" s="75">
        <f t="shared" si="126"/>
        <v>3824.8</v>
      </c>
      <c r="AU37" s="75">
        <f>SUM(AU35:AU36)</f>
        <v>3657.25</v>
      </c>
      <c r="AV37" s="75">
        <f>SUM(AV35:AV36)</f>
        <v>4477</v>
      </c>
      <c r="AW37" s="75">
        <f>SUM(AW35:AW36)</f>
        <v>4156.59</v>
      </c>
      <c r="AX37" s="75">
        <f>SUM(AX35:AX36)</f>
        <v>4311.66</v>
      </c>
      <c r="AY37" s="75"/>
      <c r="AZ37" s="75"/>
      <c r="BA37" s="75"/>
      <c r="BB37" s="75"/>
      <c r="BC37" s="75"/>
      <c r="BD37" s="75">
        <f>+BD35+BD36</f>
        <v>5180</v>
      </c>
      <c r="BE37" s="75"/>
      <c r="BF37" s="75"/>
      <c r="BG37" s="75"/>
      <c r="BH37" s="75"/>
      <c r="BI37" s="75"/>
      <c r="BJ37" s="75"/>
      <c r="BK37" s="75"/>
      <c r="BL37" s="75"/>
      <c r="BM37" s="75"/>
      <c r="BN37" s="75"/>
      <c r="BO37" s="75"/>
      <c r="BP37" s="75"/>
      <c r="BQ37" s="75"/>
      <c r="BR37" s="75"/>
      <c r="BS37" s="75"/>
      <c r="BT37" s="75"/>
      <c r="BU37" s="75"/>
      <c r="BV37" s="75">
        <f t="shared" ref="BV37:CB37" si="127">SUM(BV3:BV36)</f>
        <v>6230</v>
      </c>
      <c r="BW37" s="75">
        <f t="shared" si="127"/>
        <v>5557</v>
      </c>
      <c r="BX37" s="75">
        <f t="shared" si="127"/>
        <v>5871</v>
      </c>
      <c r="BY37" s="75">
        <f t="shared" si="127"/>
        <v>5737</v>
      </c>
      <c r="BZ37" s="75">
        <f t="shared" si="127"/>
        <v>6197</v>
      </c>
      <c r="CA37" s="75">
        <f t="shared" si="127"/>
        <v>6161</v>
      </c>
      <c r="CB37" s="75">
        <f t="shared" si="127"/>
        <v>6206</v>
      </c>
      <c r="CC37" s="75">
        <f t="shared" ref="CC37:CP37" si="128">SUM(CC3:CC36)</f>
        <v>6423</v>
      </c>
      <c r="CD37" s="75">
        <f t="shared" si="128"/>
        <v>6634</v>
      </c>
      <c r="CE37" s="75">
        <f t="shared" si="128"/>
        <v>5901</v>
      </c>
      <c r="CF37" s="75">
        <f t="shared" si="128"/>
        <v>6526</v>
      </c>
      <c r="CG37" s="75">
        <f t="shared" si="128"/>
        <v>6706</v>
      </c>
      <c r="CH37" s="75">
        <f t="shared" si="128"/>
        <v>6846</v>
      </c>
      <c r="CI37" s="75">
        <f t="shared" si="128"/>
        <v>6238</v>
      </c>
      <c r="CJ37" s="75">
        <f t="shared" si="128"/>
        <v>6594</v>
      </c>
      <c r="CK37" s="75">
        <f t="shared" si="128"/>
        <v>6652</v>
      </c>
      <c r="CL37" s="75">
        <f t="shared" si="128"/>
        <v>6839</v>
      </c>
      <c r="CM37" s="75">
        <f t="shared" si="128"/>
        <v>6515.7400000000007</v>
      </c>
      <c r="CN37" s="75">
        <f t="shared" si="128"/>
        <v>7004.3125</v>
      </c>
      <c r="CO37" s="75">
        <f t="shared" si="128"/>
        <v>6969.3406249999998</v>
      </c>
      <c r="CP37" s="75">
        <f t="shared" si="128"/>
        <v>7277.1482812499999</v>
      </c>
      <c r="CQ37" s="75"/>
      <c r="CR37" s="75"/>
      <c r="CS37" s="72"/>
      <c r="CT37" s="75">
        <f t="shared" ref="CT37:CZ37" si="129">CT35+CT36</f>
        <v>3613.4</v>
      </c>
      <c r="CU37" s="75">
        <f t="shared" si="129"/>
        <v>4002.1</v>
      </c>
      <c r="CV37" s="75">
        <f t="shared" si="129"/>
        <v>5412.6</v>
      </c>
      <c r="CW37" s="75">
        <f t="shared" si="129"/>
        <v>8355.5</v>
      </c>
      <c r="CX37" s="75">
        <f t="shared" si="129"/>
        <v>10550.353999999999</v>
      </c>
      <c r="CY37" s="75">
        <f t="shared" si="129"/>
        <v>12430</v>
      </c>
      <c r="CZ37" s="75">
        <f t="shared" si="129"/>
        <v>14268</v>
      </c>
      <c r="DA37" s="75">
        <f>DA35+DA36</f>
        <v>14771</v>
      </c>
      <c r="DB37" s="75">
        <f>DB35+DB36</f>
        <v>15003</v>
      </c>
      <c r="DC37" s="75">
        <f>DC35+DC36</f>
        <v>14642</v>
      </c>
      <c r="DD37" s="75">
        <f t="shared" ref="DD37:DI37" si="130">DD36+DD35</f>
        <v>15053</v>
      </c>
      <c r="DE37" s="75">
        <f>DE36+DE35</f>
        <v>15512</v>
      </c>
      <c r="DF37" s="75">
        <f t="shared" si="130"/>
        <v>14148.139999999998</v>
      </c>
      <c r="DG37" s="75">
        <f t="shared" si="130"/>
        <v>15067.048099999998</v>
      </c>
      <c r="DH37" s="75">
        <f t="shared" si="130"/>
        <v>14223.988676999999</v>
      </c>
      <c r="DI37" s="75">
        <f t="shared" si="130"/>
        <v>13321.69845075</v>
      </c>
      <c r="DJ37" s="75">
        <f>DJ36+DJ35</f>
        <v>13096.9455305625</v>
      </c>
      <c r="DK37" s="75">
        <f>DK36+DK35</f>
        <v>727.15308778125018</v>
      </c>
      <c r="DL37" s="75">
        <f>DL36+DL35</f>
        <v>0</v>
      </c>
      <c r="DM37" s="75">
        <f>DM36+DM35</f>
        <v>23362</v>
      </c>
      <c r="DN37" s="75">
        <f t="shared" ref="DN37:EC37" si="131">DN36+DN35</f>
        <v>25424</v>
      </c>
      <c r="DO37" s="75">
        <f t="shared" si="131"/>
        <v>25979</v>
      </c>
      <c r="DP37" s="75">
        <f t="shared" si="131"/>
        <v>26302</v>
      </c>
      <c r="DQ37" s="75">
        <f t="shared" si="131"/>
        <v>31066.541406250002</v>
      </c>
      <c r="DR37" s="75">
        <f t="shared" si="131"/>
        <v>32643.331565625005</v>
      </c>
      <c r="DS37" s="75">
        <f t="shared" si="131"/>
        <v>33618.744152062507</v>
      </c>
      <c r="DT37" s="75">
        <f t="shared" si="131"/>
        <v>33533.328457886251</v>
      </c>
      <c r="DU37" s="75">
        <f t="shared" si="131"/>
        <v>33708.765583991932</v>
      </c>
      <c r="DV37" s="75">
        <f t="shared" si="131"/>
        <v>32987.802524528197</v>
      </c>
      <c r="DW37" s="75">
        <f t="shared" si="131"/>
        <v>31674.739437909648</v>
      </c>
      <c r="DX37" s="75">
        <f t="shared" si="131"/>
        <v>26533.117174582796</v>
      </c>
      <c r="DY37" s="75">
        <f t="shared" si="131"/>
        <v>24017.694215036576</v>
      </c>
      <c r="DZ37" s="75">
        <f t="shared" si="131"/>
        <v>22662.711710646399</v>
      </c>
      <c r="EA37" s="75">
        <f t="shared" si="131"/>
        <v>21957.473438162884</v>
      </c>
      <c r="EB37" s="75">
        <f t="shared" si="131"/>
        <v>21603.926727106846</v>
      </c>
      <c r="EC37" s="75">
        <f t="shared" si="131"/>
        <v>15333.001128131084</v>
      </c>
    </row>
    <row r="38" spans="2:203" s="15" customFormat="1">
      <c r="B38" s="15" t="s">
        <v>99</v>
      </c>
      <c r="C38" s="67">
        <v>103.6</v>
      </c>
      <c r="D38" s="67">
        <v>132</v>
      </c>
      <c r="E38" s="67">
        <v>200.7</v>
      </c>
      <c r="F38" s="67"/>
      <c r="G38" s="67">
        <v>103.6</v>
      </c>
      <c r="H38" s="67">
        <v>131.9</v>
      </c>
      <c r="I38" s="67">
        <v>200.7</v>
      </c>
      <c r="J38" s="67">
        <v>253.3</v>
      </c>
      <c r="K38" s="67">
        <v>278.39999999999998</v>
      </c>
      <c r="L38" s="67">
        <v>324.2</v>
      </c>
      <c r="M38" s="67">
        <v>336</v>
      </c>
      <c r="N38" s="67">
        <v>383.5</v>
      </c>
      <c r="O38" s="67">
        <v>371.5</v>
      </c>
      <c r="P38" s="67">
        <v>435</v>
      </c>
      <c r="Q38" s="67">
        <v>447</v>
      </c>
      <c r="R38" s="67">
        <v>476</v>
      </c>
      <c r="S38" s="67">
        <v>489</v>
      </c>
      <c r="T38" s="67">
        <v>530</v>
      </c>
      <c r="U38" s="67">
        <v>505</v>
      </c>
      <c r="V38" s="67">
        <v>511</v>
      </c>
      <c r="W38" s="67">
        <v>552</v>
      </c>
      <c r="X38" s="67">
        <v>492</v>
      </c>
      <c r="Y38" s="67">
        <v>485</v>
      </c>
      <c r="Z38" s="67">
        <v>551</v>
      </c>
      <c r="AA38" s="67">
        <v>559</v>
      </c>
      <c r="AB38" s="67">
        <v>546</v>
      </c>
      <c r="AC38" s="67">
        <v>585</v>
      </c>
      <c r="AD38" s="67">
        <v>565</v>
      </c>
      <c r="AE38" s="67">
        <v>542</v>
      </c>
      <c r="AF38" s="67">
        <v>512</v>
      </c>
      <c r="AG38" s="67">
        <v>590</v>
      </c>
      <c r="AH38" s="67">
        <v>549</v>
      </c>
      <c r="AI38" s="67">
        <v>474</v>
      </c>
      <c r="AJ38" s="67">
        <v>527</v>
      </c>
      <c r="AK38" s="67">
        <v>542</v>
      </c>
      <c r="AL38" s="67">
        <v>535</v>
      </c>
      <c r="AM38" s="67">
        <v>504</v>
      </c>
      <c r="AN38" s="67">
        <v>549</v>
      </c>
      <c r="AO38" s="74">
        <v>584</v>
      </c>
      <c r="AP38" s="67">
        <v>568</v>
      </c>
      <c r="AQ38" s="67">
        <v>540</v>
      </c>
      <c r="AR38" s="67">
        <v>569</v>
      </c>
      <c r="AS38" s="67">
        <f>+AS37-AS39</f>
        <v>579.17999999999984</v>
      </c>
      <c r="AT38" s="67">
        <f>+AT37-AT39</f>
        <v>573.72000000000025</v>
      </c>
      <c r="AU38" s="67"/>
      <c r="AV38" s="67">
        <v>682</v>
      </c>
      <c r="AW38" s="67"/>
      <c r="AX38" s="67"/>
      <c r="AY38" s="67"/>
      <c r="AZ38" s="67"/>
      <c r="BA38" s="67"/>
      <c r="BB38" s="67"/>
      <c r="BC38" s="67"/>
      <c r="BD38" s="67">
        <v>789</v>
      </c>
      <c r="BE38" s="67"/>
      <c r="BF38" s="67"/>
      <c r="BG38" s="67"/>
      <c r="BH38" s="67"/>
      <c r="BI38" s="67"/>
      <c r="BJ38" s="67"/>
      <c r="BK38" s="67"/>
      <c r="BL38" s="67"/>
      <c r="BM38" s="67"/>
      <c r="BN38" s="67"/>
      <c r="BO38" s="67"/>
      <c r="BP38" s="67"/>
      <c r="BQ38" s="67"/>
      <c r="BR38" s="67"/>
      <c r="BS38" s="67"/>
      <c r="BT38" s="67"/>
      <c r="BU38" s="67"/>
      <c r="BV38" s="67">
        <v>819</v>
      </c>
      <c r="BW38" s="67">
        <v>779</v>
      </c>
      <c r="BX38" s="67">
        <v>736</v>
      </c>
      <c r="BY38" s="67"/>
      <c r="BZ38" s="67">
        <v>790</v>
      </c>
      <c r="CA38" s="67">
        <v>771</v>
      </c>
      <c r="CB38" s="67">
        <v>758</v>
      </c>
      <c r="CC38" s="67">
        <v>874</v>
      </c>
      <c r="CD38" s="67">
        <v>959</v>
      </c>
      <c r="CE38" s="67">
        <v>867</v>
      </c>
      <c r="CF38" s="67">
        <v>1034</v>
      </c>
      <c r="CG38" s="67">
        <v>997</v>
      </c>
      <c r="CH38" s="67">
        <v>1096</v>
      </c>
      <c r="CI38" s="67">
        <v>951</v>
      </c>
      <c r="CJ38" s="67">
        <v>926</v>
      </c>
      <c r="CK38" s="67">
        <v>1003</v>
      </c>
      <c r="CL38" s="67">
        <v>1071</v>
      </c>
      <c r="CM38" s="67">
        <f t="shared" ref="CM38:CP38" si="132">+CM37-CM39</f>
        <v>977.36099999999988</v>
      </c>
      <c r="CN38" s="67">
        <f t="shared" si="132"/>
        <v>1050.6468750000004</v>
      </c>
      <c r="CO38" s="67">
        <f t="shared" si="132"/>
        <v>1045.4010937499997</v>
      </c>
      <c r="CP38" s="67">
        <f t="shared" si="132"/>
        <v>1091.5722421874998</v>
      </c>
      <c r="CQ38" s="67"/>
      <c r="CR38" s="67"/>
      <c r="CS38" s="72"/>
      <c r="CT38" s="67">
        <v>408</v>
      </c>
      <c r="CU38" s="67">
        <v>443</v>
      </c>
      <c r="CV38" s="67">
        <v>736</v>
      </c>
      <c r="CW38" s="67">
        <v>1322</v>
      </c>
      <c r="CX38" s="67">
        <v>1729</v>
      </c>
      <c r="CY38" s="67">
        <v>2035.057</v>
      </c>
      <c r="CZ38" s="67">
        <f>CZ37-CZ39</f>
        <v>2080</v>
      </c>
      <c r="DA38" s="67">
        <f>DA37-DA39</f>
        <v>2255</v>
      </c>
      <c r="DB38" s="67">
        <f>DB37-DB39</f>
        <v>2193</v>
      </c>
      <c r="DC38" s="67">
        <f>DC37-DC39</f>
        <v>2078</v>
      </c>
      <c r="DD38" s="67">
        <f>SUM(AM38:AP38)</f>
        <v>2205</v>
      </c>
      <c r="DE38" s="67">
        <f t="shared" ref="DE38:DK38" si="133">DE37-DE39</f>
        <v>2326.8000000000011</v>
      </c>
      <c r="DF38" s="67">
        <f t="shared" si="133"/>
        <v>2122.2209999999995</v>
      </c>
      <c r="DG38" s="67">
        <f t="shared" si="133"/>
        <v>2260.0572150000007</v>
      </c>
      <c r="DH38" s="67">
        <f t="shared" si="133"/>
        <v>2133.5983015500005</v>
      </c>
      <c r="DI38" s="67">
        <f t="shared" si="133"/>
        <v>1998.2547676124996</v>
      </c>
      <c r="DJ38" s="67">
        <f t="shared" si="133"/>
        <v>1964.5418295843756</v>
      </c>
      <c r="DK38" s="67">
        <f t="shared" si="133"/>
        <v>109.07296316718759</v>
      </c>
      <c r="DL38" s="67"/>
      <c r="DM38" s="67"/>
      <c r="DN38" s="67">
        <v>3362</v>
      </c>
      <c r="DO38" s="67">
        <v>3994</v>
      </c>
      <c r="DP38" s="67">
        <f>SUM(CI38:CL38)</f>
        <v>3951</v>
      </c>
      <c r="DQ38" s="72"/>
      <c r="DR38" s="72"/>
      <c r="DS38" s="72"/>
      <c r="DT38" s="72"/>
      <c r="DU38" s="72"/>
      <c r="DV38" s="72"/>
      <c r="DW38" s="72"/>
      <c r="DX38" s="72"/>
    </row>
    <row r="39" spans="2:203" s="15" customFormat="1">
      <c r="B39" s="15" t="s">
        <v>100</v>
      </c>
      <c r="C39" s="67">
        <f>C37-C38</f>
        <v>796.3</v>
      </c>
      <c r="D39" s="67">
        <f>D37-D38</f>
        <v>876</v>
      </c>
      <c r="E39" s="67">
        <f t="shared" ref="E39:Y39" si="134">E37-E38</f>
        <v>1006</v>
      </c>
      <c r="F39" s="67"/>
      <c r="G39" s="67">
        <f t="shared" si="134"/>
        <v>904.90000000000009</v>
      </c>
      <c r="H39" s="67">
        <f t="shared" si="134"/>
        <v>1117</v>
      </c>
      <c r="I39" s="67">
        <f t="shared" si="134"/>
        <v>1298.5999999999999</v>
      </c>
      <c r="J39" s="67">
        <f t="shared" si="134"/>
        <v>1512.8000000000002</v>
      </c>
      <c r="K39" s="67">
        <f t="shared" si="134"/>
        <v>1482.9</v>
      </c>
      <c r="L39" s="67">
        <f t="shared" si="134"/>
        <v>1716.8999999999999</v>
      </c>
      <c r="M39" s="67">
        <f t="shared" si="134"/>
        <v>1872.1999999999998</v>
      </c>
      <c r="N39" s="67">
        <f t="shared" si="134"/>
        <v>1963.1</v>
      </c>
      <c r="O39" s="67">
        <f t="shared" si="134"/>
        <v>1971.3999999999996</v>
      </c>
      <c r="P39" s="67">
        <f t="shared" si="134"/>
        <v>2149.6</v>
      </c>
      <c r="Q39" s="67">
        <f t="shared" si="134"/>
        <v>2266</v>
      </c>
      <c r="R39" s="67">
        <f t="shared" si="134"/>
        <v>2433</v>
      </c>
      <c r="S39" s="67">
        <f t="shared" si="134"/>
        <v>2344</v>
      </c>
      <c r="T39" s="67">
        <f t="shared" si="134"/>
        <v>2642</v>
      </c>
      <c r="U39" s="67">
        <f t="shared" si="134"/>
        <v>2649</v>
      </c>
      <c r="V39" s="67">
        <f t="shared" si="134"/>
        <v>2760</v>
      </c>
      <c r="W39" s="67">
        <f t="shared" si="134"/>
        <v>2665</v>
      </c>
      <c r="X39" s="67">
        <f t="shared" si="134"/>
        <v>3112</v>
      </c>
      <c r="Y39" s="67">
        <f t="shared" si="134"/>
        <v>3127</v>
      </c>
      <c r="Z39" s="67">
        <f>Z37-Z38</f>
        <v>3284</v>
      </c>
      <c r="AA39" s="67">
        <f>AA37-AA38</f>
        <v>3128</v>
      </c>
      <c r="AB39" s="67">
        <f>AB37-AB38</f>
        <v>3182</v>
      </c>
      <c r="AC39" s="67">
        <f>+AC37-AC38</f>
        <v>3026</v>
      </c>
      <c r="AD39" s="67">
        <f>AD37-AD38</f>
        <v>3180</v>
      </c>
      <c r="AE39" s="67">
        <f>AE37-AE38</f>
        <v>3071</v>
      </c>
      <c r="AF39" s="67">
        <f>AF37-AF38</f>
        <v>3252</v>
      </c>
      <c r="AG39" s="67">
        <f>+AG37-AG38</f>
        <v>3285</v>
      </c>
      <c r="AH39" s="67">
        <f>AH37-AH38</f>
        <v>3202</v>
      </c>
      <c r="AI39" s="67">
        <f>AI37-AI38</f>
        <v>2834</v>
      </c>
      <c r="AJ39" s="67">
        <f>AJ37-AJ38</f>
        <v>3186</v>
      </c>
      <c r="AK39" s="67">
        <f>AK37-AK38</f>
        <v>3270</v>
      </c>
      <c r="AL39" s="67">
        <f t="shared" ref="AL39:AQ39" si="135">+AL37-AL38</f>
        <v>3274</v>
      </c>
      <c r="AM39" s="67">
        <f t="shared" si="135"/>
        <v>3088</v>
      </c>
      <c r="AN39" s="67">
        <f t="shared" si="135"/>
        <v>3255</v>
      </c>
      <c r="AO39" s="67">
        <f t="shared" si="135"/>
        <v>3232</v>
      </c>
      <c r="AP39" s="67">
        <f t="shared" si="135"/>
        <v>3273</v>
      </c>
      <c r="AQ39" s="67">
        <f t="shared" si="135"/>
        <v>3166</v>
      </c>
      <c r="AR39" s="67">
        <f>+AR37-AR38</f>
        <v>3390</v>
      </c>
      <c r="AS39" s="67">
        <f>+AS37*AS51</f>
        <v>3282.02</v>
      </c>
      <c r="AT39" s="67">
        <f>+AT37*AT51</f>
        <v>3251.08</v>
      </c>
      <c r="AU39" s="67"/>
      <c r="AV39" s="67">
        <f>+AV37-AV38</f>
        <v>3795</v>
      </c>
      <c r="AW39" s="67"/>
      <c r="AX39" s="67"/>
      <c r="AY39" s="67"/>
      <c r="AZ39" s="67"/>
      <c r="BA39" s="67"/>
      <c r="BB39" s="67"/>
      <c r="BC39" s="67"/>
      <c r="BD39" s="67">
        <f>+BD37-BD38</f>
        <v>4391</v>
      </c>
      <c r="BE39" s="67"/>
      <c r="BF39" s="67"/>
      <c r="BG39" s="67"/>
      <c r="BH39" s="67"/>
      <c r="BI39" s="67"/>
      <c r="BJ39" s="67"/>
      <c r="BK39" s="67"/>
      <c r="BL39" s="67"/>
      <c r="BM39" s="67"/>
      <c r="BN39" s="67"/>
      <c r="BO39" s="67"/>
      <c r="BP39" s="67"/>
      <c r="BQ39" s="67"/>
      <c r="BR39" s="67"/>
      <c r="BS39" s="67"/>
      <c r="BT39" s="67"/>
      <c r="BU39" s="67"/>
      <c r="BV39" s="67">
        <f>+BV37-BV38</f>
        <v>5411</v>
      </c>
      <c r="BW39" s="67">
        <f>+BW37-BW38</f>
        <v>4778</v>
      </c>
      <c r="BX39" s="67">
        <f t="shared" ref="BX39:CB39" si="136">BX37-BX38</f>
        <v>5135</v>
      </c>
      <c r="BY39" s="67">
        <f t="shared" si="136"/>
        <v>5737</v>
      </c>
      <c r="BZ39" s="67">
        <f t="shared" si="136"/>
        <v>5407</v>
      </c>
      <c r="CA39" s="67">
        <f t="shared" si="136"/>
        <v>5390</v>
      </c>
      <c r="CB39" s="67">
        <f t="shared" si="136"/>
        <v>5448</v>
      </c>
      <c r="CC39" s="67">
        <f>CC37-CC38</f>
        <v>5549</v>
      </c>
      <c r="CD39" s="67">
        <f>CD37-CD38</f>
        <v>5675</v>
      </c>
      <c r="CE39" s="67">
        <f>CE37-CE38</f>
        <v>5034</v>
      </c>
      <c r="CF39" s="67">
        <f t="shared" ref="CF39:CI39" si="137">CF37-CF38</f>
        <v>5492</v>
      </c>
      <c r="CG39" s="67">
        <f t="shared" si="137"/>
        <v>5709</v>
      </c>
      <c r="CH39" s="67">
        <f t="shared" si="137"/>
        <v>5750</v>
      </c>
      <c r="CI39" s="67">
        <f t="shared" si="137"/>
        <v>5287</v>
      </c>
      <c r="CJ39" s="67">
        <f>+CJ37-CJ38</f>
        <v>5668</v>
      </c>
      <c r="CK39" s="67">
        <f>+CK37-CK38</f>
        <v>5649</v>
      </c>
      <c r="CL39" s="67">
        <f>+CL37-CL38</f>
        <v>5768</v>
      </c>
      <c r="CM39" s="67">
        <f t="shared" ref="CM39:CP39" si="138">+CM37*0.85</f>
        <v>5538.3790000000008</v>
      </c>
      <c r="CN39" s="67">
        <f t="shared" si="138"/>
        <v>5953.6656249999996</v>
      </c>
      <c r="CO39" s="67">
        <f t="shared" si="138"/>
        <v>5923.9395312500001</v>
      </c>
      <c r="CP39" s="67">
        <f t="shared" si="138"/>
        <v>6185.5760390625001</v>
      </c>
      <c r="CQ39" s="67"/>
      <c r="CR39" s="67"/>
      <c r="CS39" s="72"/>
      <c r="CT39" s="67">
        <f>CT37-CT38</f>
        <v>3205.4</v>
      </c>
      <c r="CU39" s="67">
        <f>CU37-CU38</f>
        <v>3559.1</v>
      </c>
      <c r="CV39" s="67">
        <f>CV37-CV38</f>
        <v>4676.6000000000004</v>
      </c>
      <c r="CW39" s="67">
        <f>CW37-CW38</f>
        <v>7033.5</v>
      </c>
      <c r="CX39" s="67">
        <f>SUM(O39:R39)</f>
        <v>8820</v>
      </c>
      <c r="CY39" s="67">
        <f>CY37-CY38</f>
        <v>10394.942999999999</v>
      </c>
      <c r="CZ39" s="67">
        <f>SUM(W39:Z39)</f>
        <v>12188</v>
      </c>
      <c r="DA39" s="67">
        <f>SUM(AA39:AD39)</f>
        <v>12516</v>
      </c>
      <c r="DB39" s="67">
        <f>SUM(AE39:AH39)</f>
        <v>12810</v>
      </c>
      <c r="DC39" s="67">
        <f>SUM(AI39:AL39)</f>
        <v>12564</v>
      </c>
      <c r="DD39" s="67">
        <f>SUM(AM39:AP39)</f>
        <v>12848</v>
      </c>
      <c r="DE39" s="67">
        <f t="shared" ref="DE39:DK39" si="139">DE37*DE51</f>
        <v>13185.199999999999</v>
      </c>
      <c r="DF39" s="67">
        <f t="shared" si="139"/>
        <v>12025.918999999998</v>
      </c>
      <c r="DG39" s="67">
        <f t="shared" si="139"/>
        <v>12806.990884999997</v>
      </c>
      <c r="DH39" s="67">
        <f t="shared" si="139"/>
        <v>12090.390375449999</v>
      </c>
      <c r="DI39" s="67">
        <f t="shared" si="139"/>
        <v>11323.443683137501</v>
      </c>
      <c r="DJ39" s="67">
        <f t="shared" si="139"/>
        <v>11132.403700978124</v>
      </c>
      <c r="DK39" s="67">
        <f t="shared" si="139"/>
        <v>618.08012461406258</v>
      </c>
      <c r="DL39" s="67"/>
      <c r="DM39" s="67"/>
      <c r="DN39" s="67">
        <f>DN37-DN38</f>
        <v>22062</v>
      </c>
      <c r="DO39" s="67">
        <f>DO37-DO38</f>
        <v>21985</v>
      </c>
      <c r="DP39" s="67">
        <f>DP37-DP38</f>
        <v>22351</v>
      </c>
      <c r="DQ39" s="67">
        <f>+DQ37*0.85</f>
        <v>26406.560195312501</v>
      </c>
      <c r="DR39" s="67">
        <f t="shared" ref="DR39:EC39" si="140">+DR37*0.85</f>
        <v>27746.831830781255</v>
      </c>
      <c r="DS39" s="67">
        <f t="shared" si="140"/>
        <v>28575.932529253128</v>
      </c>
      <c r="DT39" s="67">
        <f t="shared" si="140"/>
        <v>28503.329189203312</v>
      </c>
      <c r="DU39" s="67">
        <f t="shared" si="140"/>
        <v>28652.45074639314</v>
      </c>
      <c r="DV39" s="67">
        <f t="shared" si="140"/>
        <v>28039.632145848966</v>
      </c>
      <c r="DW39" s="67">
        <f t="shared" si="140"/>
        <v>26923.528522223201</v>
      </c>
      <c r="DX39" s="67">
        <f t="shared" si="140"/>
        <v>22553.149598395376</v>
      </c>
      <c r="DY39" s="67">
        <f t="shared" si="140"/>
        <v>20415.040082781088</v>
      </c>
      <c r="DZ39" s="67">
        <f t="shared" si="140"/>
        <v>19263.304954049439</v>
      </c>
      <c r="EA39" s="67">
        <f t="shared" si="140"/>
        <v>18663.852422438453</v>
      </c>
      <c r="EB39" s="67">
        <f t="shared" si="140"/>
        <v>18363.337718040817</v>
      </c>
      <c r="EC39" s="67">
        <f t="shared" si="140"/>
        <v>13033.050958911421</v>
      </c>
    </row>
    <row r="40" spans="2:203" s="15" customFormat="1">
      <c r="B40" s="15" t="s">
        <v>446</v>
      </c>
      <c r="C40" s="67">
        <v>203.4</v>
      </c>
      <c r="D40" s="67">
        <v>234</v>
      </c>
      <c r="E40" s="67">
        <v>304</v>
      </c>
      <c r="F40" s="67"/>
      <c r="G40" s="67">
        <v>203.4</v>
      </c>
      <c r="H40" s="67">
        <v>233.6</v>
      </c>
      <c r="I40" s="67">
        <v>304.10000000000002</v>
      </c>
      <c r="J40" s="67">
        <v>357.4</v>
      </c>
      <c r="K40" s="67">
        <v>341.6</v>
      </c>
      <c r="L40" s="67">
        <v>384.6</v>
      </c>
      <c r="M40" s="67">
        <v>400</v>
      </c>
      <c r="N40" s="67">
        <v>494.8</v>
      </c>
      <c r="O40" s="67">
        <v>432.9</v>
      </c>
      <c r="P40" s="67">
        <v>460.4</v>
      </c>
      <c r="Q40" s="67">
        <v>495</v>
      </c>
      <c r="R40" s="67">
        <v>608</v>
      </c>
      <c r="S40" s="67">
        <v>521</v>
      </c>
      <c r="T40" s="67">
        <v>564</v>
      </c>
      <c r="U40" s="67">
        <v>559</v>
      </c>
      <c r="V40" s="67">
        <v>658</v>
      </c>
      <c r="W40" s="67">
        <v>624</v>
      </c>
      <c r="X40" s="67">
        <v>729</v>
      </c>
      <c r="Y40" s="67">
        <v>835</v>
      </c>
      <c r="Z40" s="67">
        <v>1003</v>
      </c>
      <c r="AA40" s="67">
        <v>803</v>
      </c>
      <c r="AB40" s="67">
        <v>777</v>
      </c>
      <c r="AC40" s="67">
        <v>699</v>
      </c>
      <c r="AD40" s="67">
        <v>785</v>
      </c>
      <c r="AE40" s="67">
        <v>661</v>
      </c>
      <c r="AF40" s="67">
        <v>779</v>
      </c>
      <c r="AG40" s="67">
        <v>700</v>
      </c>
      <c r="AH40" s="67">
        <v>770</v>
      </c>
      <c r="AI40" s="67">
        <v>605</v>
      </c>
      <c r="AJ40" s="67">
        <v>657</v>
      </c>
      <c r="AK40" s="67">
        <v>613</v>
      </c>
      <c r="AL40" s="67">
        <v>864</v>
      </c>
      <c r="AM40" s="67">
        <v>617</v>
      </c>
      <c r="AN40" s="67">
        <v>642</v>
      </c>
      <c r="AO40" s="67">
        <v>689</v>
      </c>
      <c r="AP40" s="67">
        <v>825</v>
      </c>
      <c r="AQ40" s="67">
        <v>703</v>
      </c>
      <c r="AR40" s="67">
        <v>808</v>
      </c>
      <c r="AS40" s="67"/>
      <c r="AT40" s="67">
        <f>+AP40</f>
        <v>825</v>
      </c>
      <c r="AU40" s="67"/>
      <c r="AV40" s="67">
        <v>826</v>
      </c>
      <c r="AW40" s="67"/>
      <c r="AX40" s="67"/>
      <c r="AY40" s="67"/>
      <c r="AZ40" s="67"/>
      <c r="BA40" s="67"/>
      <c r="BB40" s="67"/>
      <c r="BC40" s="67"/>
      <c r="BD40" s="67">
        <v>979</v>
      </c>
      <c r="BE40" s="67"/>
      <c r="BF40" s="67"/>
      <c r="BG40" s="67"/>
      <c r="BH40" s="67"/>
      <c r="BI40" s="67"/>
      <c r="BJ40" s="67"/>
      <c r="BK40" s="67"/>
      <c r="BL40" s="67"/>
      <c r="BM40" s="67"/>
      <c r="BN40" s="67"/>
      <c r="BO40" s="67"/>
      <c r="BP40" s="67"/>
      <c r="BQ40" s="67"/>
      <c r="BR40" s="67"/>
      <c r="BS40" s="67"/>
      <c r="BT40" s="67"/>
      <c r="BU40" s="67"/>
      <c r="BV40" s="67">
        <v>1162</v>
      </c>
      <c r="BW40" s="67">
        <v>859</v>
      </c>
      <c r="BX40" s="67">
        <v>906</v>
      </c>
      <c r="BY40" s="67"/>
      <c r="BZ40" s="67">
        <v>1285</v>
      </c>
      <c r="CA40" s="67">
        <v>927</v>
      </c>
      <c r="CB40" s="67">
        <v>936</v>
      </c>
      <c r="CC40" s="67">
        <v>1037</v>
      </c>
      <c r="CD40" s="67">
        <v>1185</v>
      </c>
      <c r="CE40" s="67">
        <v>944</v>
      </c>
      <c r="CF40" s="67">
        <v>1036</v>
      </c>
      <c r="CG40" s="67">
        <v>997</v>
      </c>
      <c r="CH40" s="67">
        <v>1319</v>
      </c>
      <c r="CI40" s="67">
        <v>934</v>
      </c>
      <c r="CJ40" s="67">
        <v>1020</v>
      </c>
      <c r="CK40" s="67">
        <v>1096</v>
      </c>
      <c r="CL40" s="67">
        <v>1291</v>
      </c>
      <c r="CM40" s="67">
        <f t="shared" ref="CM40:CM41" si="141">+CI40</f>
        <v>934</v>
      </c>
      <c r="CN40" s="67">
        <f t="shared" ref="CN40:CN41" si="142">+CJ40</f>
        <v>1020</v>
      </c>
      <c r="CO40" s="67">
        <f t="shared" ref="CO40:CO41" si="143">+CK40</f>
        <v>1096</v>
      </c>
      <c r="CP40" s="67">
        <f t="shared" ref="CP40:CP41" si="144">+CL40</f>
        <v>1291</v>
      </c>
      <c r="CQ40" s="67"/>
      <c r="CR40" s="67"/>
      <c r="CS40" s="72"/>
      <c r="CT40" s="67">
        <v>845</v>
      </c>
      <c r="CU40" s="67">
        <v>865</v>
      </c>
      <c r="CV40" s="67">
        <v>1117</v>
      </c>
      <c r="CW40" s="67">
        <v>1621</v>
      </c>
      <c r="CX40" s="67">
        <f>SUM(O40:R40)</f>
        <v>1996.3</v>
      </c>
      <c r="CY40" s="67">
        <f>SUM(S40:V40)</f>
        <v>2302</v>
      </c>
      <c r="CZ40" s="67">
        <f>SUM(W40:Z40)</f>
        <v>3191</v>
      </c>
      <c r="DA40" s="67">
        <f>SUM(AA40:AD40)</f>
        <v>3064</v>
      </c>
      <c r="DB40" s="67">
        <f>SUM(AE40:AH40)</f>
        <v>2910</v>
      </c>
      <c r="DC40" s="67">
        <f>SUM(AI40:AL40)</f>
        <v>2739</v>
      </c>
      <c r="DD40" s="67">
        <f>SUM(AM40:AP40)</f>
        <v>2773</v>
      </c>
      <c r="DE40" s="67">
        <f>SUM(AQ40:AT40)</f>
        <v>2336</v>
      </c>
      <c r="DF40" s="67"/>
      <c r="DG40" s="67"/>
      <c r="DH40" s="67"/>
      <c r="DI40" s="67"/>
      <c r="DJ40" s="67"/>
      <c r="DK40" s="67"/>
      <c r="DL40" s="67"/>
      <c r="DM40" s="67"/>
      <c r="DN40" s="67">
        <v>4085</v>
      </c>
      <c r="DO40" s="67">
        <v>4296</v>
      </c>
      <c r="DP40" s="67">
        <f t="shared" ref="DP40" si="145">SUM(CI40:CL40)</f>
        <v>4341</v>
      </c>
      <c r="DQ40" s="72"/>
      <c r="DR40" s="72"/>
      <c r="DS40" s="72"/>
      <c r="DT40" s="72"/>
      <c r="DU40" s="72"/>
      <c r="DV40" s="72"/>
      <c r="DW40" s="72"/>
      <c r="DX40" s="72"/>
    </row>
    <row r="41" spans="2:203" s="15" customFormat="1">
      <c r="B41" s="15" t="s">
        <v>447</v>
      </c>
      <c r="C41" s="67">
        <v>245.8</v>
      </c>
      <c r="D41" s="67">
        <v>321</v>
      </c>
      <c r="E41" s="67">
        <v>377</v>
      </c>
      <c r="F41" s="67"/>
      <c r="G41" s="67">
        <f>245.8-1.7</f>
        <v>244.10000000000002</v>
      </c>
      <c r="H41" s="67">
        <f>320.5-1.7</f>
        <v>318.8</v>
      </c>
      <c r="I41" s="67">
        <f>376.9-3.4</f>
        <v>373.5</v>
      </c>
      <c r="J41" s="67">
        <f>496-5.8</f>
        <v>490.2</v>
      </c>
      <c r="K41" s="67">
        <f>385.3-9.6</f>
        <v>375.7</v>
      </c>
      <c r="L41" s="67">
        <v>437.5</v>
      </c>
      <c r="M41" s="67">
        <f>479.3-10.9</f>
        <v>468.40000000000003</v>
      </c>
      <c r="N41" s="67">
        <f>621.8-10</f>
        <v>611.79999999999995</v>
      </c>
      <c r="O41" s="67">
        <v>513</v>
      </c>
      <c r="P41" s="67">
        <v>586.70000000000005</v>
      </c>
      <c r="Q41" s="67">
        <v>635</v>
      </c>
      <c r="R41" s="67">
        <v>813</v>
      </c>
      <c r="S41" s="67">
        <v>577</v>
      </c>
      <c r="T41" s="67">
        <v>646</v>
      </c>
      <c r="U41" s="67">
        <v>656</v>
      </c>
      <c r="V41" s="67">
        <v>913</v>
      </c>
      <c r="W41" s="67">
        <v>652</v>
      </c>
      <c r="X41" s="67">
        <v>799</v>
      </c>
      <c r="Y41" s="67">
        <v>782</v>
      </c>
      <c r="Z41" s="67">
        <v>1001</v>
      </c>
      <c r="AA41" s="67">
        <v>748</v>
      </c>
      <c r="AB41" s="67">
        <v>840</v>
      </c>
      <c r="AC41" s="67">
        <v>804</v>
      </c>
      <c r="AD41" s="67">
        <v>990</v>
      </c>
      <c r="AE41" s="67">
        <v>862</v>
      </c>
      <c r="AF41" s="67">
        <v>894</v>
      </c>
      <c r="AG41" s="67">
        <v>890</v>
      </c>
      <c r="AH41" s="67">
        <v>1062</v>
      </c>
      <c r="AI41" s="67">
        <v>774</v>
      </c>
      <c r="AJ41" s="67">
        <v>891</v>
      </c>
      <c r="AK41" s="67">
        <v>913</v>
      </c>
      <c r="AL41" s="67">
        <v>1159</v>
      </c>
      <c r="AM41" s="67">
        <v>873</v>
      </c>
      <c r="AN41" s="67">
        <v>968</v>
      </c>
      <c r="AO41" s="67">
        <v>942</v>
      </c>
      <c r="AP41" s="67">
        <v>1142</v>
      </c>
      <c r="AQ41" s="67">
        <v>1011</v>
      </c>
      <c r="AR41" s="67">
        <v>1111</v>
      </c>
      <c r="AS41" s="67">
        <f>+AO41</f>
        <v>942</v>
      </c>
      <c r="AT41" s="67">
        <f>+AP41</f>
        <v>1142</v>
      </c>
      <c r="AU41" s="67"/>
      <c r="AV41" s="67">
        <v>1228</v>
      </c>
      <c r="AW41" s="67"/>
      <c r="AX41" s="67"/>
      <c r="AY41" s="67"/>
      <c r="AZ41" s="67"/>
      <c r="BA41" s="67"/>
      <c r="BB41" s="67"/>
      <c r="BC41" s="67"/>
      <c r="BD41" s="67">
        <v>1093</v>
      </c>
      <c r="BE41" s="67"/>
      <c r="BF41" s="67"/>
      <c r="BG41" s="67"/>
      <c r="BH41" s="67"/>
      <c r="BI41" s="67"/>
      <c r="BJ41" s="67"/>
      <c r="BK41" s="67"/>
      <c r="BL41" s="67"/>
      <c r="BM41" s="67"/>
      <c r="BN41" s="67"/>
      <c r="BO41" s="67"/>
      <c r="BP41" s="67"/>
      <c r="BQ41" s="67"/>
      <c r="BR41" s="67"/>
      <c r="BS41" s="67"/>
      <c r="BT41" s="67"/>
      <c r="BU41" s="67"/>
      <c r="BV41" s="67">
        <v>1532</v>
      </c>
      <c r="BW41" s="67">
        <v>1149</v>
      </c>
      <c r="BX41" s="67">
        <v>1256</v>
      </c>
      <c r="BY41" s="67"/>
      <c r="BZ41" s="67">
        <v>1501</v>
      </c>
      <c r="CA41" s="67">
        <v>1287</v>
      </c>
      <c r="CB41" s="67">
        <v>1265</v>
      </c>
      <c r="CC41" s="67">
        <v>1329</v>
      </c>
      <c r="CD41" s="67">
        <v>1762</v>
      </c>
      <c r="CE41" s="67">
        <v>1226</v>
      </c>
      <c r="CF41" s="67">
        <v>1345</v>
      </c>
      <c r="CG41" s="67">
        <v>1260</v>
      </c>
      <c r="CH41" s="67">
        <v>1434</v>
      </c>
      <c r="CI41" s="67">
        <v>1213</v>
      </c>
      <c r="CJ41" s="67">
        <v>1313</v>
      </c>
      <c r="CK41" s="67">
        <v>1276</v>
      </c>
      <c r="CL41" s="67">
        <v>1468</v>
      </c>
      <c r="CM41" s="67">
        <f t="shared" si="141"/>
        <v>1213</v>
      </c>
      <c r="CN41" s="67">
        <f t="shared" si="142"/>
        <v>1313</v>
      </c>
      <c r="CO41" s="67">
        <f t="shared" si="143"/>
        <v>1276</v>
      </c>
      <c r="CP41" s="67">
        <f t="shared" si="144"/>
        <v>1468</v>
      </c>
      <c r="CQ41" s="67"/>
      <c r="CR41" s="67"/>
      <c r="CS41" s="72"/>
      <c r="CT41" s="67">
        <v>851</v>
      </c>
      <c r="CU41" s="67">
        <v>974</v>
      </c>
      <c r="CV41" s="67">
        <v>1449</v>
      </c>
      <c r="CW41" s="67">
        <v>1893</v>
      </c>
      <c r="CX41" s="67">
        <f>SUM(O41:R41)</f>
        <v>2547.6999999999998</v>
      </c>
      <c r="CY41" s="67">
        <f>SUM(S41:V41)</f>
        <v>2792</v>
      </c>
      <c r="CZ41" s="67">
        <f>SUM(W41:Z41)</f>
        <v>3234</v>
      </c>
      <c r="DA41" s="67">
        <f>SUM(AA41:AD41)</f>
        <v>3382</v>
      </c>
      <c r="DB41" s="67">
        <f>SUM(AE41:AH41)</f>
        <v>3708</v>
      </c>
      <c r="DC41" s="67">
        <f>SUM(AI41:AL41)</f>
        <v>3737</v>
      </c>
      <c r="DD41" s="67">
        <f>SUM(AM41:AP41)</f>
        <v>3925</v>
      </c>
      <c r="DE41" s="67">
        <f>SUM(AQ41:AT41)</f>
        <v>4206</v>
      </c>
      <c r="DF41" s="67">
        <f>DF53*DF37</f>
        <v>2900.3686999999995</v>
      </c>
      <c r="DG41" s="67">
        <f>DG53*DG37</f>
        <v>3164.0801009999996</v>
      </c>
      <c r="DH41" s="67">
        <f>DH53*DH37</f>
        <v>3129.2775089399997</v>
      </c>
      <c r="DI41" s="67">
        <f>DI37*DI53</f>
        <v>3063.9906436725</v>
      </c>
      <c r="DJ41" s="67">
        <f>+DI41</f>
        <v>3063.9906436725</v>
      </c>
      <c r="DK41" s="67">
        <f>+DJ41</f>
        <v>3063.9906436725</v>
      </c>
      <c r="DL41" s="67"/>
      <c r="DM41" s="67"/>
      <c r="DN41" s="67">
        <f>SUM(CA41:CD41)</f>
        <v>5643</v>
      </c>
      <c r="DO41" s="67">
        <f>SUM(CE41:CH41)</f>
        <v>5265</v>
      </c>
      <c r="DP41" s="67">
        <f>SUM(CI41:CL41)</f>
        <v>5270</v>
      </c>
      <c r="DQ41" s="67">
        <f>+DP41*0.95</f>
        <v>5006.5</v>
      </c>
      <c r="DR41" s="67">
        <f t="shared" ref="DR41:EC41" si="146">+DQ41*0.95</f>
        <v>4756.1750000000002</v>
      </c>
      <c r="DS41" s="67">
        <f t="shared" si="146"/>
        <v>4518.36625</v>
      </c>
      <c r="DT41" s="67">
        <f t="shared" si="146"/>
        <v>4292.4479375000001</v>
      </c>
      <c r="DU41" s="67">
        <f t="shared" si="146"/>
        <v>4077.825540625</v>
      </c>
      <c r="DV41" s="67">
        <f t="shared" si="146"/>
        <v>3873.9342635937501</v>
      </c>
      <c r="DW41" s="67">
        <f t="shared" si="146"/>
        <v>3680.2375504140623</v>
      </c>
      <c r="DX41" s="67">
        <f t="shared" si="146"/>
        <v>3496.2256728933589</v>
      </c>
      <c r="DY41" s="67">
        <f t="shared" si="146"/>
        <v>3321.4143892486909</v>
      </c>
      <c r="DZ41" s="67">
        <f t="shared" si="146"/>
        <v>3155.3436697862562</v>
      </c>
      <c r="EA41" s="67">
        <f t="shared" si="146"/>
        <v>2997.5764862969431</v>
      </c>
      <c r="EB41" s="67">
        <f t="shared" si="146"/>
        <v>2847.6976619820957</v>
      </c>
      <c r="EC41" s="67">
        <f t="shared" si="146"/>
        <v>2705.3127788829906</v>
      </c>
    </row>
    <row r="42" spans="2:203" s="15" customFormat="1">
      <c r="B42" s="15" t="s">
        <v>634</v>
      </c>
      <c r="C42" s="67">
        <f>C41+C40</f>
        <v>449.20000000000005</v>
      </c>
      <c r="D42" s="67">
        <f>D41+D40</f>
        <v>555</v>
      </c>
      <c r="E42" s="67">
        <f t="shared" ref="E42:Z42" si="147">E41+E40</f>
        <v>681</v>
      </c>
      <c r="F42" s="67"/>
      <c r="G42" s="67">
        <f t="shared" si="147"/>
        <v>447.5</v>
      </c>
      <c r="H42" s="67">
        <f t="shared" si="147"/>
        <v>552.4</v>
      </c>
      <c r="I42" s="67">
        <f t="shared" si="147"/>
        <v>677.6</v>
      </c>
      <c r="J42" s="67">
        <f t="shared" si="147"/>
        <v>847.59999999999991</v>
      </c>
      <c r="K42" s="67">
        <f t="shared" si="147"/>
        <v>717.3</v>
      </c>
      <c r="L42" s="67">
        <f t="shared" si="147"/>
        <v>822.1</v>
      </c>
      <c r="M42" s="67">
        <f t="shared" si="147"/>
        <v>868.40000000000009</v>
      </c>
      <c r="N42" s="67">
        <f t="shared" si="147"/>
        <v>1106.5999999999999</v>
      </c>
      <c r="O42" s="67">
        <f t="shared" si="147"/>
        <v>945.9</v>
      </c>
      <c r="P42" s="67">
        <f t="shared" si="147"/>
        <v>1047.0999999999999</v>
      </c>
      <c r="Q42" s="67">
        <f t="shared" si="147"/>
        <v>1130</v>
      </c>
      <c r="R42" s="67">
        <f t="shared" si="147"/>
        <v>1421</v>
      </c>
      <c r="S42" s="67">
        <f t="shared" si="147"/>
        <v>1098</v>
      </c>
      <c r="T42" s="67">
        <f t="shared" si="147"/>
        <v>1210</v>
      </c>
      <c r="U42" s="67">
        <f t="shared" si="147"/>
        <v>1215</v>
      </c>
      <c r="V42" s="67">
        <f t="shared" si="147"/>
        <v>1571</v>
      </c>
      <c r="W42" s="67">
        <f t="shared" si="147"/>
        <v>1276</v>
      </c>
      <c r="X42" s="67">
        <f t="shared" si="147"/>
        <v>1528</v>
      </c>
      <c r="Y42" s="67">
        <f t="shared" si="147"/>
        <v>1617</v>
      </c>
      <c r="Z42" s="67">
        <f t="shared" si="147"/>
        <v>2004</v>
      </c>
      <c r="AA42" s="67">
        <f t="shared" ref="AA42:AJ42" si="148">AA41+AA40</f>
        <v>1551</v>
      </c>
      <c r="AB42" s="67">
        <f t="shared" si="148"/>
        <v>1617</v>
      </c>
      <c r="AC42" s="67">
        <f t="shared" si="148"/>
        <v>1503</v>
      </c>
      <c r="AD42" s="67">
        <f t="shared" si="148"/>
        <v>1775</v>
      </c>
      <c r="AE42" s="67">
        <f t="shared" si="148"/>
        <v>1523</v>
      </c>
      <c r="AF42" s="67">
        <f>AF41+AF40</f>
        <v>1673</v>
      </c>
      <c r="AG42" s="67">
        <f t="shared" si="148"/>
        <v>1590</v>
      </c>
      <c r="AH42" s="67">
        <f t="shared" si="148"/>
        <v>1832</v>
      </c>
      <c r="AI42" s="67">
        <f t="shared" si="148"/>
        <v>1379</v>
      </c>
      <c r="AJ42" s="67">
        <f t="shared" si="148"/>
        <v>1548</v>
      </c>
      <c r="AK42" s="67">
        <f t="shared" ref="AK42:AT42" si="149">AK41+AK40</f>
        <v>1526</v>
      </c>
      <c r="AL42" s="67">
        <f t="shared" si="149"/>
        <v>2023</v>
      </c>
      <c r="AM42" s="67">
        <f t="shared" si="149"/>
        <v>1490</v>
      </c>
      <c r="AN42" s="67">
        <f t="shared" si="149"/>
        <v>1610</v>
      </c>
      <c r="AO42" s="67">
        <f t="shared" si="149"/>
        <v>1631</v>
      </c>
      <c r="AP42" s="67">
        <f t="shared" si="149"/>
        <v>1967</v>
      </c>
      <c r="AQ42" s="67">
        <f>AQ41+AQ40</f>
        <v>1714</v>
      </c>
      <c r="AR42" s="67">
        <f>AR41+AR40</f>
        <v>1919</v>
      </c>
      <c r="AS42" s="67">
        <f t="shared" si="149"/>
        <v>942</v>
      </c>
      <c r="AT42" s="67">
        <f t="shared" si="149"/>
        <v>1967</v>
      </c>
      <c r="AU42" s="67"/>
      <c r="AV42" s="67">
        <f>AV41+AV40</f>
        <v>2054</v>
      </c>
      <c r="AW42" s="67"/>
      <c r="AX42" s="67"/>
      <c r="AY42" s="67"/>
      <c r="AZ42" s="67"/>
      <c r="BA42" s="67"/>
      <c r="BB42" s="67"/>
      <c r="BC42" s="67"/>
      <c r="BD42" s="67">
        <f>+BD41+BD40</f>
        <v>2072</v>
      </c>
      <c r="BE42" s="67"/>
      <c r="BF42" s="67"/>
      <c r="BG42" s="67"/>
      <c r="BH42" s="67"/>
      <c r="BI42" s="67"/>
      <c r="BJ42" s="67"/>
      <c r="BK42" s="67"/>
      <c r="BL42" s="67"/>
      <c r="BM42" s="67"/>
      <c r="BN42" s="67"/>
      <c r="BO42" s="67"/>
      <c r="BP42" s="67"/>
      <c r="BQ42" s="67"/>
      <c r="BR42" s="67"/>
      <c r="BS42" s="67"/>
      <c r="BT42" s="67"/>
      <c r="BU42" s="67"/>
      <c r="BV42" s="67">
        <f t="shared" ref="BV42:BW42" si="150">BV40+BV41</f>
        <v>2694</v>
      </c>
      <c r="BW42" s="67">
        <f t="shared" si="150"/>
        <v>2008</v>
      </c>
      <c r="BX42" s="67">
        <f t="shared" ref="BX42:CB42" si="151">BX40+BX41</f>
        <v>2162</v>
      </c>
      <c r="BY42" s="67">
        <f t="shared" si="151"/>
        <v>0</v>
      </c>
      <c r="BZ42" s="67">
        <f t="shared" si="151"/>
        <v>2786</v>
      </c>
      <c r="CA42" s="67">
        <f t="shared" si="151"/>
        <v>2214</v>
      </c>
      <c r="CB42" s="67">
        <f t="shared" si="151"/>
        <v>2201</v>
      </c>
      <c r="CC42" s="67">
        <f t="shared" ref="CC42" si="152">CC40+CC41</f>
        <v>2366</v>
      </c>
      <c r="CD42" s="67">
        <f t="shared" ref="CD42" si="153">CD40+CD41</f>
        <v>2947</v>
      </c>
      <c r="CE42" s="67">
        <f t="shared" ref="CE42:CH42" si="154">CE40+CE41</f>
        <v>2170</v>
      </c>
      <c r="CF42" s="67">
        <f t="shared" si="154"/>
        <v>2381</v>
      </c>
      <c r="CG42" s="67">
        <f t="shared" si="154"/>
        <v>2257</v>
      </c>
      <c r="CH42" s="67">
        <f t="shared" si="154"/>
        <v>2753</v>
      </c>
      <c r="CI42" s="67">
        <f>CI40+CI41</f>
        <v>2147</v>
      </c>
      <c r="CJ42" s="67">
        <f>CJ40+CJ41</f>
        <v>2333</v>
      </c>
      <c r="CK42" s="67">
        <f t="shared" ref="CK42:CP42" si="155">CK40+CK41</f>
        <v>2372</v>
      </c>
      <c r="CL42" s="67">
        <f t="shared" si="155"/>
        <v>2759</v>
      </c>
      <c r="CM42" s="67">
        <f t="shared" si="155"/>
        <v>2147</v>
      </c>
      <c r="CN42" s="67">
        <f t="shared" si="155"/>
        <v>2333</v>
      </c>
      <c r="CO42" s="67">
        <f t="shared" si="155"/>
        <v>2372</v>
      </c>
      <c r="CP42" s="67">
        <f t="shared" si="155"/>
        <v>2759</v>
      </c>
      <c r="CQ42" s="67"/>
      <c r="CR42" s="67"/>
      <c r="CS42" s="72"/>
      <c r="CT42" s="67">
        <f t="shared" ref="CT42:DF42" si="156">CT41+CT40</f>
        <v>1696</v>
      </c>
      <c r="CU42" s="67">
        <f t="shared" si="156"/>
        <v>1839</v>
      </c>
      <c r="CV42" s="67">
        <f t="shared" si="156"/>
        <v>2566</v>
      </c>
      <c r="CW42" s="67">
        <f t="shared" si="156"/>
        <v>3514</v>
      </c>
      <c r="CX42" s="67">
        <f t="shared" si="156"/>
        <v>4544</v>
      </c>
      <c r="CY42" s="67">
        <f t="shared" si="156"/>
        <v>5094</v>
      </c>
      <c r="CZ42" s="67">
        <f t="shared" si="156"/>
        <v>6425</v>
      </c>
      <c r="DA42" s="67">
        <f t="shared" si="156"/>
        <v>6446</v>
      </c>
      <c r="DB42" s="67">
        <f>DB41+DB40</f>
        <v>6618</v>
      </c>
      <c r="DC42" s="67">
        <f>DC41+DC40</f>
        <v>6476</v>
      </c>
      <c r="DD42" s="67">
        <f>DD41+DD40</f>
        <v>6698</v>
      </c>
      <c r="DE42" s="67">
        <f>DE41+DE40</f>
        <v>6542</v>
      </c>
      <c r="DF42" s="67">
        <f t="shared" si="156"/>
        <v>2900.3686999999995</v>
      </c>
      <c r="DG42" s="67">
        <f t="shared" ref="DG42:DM42" si="157">DG41+DG40</f>
        <v>3164.0801009999996</v>
      </c>
      <c r="DH42" s="67">
        <f t="shared" si="157"/>
        <v>3129.2775089399997</v>
      </c>
      <c r="DI42" s="67">
        <f t="shared" si="157"/>
        <v>3063.9906436725</v>
      </c>
      <c r="DJ42" s="67">
        <f t="shared" si="157"/>
        <v>3063.9906436725</v>
      </c>
      <c r="DK42" s="67">
        <f t="shared" si="157"/>
        <v>3063.9906436725</v>
      </c>
      <c r="DL42" s="67">
        <f t="shared" si="157"/>
        <v>0</v>
      </c>
      <c r="DM42" s="67">
        <f t="shared" si="157"/>
        <v>0</v>
      </c>
      <c r="DN42" s="67">
        <f t="shared" ref="DN42:DO42" si="158">DN41+DN40</f>
        <v>9728</v>
      </c>
      <c r="DO42" s="67">
        <f t="shared" si="158"/>
        <v>9561</v>
      </c>
      <c r="DP42" s="67">
        <f t="shared" ref="DP42:DQ42" si="159">DP41+DP40</f>
        <v>9611</v>
      </c>
      <c r="DQ42" s="67">
        <f t="shared" si="159"/>
        <v>5006.5</v>
      </c>
      <c r="DR42" s="67">
        <f t="shared" ref="DR42:EC42" si="160">DR41+DR40</f>
        <v>4756.1750000000002</v>
      </c>
      <c r="DS42" s="67">
        <f t="shared" si="160"/>
        <v>4518.36625</v>
      </c>
      <c r="DT42" s="67">
        <f t="shared" si="160"/>
        <v>4292.4479375000001</v>
      </c>
      <c r="DU42" s="67">
        <f t="shared" si="160"/>
        <v>4077.825540625</v>
      </c>
      <c r="DV42" s="67">
        <f t="shared" si="160"/>
        <v>3873.9342635937501</v>
      </c>
      <c r="DW42" s="67">
        <f t="shared" si="160"/>
        <v>3680.2375504140623</v>
      </c>
      <c r="DX42" s="67">
        <f t="shared" si="160"/>
        <v>3496.2256728933589</v>
      </c>
      <c r="DY42" s="67">
        <f t="shared" si="160"/>
        <v>3321.4143892486909</v>
      </c>
      <c r="DZ42" s="67">
        <f t="shared" si="160"/>
        <v>3155.3436697862562</v>
      </c>
      <c r="EA42" s="67">
        <f t="shared" si="160"/>
        <v>2997.5764862969431</v>
      </c>
      <c r="EB42" s="67">
        <f t="shared" si="160"/>
        <v>2847.6976619820957</v>
      </c>
      <c r="EC42" s="67">
        <f t="shared" si="160"/>
        <v>2705.3127788829906</v>
      </c>
    </row>
    <row r="43" spans="2:203" s="15" customFormat="1">
      <c r="B43" s="15" t="s">
        <v>706</v>
      </c>
      <c r="C43" s="67">
        <f>C39-C42</f>
        <v>347.09999999999991</v>
      </c>
      <c r="D43" s="67">
        <f>D39-D42</f>
        <v>321</v>
      </c>
      <c r="E43" s="67">
        <f t="shared" ref="E43:Z43" si="161">E39-E42</f>
        <v>325</v>
      </c>
      <c r="F43" s="67"/>
      <c r="G43" s="67">
        <f t="shared" si="161"/>
        <v>457.40000000000009</v>
      </c>
      <c r="H43" s="67">
        <f t="shared" si="161"/>
        <v>564.6</v>
      </c>
      <c r="I43" s="67">
        <f t="shared" si="161"/>
        <v>620.99999999999989</v>
      </c>
      <c r="J43" s="67">
        <f t="shared" si="161"/>
        <v>665.20000000000027</v>
      </c>
      <c r="K43" s="67">
        <f t="shared" si="161"/>
        <v>765.60000000000014</v>
      </c>
      <c r="L43" s="67">
        <f t="shared" si="161"/>
        <v>894.79999999999984</v>
      </c>
      <c r="M43" s="67">
        <f t="shared" si="161"/>
        <v>1003.7999999999997</v>
      </c>
      <c r="N43" s="67">
        <f t="shared" si="161"/>
        <v>856.5</v>
      </c>
      <c r="O43" s="67">
        <f t="shared" si="161"/>
        <v>1025.4999999999995</v>
      </c>
      <c r="P43" s="67">
        <f t="shared" si="161"/>
        <v>1102.5</v>
      </c>
      <c r="Q43" s="67">
        <f t="shared" si="161"/>
        <v>1136</v>
      </c>
      <c r="R43" s="67">
        <f t="shared" si="161"/>
        <v>1012</v>
      </c>
      <c r="S43" s="67">
        <f t="shared" si="161"/>
        <v>1246</v>
      </c>
      <c r="T43" s="67">
        <f t="shared" si="161"/>
        <v>1432</v>
      </c>
      <c r="U43" s="67">
        <f t="shared" si="161"/>
        <v>1434</v>
      </c>
      <c r="V43" s="67">
        <f t="shared" si="161"/>
        <v>1189</v>
      </c>
      <c r="W43" s="67">
        <f t="shared" si="161"/>
        <v>1389</v>
      </c>
      <c r="X43" s="67">
        <f t="shared" si="161"/>
        <v>1584</v>
      </c>
      <c r="Y43" s="67">
        <f t="shared" si="161"/>
        <v>1510</v>
      </c>
      <c r="Z43" s="67">
        <f t="shared" si="161"/>
        <v>1280</v>
      </c>
      <c r="AA43" s="67">
        <f t="shared" ref="AA43:AJ43" si="162">AA39-AA42</f>
        <v>1577</v>
      </c>
      <c r="AB43" s="67">
        <f t="shared" si="162"/>
        <v>1565</v>
      </c>
      <c r="AC43" s="67">
        <f t="shared" si="162"/>
        <v>1523</v>
      </c>
      <c r="AD43" s="67">
        <f t="shared" si="162"/>
        <v>1405</v>
      </c>
      <c r="AE43" s="67">
        <f t="shared" si="162"/>
        <v>1548</v>
      </c>
      <c r="AF43" s="67">
        <f>AF39-AF42</f>
        <v>1579</v>
      </c>
      <c r="AG43" s="67">
        <f t="shared" si="162"/>
        <v>1695</v>
      </c>
      <c r="AH43" s="67">
        <f t="shared" si="162"/>
        <v>1370</v>
      </c>
      <c r="AI43" s="67">
        <f t="shared" si="162"/>
        <v>1455</v>
      </c>
      <c r="AJ43" s="67">
        <f t="shared" si="162"/>
        <v>1638</v>
      </c>
      <c r="AK43" s="67">
        <f t="shared" ref="AK43:AT43" si="163">AK39-AK42</f>
        <v>1744</v>
      </c>
      <c r="AL43" s="67">
        <f t="shared" si="163"/>
        <v>1251</v>
      </c>
      <c r="AM43" s="67">
        <f t="shared" si="163"/>
        <v>1598</v>
      </c>
      <c r="AN43" s="67">
        <f t="shared" si="163"/>
        <v>1645</v>
      </c>
      <c r="AO43" s="67">
        <f t="shared" si="163"/>
        <v>1601</v>
      </c>
      <c r="AP43" s="67">
        <f t="shared" si="163"/>
        <v>1306</v>
      </c>
      <c r="AQ43" s="67">
        <f>AQ39-AQ42</f>
        <v>1452</v>
      </c>
      <c r="AR43" s="67">
        <f>AR39-AR42</f>
        <v>1471</v>
      </c>
      <c r="AS43" s="67">
        <f t="shared" si="163"/>
        <v>2340.02</v>
      </c>
      <c r="AT43" s="67">
        <f t="shared" si="163"/>
        <v>1284.08</v>
      </c>
      <c r="AU43" s="67"/>
      <c r="AV43" s="67">
        <f>AV39-AV42</f>
        <v>1741</v>
      </c>
      <c r="AW43" s="67"/>
      <c r="AX43" s="67"/>
      <c r="AY43" s="67"/>
      <c r="AZ43" s="67"/>
      <c r="BA43" s="67"/>
      <c r="BB43" s="67"/>
      <c r="BC43" s="67"/>
      <c r="BD43" s="67">
        <f>+BD39-BD42</f>
        <v>2319</v>
      </c>
      <c r="BE43" s="67"/>
      <c r="BF43" s="67"/>
      <c r="BG43" s="67"/>
      <c r="BH43" s="67"/>
      <c r="BI43" s="67"/>
      <c r="BJ43" s="67"/>
      <c r="BK43" s="67"/>
      <c r="BL43" s="67"/>
      <c r="BM43" s="67"/>
      <c r="BN43" s="67"/>
      <c r="BO43" s="67"/>
      <c r="BP43" s="67"/>
      <c r="BQ43" s="67"/>
      <c r="BR43" s="67"/>
      <c r="BS43" s="67"/>
      <c r="BT43" s="67"/>
      <c r="BU43" s="67"/>
      <c r="BV43" s="67">
        <f t="shared" ref="BV43:BW43" si="164">BV39-BV42</f>
        <v>2717</v>
      </c>
      <c r="BW43" s="67">
        <f t="shared" si="164"/>
        <v>2770</v>
      </c>
      <c r="BX43" s="67">
        <f t="shared" ref="BX43:CB43" si="165">BX39-BX42</f>
        <v>2973</v>
      </c>
      <c r="BY43" s="67">
        <f t="shared" si="165"/>
        <v>5737</v>
      </c>
      <c r="BZ43" s="67">
        <f t="shared" si="165"/>
        <v>2621</v>
      </c>
      <c r="CA43" s="67">
        <f t="shared" si="165"/>
        <v>3176</v>
      </c>
      <c r="CB43" s="67">
        <f t="shared" si="165"/>
        <v>3247</v>
      </c>
      <c r="CC43" s="67">
        <f t="shared" ref="CC43" si="166">CC39-CC42</f>
        <v>3183</v>
      </c>
      <c r="CD43" s="67">
        <f t="shared" ref="CD43" si="167">CD39-CD42</f>
        <v>2728</v>
      </c>
      <c r="CE43" s="67">
        <f t="shared" ref="CE43:CH43" si="168">CE39-CE42</f>
        <v>2864</v>
      </c>
      <c r="CF43" s="67">
        <f t="shared" si="168"/>
        <v>3111</v>
      </c>
      <c r="CG43" s="67">
        <f t="shared" si="168"/>
        <v>3452</v>
      </c>
      <c r="CH43" s="67">
        <f t="shared" si="168"/>
        <v>2997</v>
      </c>
      <c r="CI43" s="67">
        <f>CI39-CI42</f>
        <v>3140</v>
      </c>
      <c r="CJ43" s="67">
        <f>CJ39-CJ42</f>
        <v>3335</v>
      </c>
      <c r="CK43" s="67">
        <f t="shared" ref="CK43:CP43" si="169">CK39-CK42</f>
        <v>3277</v>
      </c>
      <c r="CL43" s="67">
        <f>CL39-CL42</f>
        <v>3009</v>
      </c>
      <c r="CM43" s="67">
        <f t="shared" si="169"/>
        <v>3391.3790000000008</v>
      </c>
      <c r="CN43" s="67">
        <f t="shared" si="169"/>
        <v>3620.6656249999996</v>
      </c>
      <c r="CO43" s="67">
        <f t="shared" si="169"/>
        <v>3551.9395312500001</v>
      </c>
      <c r="CP43" s="67">
        <f t="shared" si="169"/>
        <v>3426.5760390625001</v>
      </c>
      <c r="CQ43" s="67"/>
      <c r="CR43" s="67"/>
      <c r="CS43" s="72"/>
      <c r="CT43" s="67">
        <f t="shared" ref="CT43:CY43" si="170">CT39-CT42</f>
        <v>1509.4</v>
      </c>
      <c r="CU43" s="67">
        <f t="shared" si="170"/>
        <v>1720.1</v>
      </c>
      <c r="CV43" s="67">
        <f t="shared" si="170"/>
        <v>2110.6000000000004</v>
      </c>
      <c r="CW43" s="67">
        <f t="shared" si="170"/>
        <v>3519.5</v>
      </c>
      <c r="CX43" s="67">
        <f t="shared" si="170"/>
        <v>4276</v>
      </c>
      <c r="CY43" s="67">
        <f t="shared" si="170"/>
        <v>5300.9429999999993</v>
      </c>
      <c r="CZ43" s="67">
        <f t="shared" ref="CZ43:DF43" si="171">CZ39-CZ42</f>
        <v>5763</v>
      </c>
      <c r="DA43" s="67">
        <f t="shared" si="171"/>
        <v>6070</v>
      </c>
      <c r="DB43" s="67">
        <f>DB39-DB42</f>
        <v>6192</v>
      </c>
      <c r="DC43" s="67">
        <f>DC39-DC42</f>
        <v>6088</v>
      </c>
      <c r="DD43" s="67">
        <f>DD39-DD42</f>
        <v>6150</v>
      </c>
      <c r="DE43" s="67">
        <f>DE39-DE42</f>
        <v>6643.1999999999989</v>
      </c>
      <c r="DF43" s="67">
        <f t="shared" si="171"/>
        <v>9125.550299999999</v>
      </c>
      <c r="DG43" s="67">
        <f t="shared" ref="DG43:DM43" si="172">DG39-DG42</f>
        <v>9642.9107839999979</v>
      </c>
      <c r="DH43" s="67">
        <f t="shared" si="172"/>
        <v>8961.1128665099986</v>
      </c>
      <c r="DI43" s="67">
        <f t="shared" si="172"/>
        <v>8259.453039465001</v>
      </c>
      <c r="DJ43" s="67">
        <f t="shared" si="172"/>
        <v>8068.4130573056245</v>
      </c>
      <c r="DK43" s="67">
        <f t="shared" si="172"/>
        <v>-2445.9105190584373</v>
      </c>
      <c r="DL43" s="67">
        <f t="shared" si="172"/>
        <v>0</v>
      </c>
      <c r="DM43" s="67">
        <f t="shared" si="172"/>
        <v>0</v>
      </c>
      <c r="DN43" s="67">
        <f t="shared" ref="DN43:DO43" si="173">DN39-DN42</f>
        <v>12334</v>
      </c>
      <c r="DO43" s="67">
        <f t="shared" si="173"/>
        <v>12424</v>
      </c>
      <c r="DP43" s="67">
        <f t="shared" ref="DP43:DQ43" si="174">DP39-DP42</f>
        <v>12740</v>
      </c>
      <c r="DQ43" s="67">
        <f t="shared" si="174"/>
        <v>21400.060195312501</v>
      </c>
      <c r="DR43" s="67">
        <f t="shared" ref="DR43:EC43" si="175">DR39-DR42</f>
        <v>22990.656830781256</v>
      </c>
      <c r="DS43" s="67">
        <f t="shared" si="175"/>
        <v>24057.566279253129</v>
      </c>
      <c r="DT43" s="67">
        <f t="shared" si="175"/>
        <v>24210.881251703311</v>
      </c>
      <c r="DU43" s="67">
        <f t="shared" si="175"/>
        <v>24574.625205768141</v>
      </c>
      <c r="DV43" s="67">
        <f t="shared" si="175"/>
        <v>24165.697882255216</v>
      </c>
      <c r="DW43" s="67">
        <f t="shared" si="175"/>
        <v>23243.29097180914</v>
      </c>
      <c r="DX43" s="67">
        <f t="shared" si="175"/>
        <v>19056.923925502015</v>
      </c>
      <c r="DY43" s="67">
        <f t="shared" si="175"/>
        <v>17093.625693532398</v>
      </c>
      <c r="DZ43" s="67">
        <f t="shared" si="175"/>
        <v>16107.961284263183</v>
      </c>
      <c r="EA43" s="67">
        <f t="shared" si="175"/>
        <v>15666.27593614151</v>
      </c>
      <c r="EB43" s="67">
        <f t="shared" si="175"/>
        <v>15515.640056058721</v>
      </c>
      <c r="EC43" s="67">
        <f t="shared" si="175"/>
        <v>10327.738180028431</v>
      </c>
    </row>
    <row r="44" spans="2:203" s="15" customFormat="1">
      <c r="B44" s="15" t="s">
        <v>451</v>
      </c>
      <c r="C44" s="67">
        <v>36.700000000000003</v>
      </c>
      <c r="D44" s="67">
        <v>32.799999999999997</v>
      </c>
      <c r="E44" s="67">
        <v>12.1</v>
      </c>
      <c r="F44" s="67"/>
      <c r="G44" s="67">
        <v>36.700000000000003</v>
      </c>
      <c r="H44" s="67">
        <v>32.799999999999997</v>
      </c>
      <c r="I44" s="67">
        <v>12.1</v>
      </c>
      <c r="J44" s="67">
        <v>18.399999999999999</v>
      </c>
      <c r="K44" s="67">
        <v>25.9</v>
      </c>
      <c r="L44" s="67">
        <v>31.6</v>
      </c>
      <c r="M44" s="67">
        <v>9.4</v>
      </c>
      <c r="N44" s="67">
        <v>15</v>
      </c>
      <c r="O44" s="67">
        <v>21.1</v>
      </c>
      <c r="P44" s="67">
        <v>10.1</v>
      </c>
      <c r="Q44" s="67">
        <v>15</v>
      </c>
      <c r="R44" s="67">
        <v>7</v>
      </c>
      <c r="S44" s="67">
        <v>10</v>
      </c>
      <c r="T44" s="67">
        <v>-14</v>
      </c>
      <c r="U44" s="67">
        <v>14</v>
      </c>
      <c r="V44" s="67">
        <v>10</v>
      </c>
      <c r="W44" s="67">
        <v>80</v>
      </c>
      <c r="X44" s="67">
        <v>21</v>
      </c>
      <c r="Y44" s="67">
        <v>39</v>
      </c>
      <c r="Z44" s="67">
        <v>40</v>
      </c>
      <c r="AA44" s="67">
        <v>45</v>
      </c>
      <c r="AB44" s="67">
        <v>7</v>
      </c>
      <c r="AC44" s="67">
        <v>-21</v>
      </c>
      <c r="AD44" s="67">
        <v>1</v>
      </c>
      <c r="AE44" s="67">
        <v>22</v>
      </c>
      <c r="AF44" s="67">
        <v>9</v>
      </c>
      <c r="AG44" s="67">
        <v>-3</v>
      </c>
      <c r="AH44" s="67">
        <v>18</v>
      </c>
      <c r="AI44" s="67">
        <v>-28</v>
      </c>
      <c r="AJ44" s="67">
        <f>-88+50</f>
        <v>-38</v>
      </c>
      <c r="AK44" s="67">
        <f>-76+74</f>
        <v>-2</v>
      </c>
      <c r="AL44" s="67">
        <f>-78+94</f>
        <v>16</v>
      </c>
      <c r="AM44" s="67">
        <f>-80+84</f>
        <v>4</v>
      </c>
      <c r="AN44" s="67">
        <f>-81+94</f>
        <v>13</v>
      </c>
      <c r="AO44" s="67">
        <f>-83+105</f>
        <v>22</v>
      </c>
      <c r="AP44" s="67">
        <v>-1</v>
      </c>
      <c r="AQ44" s="67">
        <f>148-91</f>
        <v>57</v>
      </c>
      <c r="AR44" s="67">
        <f>-90+129</f>
        <v>39</v>
      </c>
      <c r="AS44" s="67">
        <v>0</v>
      </c>
      <c r="AT44" s="67">
        <v>0</v>
      </c>
      <c r="AU44" s="67"/>
      <c r="AV44" s="67">
        <f>-79-256+124</f>
        <v>-211</v>
      </c>
      <c r="AW44" s="67"/>
      <c r="AX44" s="67"/>
      <c r="AY44" s="67"/>
      <c r="AZ44" s="67"/>
      <c r="BA44" s="67"/>
      <c r="BB44" s="67"/>
      <c r="BC44" s="67"/>
      <c r="BD44" s="67">
        <f>-282+138</f>
        <v>-144</v>
      </c>
      <c r="BE44" s="67"/>
      <c r="BF44" s="67"/>
      <c r="BG44" s="67"/>
      <c r="BH44" s="67"/>
      <c r="BI44" s="67"/>
      <c r="BJ44" s="67"/>
      <c r="BK44" s="67"/>
      <c r="BL44" s="67"/>
      <c r="BM44" s="67"/>
      <c r="BN44" s="67"/>
      <c r="BO44" s="67"/>
      <c r="BP44" s="67"/>
      <c r="BQ44" s="67"/>
      <c r="BR44" s="67"/>
      <c r="BS44" s="67"/>
      <c r="BT44" s="67"/>
      <c r="BU44" s="67"/>
      <c r="BV44" s="67">
        <f>-352+155</f>
        <v>-197</v>
      </c>
      <c r="BW44" s="67">
        <f>-343+185</f>
        <v>-158</v>
      </c>
      <c r="BX44" s="67">
        <f>-332-218</f>
        <v>-550</v>
      </c>
      <c r="BY44" s="67"/>
      <c r="BZ44" s="67">
        <f>-301+236</f>
        <v>-65</v>
      </c>
      <c r="CA44" s="67">
        <f>-346+11</f>
        <v>-335</v>
      </c>
      <c r="CB44" s="67">
        <v>-293</v>
      </c>
      <c r="CC44" s="67">
        <v>-302</v>
      </c>
      <c r="CD44" s="67">
        <v>-318</v>
      </c>
      <c r="CE44" s="67">
        <v>-285</v>
      </c>
      <c r="CF44" s="67">
        <f>-281+54</f>
        <v>-227</v>
      </c>
      <c r="CG44" s="67">
        <v>-296</v>
      </c>
      <c r="CH44" s="67">
        <v>-335</v>
      </c>
      <c r="CI44" s="67">
        <v>-295</v>
      </c>
      <c r="CJ44" s="67">
        <f>-328-82</f>
        <v>-410</v>
      </c>
      <c r="CK44" s="67">
        <f>-368+100</f>
        <v>-268</v>
      </c>
      <c r="CL44" s="67">
        <f>34-415-67-10</f>
        <v>-458</v>
      </c>
      <c r="CM44" s="67">
        <f t="shared" ref="CM44:CP44" si="176">CL44+5</f>
        <v>-453</v>
      </c>
      <c r="CN44" s="67">
        <f t="shared" si="176"/>
        <v>-448</v>
      </c>
      <c r="CO44" s="67">
        <f t="shared" si="176"/>
        <v>-443</v>
      </c>
      <c r="CP44" s="67">
        <f t="shared" si="176"/>
        <v>-438</v>
      </c>
      <c r="CQ44" s="67"/>
      <c r="CR44" s="67"/>
      <c r="CS44" s="72"/>
      <c r="CT44" s="72"/>
      <c r="CU44" s="72"/>
      <c r="CV44" s="72"/>
      <c r="CW44" s="67">
        <v>82</v>
      </c>
      <c r="CX44" s="67">
        <f>SUM(O44:R44)</f>
        <v>53.2</v>
      </c>
      <c r="CY44" s="67">
        <f>SUM(S44:V44)</f>
        <v>20</v>
      </c>
      <c r="CZ44" s="67">
        <v>180</v>
      </c>
      <c r="DA44" s="67">
        <v>150</v>
      </c>
      <c r="DB44" s="67">
        <f>SUM(AE44:AH44)</f>
        <v>46</v>
      </c>
      <c r="DC44" s="67">
        <f>DB86*0.08</f>
        <v>-23.6</v>
      </c>
      <c r="DD44" s="67">
        <f>SUM(AM44:AP44)</f>
        <v>38</v>
      </c>
      <c r="DE44" s="67">
        <v>0</v>
      </c>
      <c r="DF44" s="67">
        <f t="shared" ref="DF44:DK44" si="177">DE86*$EF$50</f>
        <v>147.76685999999998</v>
      </c>
      <c r="DG44" s="67">
        <f t="shared" si="177"/>
        <v>221.02606556399996</v>
      </c>
      <c r="DH44" s="67">
        <f t="shared" si="177"/>
        <v>298.9511666755555</v>
      </c>
      <c r="DI44" s="67">
        <f t="shared" si="177"/>
        <v>372.10567253772143</v>
      </c>
      <c r="DJ44" s="67">
        <f t="shared" si="177"/>
        <v>440.29498636254294</v>
      </c>
      <c r="DK44" s="67">
        <f t="shared" si="177"/>
        <v>507.5137799075215</v>
      </c>
      <c r="DL44" s="67"/>
      <c r="DM44" s="67"/>
      <c r="DN44" s="67">
        <v>-1262</v>
      </c>
      <c r="DO44" s="67">
        <v>-1197</v>
      </c>
      <c r="DP44" s="67">
        <f t="shared" ref="DP44:DP46" si="178">SUM(CI44:CL44)</f>
        <v>-1431</v>
      </c>
      <c r="DQ44" s="72"/>
      <c r="DR44" s="72"/>
      <c r="DS44" s="72"/>
      <c r="DT44" s="67">
        <f>+DS86*$EF$50</f>
        <v>0</v>
      </c>
      <c r="DU44" s="67">
        <f t="shared" ref="DU44:EC44" si="179">+DT86*$EF$50</f>
        <v>193.6870500136265</v>
      </c>
      <c r="DV44" s="67">
        <f t="shared" si="179"/>
        <v>391.83354805988074</v>
      </c>
      <c r="DW44" s="67">
        <f t="shared" si="179"/>
        <v>588.2937995024015</v>
      </c>
      <c r="DX44" s="67">
        <f t="shared" si="179"/>
        <v>778.94647767289382</v>
      </c>
      <c r="DY44" s="67">
        <f t="shared" si="179"/>
        <v>937.63344089829309</v>
      </c>
      <c r="DZ44" s="67">
        <f t="shared" si="179"/>
        <v>1081.8835139737387</v>
      </c>
      <c r="EA44" s="67">
        <f t="shared" si="179"/>
        <v>1219.402272359634</v>
      </c>
      <c r="EB44" s="67">
        <f t="shared" si="179"/>
        <v>1354.4876980276433</v>
      </c>
      <c r="EC44" s="67">
        <f t="shared" si="179"/>
        <v>1489.4487200603342</v>
      </c>
    </row>
    <row r="45" spans="2:203" s="15" customFormat="1">
      <c r="B45" s="15" t="s">
        <v>102</v>
      </c>
      <c r="C45" s="67">
        <f>C43+C44</f>
        <v>383.7999999999999</v>
      </c>
      <c r="D45" s="67">
        <f>D43+D44</f>
        <v>353.8</v>
      </c>
      <c r="E45" s="67">
        <f>SUM(E43:E44)</f>
        <v>337.1</v>
      </c>
      <c r="F45" s="67"/>
      <c r="G45" s="67">
        <f>G43+G44+1.7</f>
        <v>495.80000000000007</v>
      </c>
      <c r="H45" s="67">
        <f>SUM(H43:H44)+5.3</f>
        <v>602.69999999999993</v>
      </c>
      <c r="I45" s="67">
        <f t="shared" ref="I45:Z45" si="180">SUM(I43:I44)</f>
        <v>633.09999999999991</v>
      </c>
      <c r="J45" s="67">
        <f t="shared" si="180"/>
        <v>683.60000000000025</v>
      </c>
      <c r="K45" s="67">
        <f>K43+K44+5.2</f>
        <v>796.70000000000016</v>
      </c>
      <c r="L45" s="67">
        <f>SUM(L43:L44)+5.3</f>
        <v>931.69999999999982</v>
      </c>
      <c r="M45" s="67">
        <f t="shared" si="180"/>
        <v>1013.1999999999997</v>
      </c>
      <c r="N45" s="67">
        <f t="shared" si="180"/>
        <v>871.5</v>
      </c>
      <c r="O45" s="67">
        <f>SUM(O43:O44)+5.3</f>
        <v>1051.8999999999994</v>
      </c>
      <c r="P45" s="67">
        <f>SUM(P43:P44)+5.3</f>
        <v>1117.8999999999999</v>
      </c>
      <c r="Q45" s="67">
        <f t="shared" si="180"/>
        <v>1151</v>
      </c>
      <c r="R45" s="67">
        <f t="shared" si="180"/>
        <v>1019</v>
      </c>
      <c r="S45" s="67">
        <f t="shared" si="180"/>
        <v>1256</v>
      </c>
      <c r="T45" s="67">
        <f t="shared" si="180"/>
        <v>1418</v>
      </c>
      <c r="U45" s="67">
        <f t="shared" si="180"/>
        <v>1448</v>
      </c>
      <c r="V45" s="67">
        <f t="shared" si="180"/>
        <v>1199</v>
      </c>
      <c r="W45" s="67">
        <f t="shared" si="180"/>
        <v>1469</v>
      </c>
      <c r="X45" s="67">
        <f t="shared" si="180"/>
        <v>1605</v>
      </c>
      <c r="Y45" s="67">
        <f t="shared" si="180"/>
        <v>1549</v>
      </c>
      <c r="Z45" s="67">
        <f t="shared" si="180"/>
        <v>1320</v>
      </c>
      <c r="AA45" s="67">
        <f t="shared" ref="AA45:AJ45" si="181">SUM(AA43:AA44)</f>
        <v>1622</v>
      </c>
      <c r="AB45" s="67">
        <f t="shared" si="181"/>
        <v>1572</v>
      </c>
      <c r="AC45" s="67">
        <f t="shared" si="181"/>
        <v>1502</v>
      </c>
      <c r="AD45" s="67">
        <f t="shared" si="181"/>
        <v>1406</v>
      </c>
      <c r="AE45" s="67">
        <f t="shared" si="181"/>
        <v>1570</v>
      </c>
      <c r="AF45" s="67">
        <f t="shared" si="181"/>
        <v>1588</v>
      </c>
      <c r="AG45" s="67">
        <f t="shared" si="181"/>
        <v>1692</v>
      </c>
      <c r="AH45" s="67">
        <f t="shared" si="181"/>
        <v>1388</v>
      </c>
      <c r="AI45" s="67">
        <f t="shared" si="181"/>
        <v>1427</v>
      </c>
      <c r="AJ45" s="67">
        <f t="shared" si="181"/>
        <v>1600</v>
      </c>
      <c r="AK45" s="67">
        <f t="shared" ref="AK45:AT45" si="182">SUM(AK43:AK44)</f>
        <v>1742</v>
      </c>
      <c r="AL45" s="67">
        <f t="shared" si="182"/>
        <v>1267</v>
      </c>
      <c r="AM45" s="67">
        <f t="shared" si="182"/>
        <v>1602</v>
      </c>
      <c r="AN45" s="67">
        <f t="shared" si="182"/>
        <v>1658</v>
      </c>
      <c r="AO45" s="67">
        <f t="shared" si="182"/>
        <v>1623</v>
      </c>
      <c r="AP45" s="67">
        <f t="shared" si="182"/>
        <v>1305</v>
      </c>
      <c r="AQ45" s="67">
        <f t="shared" si="182"/>
        <v>1509</v>
      </c>
      <c r="AR45" s="67">
        <f t="shared" si="182"/>
        <v>1510</v>
      </c>
      <c r="AS45" s="67">
        <f t="shared" si="182"/>
        <v>2340.02</v>
      </c>
      <c r="AT45" s="67">
        <f t="shared" si="182"/>
        <v>1284.08</v>
      </c>
      <c r="AU45" s="67"/>
      <c r="AV45" s="67">
        <f>SUM(AV43:AV44)</f>
        <v>1530</v>
      </c>
      <c r="AW45" s="67"/>
      <c r="AX45" s="67"/>
      <c r="AY45" s="67"/>
      <c r="AZ45" s="67"/>
      <c r="BA45" s="67"/>
      <c r="BB45" s="67"/>
      <c r="BC45" s="67"/>
      <c r="BD45" s="67">
        <f>+BD44+BD43</f>
        <v>2175</v>
      </c>
      <c r="BE45" s="67"/>
      <c r="BF45" s="67"/>
      <c r="BG45" s="67"/>
      <c r="BH45" s="67"/>
      <c r="BI45" s="67"/>
      <c r="BJ45" s="67"/>
      <c r="BK45" s="67"/>
      <c r="BL45" s="67"/>
      <c r="BM45" s="67"/>
      <c r="BN45" s="67"/>
      <c r="BO45" s="67"/>
      <c r="BP45" s="67"/>
      <c r="BQ45" s="67"/>
      <c r="BR45" s="67"/>
      <c r="BS45" s="67"/>
      <c r="BT45" s="67"/>
      <c r="BU45" s="67"/>
      <c r="BV45" s="67">
        <f>+BV43+BV44</f>
        <v>2520</v>
      </c>
      <c r="BW45" s="67">
        <f t="shared" ref="BW45:CE45" si="183">BW43+BW44</f>
        <v>2612</v>
      </c>
      <c r="BX45" s="67">
        <f t="shared" si="183"/>
        <v>2423</v>
      </c>
      <c r="BY45" s="67">
        <f t="shared" si="183"/>
        <v>5737</v>
      </c>
      <c r="BZ45" s="67">
        <f t="shared" si="183"/>
        <v>2556</v>
      </c>
      <c r="CA45" s="67">
        <f t="shared" si="183"/>
        <v>2841</v>
      </c>
      <c r="CB45" s="67">
        <f t="shared" si="183"/>
        <v>2954</v>
      </c>
      <c r="CC45" s="67">
        <f t="shared" si="183"/>
        <v>2881</v>
      </c>
      <c r="CD45" s="67">
        <f t="shared" si="183"/>
        <v>2410</v>
      </c>
      <c r="CE45" s="67">
        <f t="shared" si="183"/>
        <v>2579</v>
      </c>
      <c r="CF45" s="67">
        <f t="shared" ref="CF45:CP45" si="184">CF43+CF44</f>
        <v>2884</v>
      </c>
      <c r="CG45" s="67">
        <f t="shared" si="184"/>
        <v>3156</v>
      </c>
      <c r="CH45" s="67">
        <f t="shared" si="184"/>
        <v>2662</v>
      </c>
      <c r="CI45" s="67">
        <f t="shared" si="184"/>
        <v>2845</v>
      </c>
      <c r="CJ45" s="67">
        <f t="shared" si="184"/>
        <v>2925</v>
      </c>
      <c r="CK45" s="67">
        <f t="shared" si="184"/>
        <v>3009</v>
      </c>
      <c r="CL45" s="67">
        <f t="shared" si="184"/>
        <v>2551</v>
      </c>
      <c r="CM45" s="67">
        <f t="shared" si="184"/>
        <v>2938.3790000000008</v>
      </c>
      <c r="CN45" s="67">
        <f t="shared" si="184"/>
        <v>3172.6656249999996</v>
      </c>
      <c r="CO45" s="67">
        <f t="shared" si="184"/>
        <v>3108.9395312500001</v>
      </c>
      <c r="CP45" s="67">
        <f t="shared" si="184"/>
        <v>2988.5760390625001</v>
      </c>
      <c r="CQ45" s="67"/>
      <c r="CR45" s="67"/>
      <c r="CS45" s="72"/>
      <c r="CT45" s="72"/>
      <c r="CU45" s="72"/>
      <c r="CV45" s="72"/>
      <c r="CW45" s="67">
        <f>CW43+CW44</f>
        <v>3601.5</v>
      </c>
      <c r="CX45" s="67">
        <f>CX43+CX44</f>
        <v>4329.2</v>
      </c>
      <c r="CY45" s="67">
        <f>CY43+CY44</f>
        <v>5320.9429999999993</v>
      </c>
      <c r="CZ45" s="67">
        <f>CZ43+CZ44</f>
        <v>5943</v>
      </c>
      <c r="DA45" s="67">
        <f>DA43+DA44</f>
        <v>6220</v>
      </c>
      <c r="DB45" s="67">
        <f t="shared" ref="DB45:DI45" si="185">DB43+DB44</f>
        <v>6238</v>
      </c>
      <c r="DC45" s="67">
        <f t="shared" si="185"/>
        <v>6064.4</v>
      </c>
      <c r="DD45" s="67">
        <f t="shared" si="185"/>
        <v>6188</v>
      </c>
      <c r="DE45" s="67">
        <f t="shared" si="185"/>
        <v>6643.1999999999989</v>
      </c>
      <c r="DF45" s="67">
        <f t="shared" si="185"/>
        <v>9273.3171599999987</v>
      </c>
      <c r="DG45" s="67">
        <f t="shared" si="185"/>
        <v>9863.9368495639974</v>
      </c>
      <c r="DH45" s="67">
        <f t="shared" si="185"/>
        <v>9260.0640331855539</v>
      </c>
      <c r="DI45" s="67">
        <f t="shared" si="185"/>
        <v>8631.558712002723</v>
      </c>
      <c r="DJ45" s="67">
        <f>DJ43+DJ44</f>
        <v>8508.7080436681681</v>
      </c>
      <c r="DK45" s="67">
        <f>DK43+DK44</f>
        <v>-1938.3967391509159</v>
      </c>
      <c r="DL45" s="67">
        <f>DL43+DL44</f>
        <v>0</v>
      </c>
      <c r="DM45" s="67">
        <f>DM43+DM44</f>
        <v>0</v>
      </c>
      <c r="DN45" s="67">
        <f t="shared" ref="DN45:EC45" si="186">DN43+DN44</f>
        <v>11072</v>
      </c>
      <c r="DO45" s="67">
        <f t="shared" si="186"/>
        <v>11227</v>
      </c>
      <c r="DP45" s="67">
        <f t="shared" si="186"/>
        <v>11309</v>
      </c>
      <c r="DQ45" s="67">
        <f t="shared" si="186"/>
        <v>21400.060195312501</v>
      </c>
      <c r="DR45" s="67">
        <f t="shared" si="186"/>
        <v>22990.656830781256</v>
      </c>
      <c r="DS45" s="67">
        <f t="shared" si="186"/>
        <v>24057.566279253129</v>
      </c>
      <c r="DT45" s="67">
        <f t="shared" si="186"/>
        <v>24210.881251703311</v>
      </c>
      <c r="DU45" s="67">
        <f t="shared" si="186"/>
        <v>24768.31225578177</v>
      </c>
      <c r="DV45" s="67">
        <f t="shared" si="186"/>
        <v>24557.531430315095</v>
      </c>
      <c r="DW45" s="67">
        <f t="shared" si="186"/>
        <v>23831.58477131154</v>
      </c>
      <c r="DX45" s="67">
        <f t="shared" si="186"/>
        <v>19835.870403174908</v>
      </c>
      <c r="DY45" s="67">
        <f t="shared" si="186"/>
        <v>18031.259134430693</v>
      </c>
      <c r="DZ45" s="67">
        <f t="shared" si="186"/>
        <v>17189.844798236922</v>
      </c>
      <c r="EA45" s="67">
        <f t="shared" si="186"/>
        <v>16885.678208501144</v>
      </c>
      <c r="EB45" s="67">
        <f t="shared" si="186"/>
        <v>16870.127754086363</v>
      </c>
      <c r="EC45" s="67">
        <f t="shared" si="186"/>
        <v>11817.186900088765</v>
      </c>
    </row>
    <row r="46" spans="2:203" s="15" customFormat="1">
      <c r="B46" s="15" t="s">
        <v>103</v>
      </c>
      <c r="C46" s="67">
        <v>153.19999999999999</v>
      </c>
      <c r="D46" s="67">
        <v>185.2</v>
      </c>
      <c r="E46" s="67">
        <v>196.3</v>
      </c>
      <c r="F46" s="67"/>
      <c r="G46" s="67">
        <v>153.19999999999999</v>
      </c>
      <c r="H46" s="67">
        <v>185.2</v>
      </c>
      <c r="I46" s="67">
        <v>196.3</v>
      </c>
      <c r="J46" s="67">
        <v>211.9</v>
      </c>
      <c r="K46" s="67">
        <v>233.5</v>
      </c>
      <c r="L46" s="67">
        <v>273.3</v>
      </c>
      <c r="M46" s="67">
        <v>298.89999999999998</v>
      </c>
      <c r="N46" s="67">
        <v>256.7</v>
      </c>
      <c r="O46" s="67">
        <v>295</v>
      </c>
      <c r="P46" s="67">
        <v>304</v>
      </c>
      <c r="Q46" s="67">
        <v>312.2</v>
      </c>
      <c r="R46" s="67">
        <v>263.8</v>
      </c>
      <c r="S46" s="67">
        <v>332</v>
      </c>
      <c r="T46" s="67">
        <v>314</v>
      </c>
      <c r="U46" s="67">
        <v>381</v>
      </c>
      <c r="V46" s="67">
        <v>271</v>
      </c>
      <c r="W46" s="67">
        <v>368</v>
      </c>
      <c r="X46" s="67">
        <v>370</v>
      </c>
      <c r="Y46" s="67">
        <v>325</v>
      </c>
      <c r="Z46" s="67">
        <v>260</v>
      </c>
      <c r="AA46" s="67">
        <v>352</v>
      </c>
      <c r="AB46" s="67">
        <v>307</v>
      </c>
      <c r="AC46" s="67">
        <v>321</v>
      </c>
      <c r="AD46" s="67">
        <v>318</v>
      </c>
      <c r="AE46" s="67">
        <v>352</v>
      </c>
      <c r="AF46" s="67">
        <v>353</v>
      </c>
      <c r="AG46" s="67">
        <v>384</v>
      </c>
      <c r="AH46" s="67">
        <v>264</v>
      </c>
      <c r="AI46" s="67">
        <v>307</v>
      </c>
      <c r="AJ46" s="67">
        <v>289</v>
      </c>
      <c r="AK46" s="67">
        <v>224</v>
      </c>
      <c r="AL46" s="67">
        <v>202</v>
      </c>
      <c r="AM46" s="67">
        <v>320</v>
      </c>
      <c r="AN46" s="67">
        <v>332</v>
      </c>
      <c r="AO46" s="67">
        <v>310</v>
      </c>
      <c r="AP46" s="67">
        <v>202</v>
      </c>
      <c r="AQ46" s="67">
        <v>251</v>
      </c>
      <c r="AR46" s="67">
        <v>229</v>
      </c>
      <c r="AS46" s="67">
        <f>+AS45*0.2</f>
        <v>468.00400000000002</v>
      </c>
      <c r="AT46" s="67">
        <f>+AT45*0.2</f>
        <v>256.81599999999997</v>
      </c>
      <c r="AU46" s="67"/>
      <c r="AV46" s="67">
        <v>191</v>
      </c>
      <c r="AW46" s="67"/>
      <c r="AX46" s="67"/>
      <c r="AY46" s="67"/>
      <c r="AZ46" s="67"/>
      <c r="BA46" s="67"/>
      <c r="BB46" s="67"/>
      <c r="BC46" s="67"/>
      <c r="BD46" s="67">
        <v>352</v>
      </c>
      <c r="BE46" s="67"/>
      <c r="BF46" s="67"/>
      <c r="BG46" s="67"/>
      <c r="BH46" s="67"/>
      <c r="BI46" s="67"/>
      <c r="BJ46" s="67"/>
      <c r="BK46" s="67"/>
      <c r="BL46" s="67"/>
      <c r="BM46" s="67"/>
      <c r="BN46" s="67"/>
      <c r="BO46" s="67"/>
      <c r="BP46" s="67"/>
      <c r="BQ46" s="67"/>
      <c r="BR46" s="67"/>
      <c r="BS46" s="67"/>
      <c r="BT46" s="67"/>
      <c r="BU46" s="67"/>
      <c r="BV46" s="67">
        <v>257</v>
      </c>
      <c r="BW46" s="67">
        <v>382</v>
      </c>
      <c r="BX46" s="67">
        <v>385</v>
      </c>
      <c r="BY46" s="67"/>
      <c r="BZ46" s="67">
        <v>280</v>
      </c>
      <c r="CA46" s="67">
        <v>365</v>
      </c>
      <c r="CB46" s="67">
        <v>227</v>
      </c>
      <c r="CC46" s="67">
        <v>185</v>
      </c>
      <c r="CD46" s="67">
        <v>262</v>
      </c>
      <c r="CE46" s="67">
        <v>211</v>
      </c>
      <c r="CF46" s="67">
        <v>362</v>
      </c>
      <c r="CG46" s="67">
        <v>271</v>
      </c>
      <c r="CH46" s="67">
        <v>232</v>
      </c>
      <c r="CI46" s="67">
        <v>199</v>
      </c>
      <c r="CJ46" s="67">
        <v>430</v>
      </c>
      <c r="CK46" s="67">
        <v>249</v>
      </c>
      <c r="CL46" s="67">
        <v>340</v>
      </c>
      <c r="CM46" s="67">
        <f t="shared" ref="CM46:CP46" si="187">+CM45*0.2</f>
        <v>587.67580000000021</v>
      </c>
      <c r="CN46" s="67">
        <f t="shared" si="187"/>
        <v>634.53312499999993</v>
      </c>
      <c r="CO46" s="67">
        <f t="shared" si="187"/>
        <v>621.78790625000011</v>
      </c>
      <c r="CP46" s="67">
        <f t="shared" si="187"/>
        <v>597.71520781250001</v>
      </c>
      <c r="CQ46" s="67"/>
      <c r="CR46" s="67"/>
      <c r="CS46" s="72"/>
      <c r="CT46" s="72"/>
      <c r="CU46" s="72"/>
      <c r="CV46" s="72"/>
      <c r="CW46" s="67">
        <v>1063</v>
      </c>
      <c r="CX46" s="67">
        <f>SUM(O46:R46)</f>
        <v>1175</v>
      </c>
      <c r="CY46" s="67">
        <f>SUM(S46:V46)</f>
        <v>1298</v>
      </c>
      <c r="CZ46" s="67">
        <f>SUM(W46:Z46)</f>
        <v>1323</v>
      </c>
      <c r="DA46" s="67">
        <f>DA45*DA56</f>
        <v>1368.4</v>
      </c>
      <c r="DB46" s="67">
        <f>SUM(AE46:AH46)</f>
        <v>1353</v>
      </c>
      <c r="DC46" s="67">
        <f>DC45*DC56</f>
        <v>1364.49</v>
      </c>
      <c r="DD46" s="67">
        <f>SUM(AM46:AP46)</f>
        <v>1164</v>
      </c>
      <c r="DE46" s="67">
        <f t="shared" ref="DE46:DM46" si="188">DE45*DE56</f>
        <v>1295.4239999999998</v>
      </c>
      <c r="DF46" s="67">
        <f t="shared" si="188"/>
        <v>1947.3966035999997</v>
      </c>
      <c r="DG46" s="67">
        <f t="shared" si="188"/>
        <v>2071.4267384084392</v>
      </c>
      <c r="DH46" s="67">
        <f t="shared" si="188"/>
        <v>1944.6134469689662</v>
      </c>
      <c r="DI46" s="67">
        <f t="shared" si="188"/>
        <v>1812.6273295205717</v>
      </c>
      <c r="DJ46" s="67">
        <f t="shared" si="188"/>
        <v>1786.8286891703153</v>
      </c>
      <c r="DK46" s="67">
        <f t="shared" si="188"/>
        <v>-407.06331522169233</v>
      </c>
      <c r="DL46" s="67">
        <f t="shared" si="188"/>
        <v>0</v>
      </c>
      <c r="DM46" s="67">
        <f t="shared" si="188"/>
        <v>0</v>
      </c>
      <c r="DN46" s="67">
        <v>869</v>
      </c>
      <c r="DO46" s="67">
        <v>808</v>
      </c>
      <c r="DP46" s="67">
        <f t="shared" si="178"/>
        <v>1218</v>
      </c>
      <c r="DQ46" s="67">
        <f>+DQ45*0.2</f>
        <v>4280.0120390625007</v>
      </c>
      <c r="DR46" s="67">
        <f t="shared" ref="DR46:EC46" si="189">+DR45*0.2</f>
        <v>4598.1313661562517</v>
      </c>
      <c r="DS46" s="67">
        <f t="shared" si="189"/>
        <v>4811.5132558506257</v>
      </c>
      <c r="DT46" s="67">
        <f t="shared" si="189"/>
        <v>4842.1762503406626</v>
      </c>
      <c r="DU46" s="67">
        <f t="shared" si="189"/>
        <v>4953.6624511563541</v>
      </c>
      <c r="DV46" s="67">
        <f t="shared" si="189"/>
        <v>4911.5062860630196</v>
      </c>
      <c r="DW46" s="67">
        <f t="shared" si="189"/>
        <v>4766.3169542623082</v>
      </c>
      <c r="DX46" s="67">
        <f t="shared" si="189"/>
        <v>3967.1740806349817</v>
      </c>
      <c r="DY46" s="67">
        <f t="shared" si="189"/>
        <v>3606.2518268861386</v>
      </c>
      <c r="DZ46" s="67">
        <f t="shared" si="189"/>
        <v>3437.9689596473845</v>
      </c>
      <c r="EA46" s="67">
        <f t="shared" si="189"/>
        <v>3377.1356417002289</v>
      </c>
      <c r="EB46" s="67">
        <f t="shared" si="189"/>
        <v>3374.0255508172727</v>
      </c>
      <c r="EC46" s="67">
        <f t="shared" si="189"/>
        <v>2363.4373800177532</v>
      </c>
    </row>
    <row r="47" spans="2:203" s="15" customFormat="1">
      <c r="B47" s="37" t="s">
        <v>1096</v>
      </c>
      <c r="C47" s="67">
        <f>C45-C46</f>
        <v>230.59999999999991</v>
      </c>
      <c r="D47" s="67">
        <f>D45-D46</f>
        <v>168.60000000000002</v>
      </c>
      <c r="E47" s="67">
        <f>E45-E46</f>
        <v>140.80000000000001</v>
      </c>
      <c r="F47" s="67"/>
      <c r="G47" s="67">
        <f t="shared" ref="G47:N47" si="190">G45-G46</f>
        <v>342.60000000000008</v>
      </c>
      <c r="H47" s="67">
        <f t="shared" si="190"/>
        <v>417.49999999999994</v>
      </c>
      <c r="I47" s="67">
        <f t="shared" si="190"/>
        <v>436.7999999999999</v>
      </c>
      <c r="J47" s="67">
        <f t="shared" si="190"/>
        <v>471.70000000000027</v>
      </c>
      <c r="K47" s="67">
        <f t="shared" si="190"/>
        <v>563.20000000000016</v>
      </c>
      <c r="L47" s="67">
        <f t="shared" si="190"/>
        <v>658.39999999999986</v>
      </c>
      <c r="M47" s="67">
        <f t="shared" si="190"/>
        <v>714.29999999999973</v>
      </c>
      <c r="N47" s="67">
        <f t="shared" si="190"/>
        <v>614.79999999999995</v>
      </c>
      <c r="O47" s="67">
        <f t="shared" ref="O47:V47" si="191">O45-O46</f>
        <v>756.89999999999941</v>
      </c>
      <c r="P47" s="67">
        <f t="shared" si="191"/>
        <v>813.89999999999986</v>
      </c>
      <c r="Q47" s="67">
        <f t="shared" si="191"/>
        <v>838.8</v>
      </c>
      <c r="R47" s="67">
        <f t="shared" si="191"/>
        <v>755.2</v>
      </c>
      <c r="S47" s="67">
        <f>S45-S46</f>
        <v>924</v>
      </c>
      <c r="T47" s="67">
        <f t="shared" si="191"/>
        <v>1104</v>
      </c>
      <c r="U47" s="67">
        <f t="shared" si="191"/>
        <v>1067</v>
      </c>
      <c r="V47" s="67">
        <f t="shared" si="191"/>
        <v>928</v>
      </c>
      <c r="W47" s="67">
        <f t="shared" ref="W47:AD47" si="192">W45-W46</f>
        <v>1101</v>
      </c>
      <c r="X47" s="67">
        <f t="shared" si="192"/>
        <v>1235</v>
      </c>
      <c r="Y47" s="67">
        <f t="shared" si="192"/>
        <v>1224</v>
      </c>
      <c r="Z47" s="67">
        <f t="shared" si="192"/>
        <v>1060</v>
      </c>
      <c r="AA47" s="67">
        <f t="shared" si="192"/>
        <v>1270</v>
      </c>
      <c r="AB47" s="67">
        <f t="shared" si="192"/>
        <v>1265</v>
      </c>
      <c r="AC47" s="67">
        <f t="shared" si="192"/>
        <v>1181</v>
      </c>
      <c r="AD47" s="67">
        <f t="shared" si="192"/>
        <v>1088</v>
      </c>
      <c r="AE47" s="67">
        <f t="shared" ref="AE47:AL47" si="193">AE45-AE46</f>
        <v>1218</v>
      </c>
      <c r="AF47" s="67">
        <f t="shared" si="193"/>
        <v>1235</v>
      </c>
      <c r="AG47" s="67">
        <f t="shared" si="193"/>
        <v>1308</v>
      </c>
      <c r="AH47" s="67">
        <f t="shared" si="193"/>
        <v>1124</v>
      </c>
      <c r="AI47" s="67">
        <f t="shared" si="193"/>
        <v>1120</v>
      </c>
      <c r="AJ47" s="67">
        <f t="shared" si="193"/>
        <v>1311</v>
      </c>
      <c r="AK47" s="67">
        <f t="shared" si="193"/>
        <v>1518</v>
      </c>
      <c r="AL47" s="67">
        <f t="shared" si="193"/>
        <v>1065</v>
      </c>
      <c r="AM47" s="67">
        <f t="shared" ref="AM47:AT47" si="194">AM45-AM46</f>
        <v>1282</v>
      </c>
      <c r="AN47" s="67">
        <f t="shared" si="194"/>
        <v>1326</v>
      </c>
      <c r="AO47" s="67">
        <f t="shared" si="194"/>
        <v>1313</v>
      </c>
      <c r="AP47" s="67">
        <f t="shared" si="194"/>
        <v>1103</v>
      </c>
      <c r="AQ47" s="67">
        <f t="shared" si="194"/>
        <v>1258</v>
      </c>
      <c r="AR47" s="67">
        <f t="shared" si="194"/>
        <v>1281</v>
      </c>
      <c r="AS47" s="67">
        <f>AS45-AS46</f>
        <v>1872.0160000000001</v>
      </c>
      <c r="AT47" s="67">
        <f t="shared" si="194"/>
        <v>1027.2639999999999</v>
      </c>
      <c r="AU47" s="67"/>
      <c r="AV47" s="67">
        <f>AV45-AV46</f>
        <v>1339</v>
      </c>
      <c r="AW47" s="67"/>
      <c r="AX47" s="67"/>
      <c r="AY47" s="67"/>
      <c r="AZ47" s="67"/>
      <c r="BA47" s="67"/>
      <c r="BB47" s="67"/>
      <c r="BC47" s="67"/>
      <c r="BD47" s="67">
        <f>+BD45-BD46</f>
        <v>1823</v>
      </c>
      <c r="BE47" s="67"/>
      <c r="BF47" s="67"/>
      <c r="BG47" s="67"/>
      <c r="BH47" s="67"/>
      <c r="BI47" s="67"/>
      <c r="BJ47" s="67"/>
      <c r="BK47" s="67"/>
      <c r="BL47" s="67"/>
      <c r="BM47" s="67"/>
      <c r="BN47" s="67"/>
      <c r="BO47" s="67"/>
      <c r="BP47" s="67"/>
      <c r="BQ47" s="67"/>
      <c r="BR47" s="67"/>
      <c r="BS47" s="67"/>
      <c r="BT47" s="67"/>
      <c r="BU47" s="67"/>
      <c r="BV47" s="67">
        <f>+BV45-BV46</f>
        <v>2263</v>
      </c>
      <c r="BW47" s="67">
        <f t="shared" ref="BW47:CB47" si="195">BW45-BW46</f>
        <v>2230</v>
      </c>
      <c r="BX47" s="67">
        <f t="shared" si="195"/>
        <v>2038</v>
      </c>
      <c r="BY47" s="67">
        <f t="shared" si="195"/>
        <v>5737</v>
      </c>
      <c r="BZ47" s="67">
        <f t="shared" si="195"/>
        <v>2276</v>
      </c>
      <c r="CA47" s="67">
        <f t="shared" si="195"/>
        <v>2476</v>
      </c>
      <c r="CB47" s="67">
        <f t="shared" si="195"/>
        <v>2727</v>
      </c>
      <c r="CC47" s="67">
        <f t="shared" ref="CC47:CD47" si="196">CC45-CC46</f>
        <v>2696</v>
      </c>
      <c r="CD47" s="67">
        <f t="shared" si="196"/>
        <v>2148</v>
      </c>
      <c r="CE47" s="67">
        <f>CE45-CE46</f>
        <v>2368</v>
      </c>
      <c r="CF47" s="67">
        <f t="shared" ref="CF47:CP47" si="197">CF45-CF46</f>
        <v>2522</v>
      </c>
      <c r="CG47" s="67">
        <f t="shared" si="197"/>
        <v>2885</v>
      </c>
      <c r="CH47" s="67">
        <f t="shared" si="197"/>
        <v>2430</v>
      </c>
      <c r="CI47" s="67">
        <f t="shared" si="197"/>
        <v>2646</v>
      </c>
      <c r="CJ47" s="67">
        <f t="shared" si="197"/>
        <v>2495</v>
      </c>
      <c r="CK47" s="67">
        <f t="shared" si="197"/>
        <v>2760</v>
      </c>
      <c r="CL47" s="67">
        <f t="shared" si="197"/>
        <v>2211</v>
      </c>
      <c r="CM47" s="67">
        <f t="shared" si="197"/>
        <v>2350.7032000000008</v>
      </c>
      <c r="CN47" s="67">
        <f t="shared" si="197"/>
        <v>2538.1324999999997</v>
      </c>
      <c r="CO47" s="67">
        <f t="shared" si="197"/>
        <v>2487.151625</v>
      </c>
      <c r="CP47" s="67">
        <f t="shared" si="197"/>
        <v>2390.86083125</v>
      </c>
      <c r="CQ47" s="67"/>
      <c r="CR47" s="67"/>
      <c r="CS47" s="72"/>
      <c r="CT47" s="72"/>
      <c r="CU47" s="72"/>
      <c r="CV47" s="72"/>
      <c r="CW47" s="67">
        <v>2560</v>
      </c>
      <c r="CX47" s="67">
        <v>3169</v>
      </c>
      <c r="CY47" s="67">
        <f t="shared" ref="CY47:DF47" si="198">CY45-CY46</f>
        <v>4022.9429999999993</v>
      </c>
      <c r="CZ47" s="67">
        <f t="shared" si="198"/>
        <v>4620</v>
      </c>
      <c r="DA47" s="67">
        <f t="shared" si="198"/>
        <v>4851.6000000000004</v>
      </c>
      <c r="DB47" s="67">
        <f>DB45-DB46</f>
        <v>4885</v>
      </c>
      <c r="DC47" s="67">
        <f>DC45-DC46</f>
        <v>4699.91</v>
      </c>
      <c r="DD47" s="67">
        <f>DD45-DD46</f>
        <v>5024</v>
      </c>
      <c r="DE47" s="67">
        <f>DE45-DE46</f>
        <v>5347.7759999999989</v>
      </c>
      <c r="DF47" s="67">
        <f t="shared" si="198"/>
        <v>7325.9205563999985</v>
      </c>
      <c r="DG47" s="67">
        <f t="shared" ref="DG47:DM47" si="199">DG45-DG46</f>
        <v>7792.5101111555578</v>
      </c>
      <c r="DH47" s="67">
        <f t="shared" si="199"/>
        <v>7315.4505862165879</v>
      </c>
      <c r="DI47" s="67">
        <f t="shared" si="199"/>
        <v>6818.9313824821511</v>
      </c>
      <c r="DJ47" s="67">
        <f t="shared" si="199"/>
        <v>6721.8793544978525</v>
      </c>
      <c r="DK47" s="67">
        <f t="shared" si="199"/>
        <v>-1531.3334239292235</v>
      </c>
      <c r="DL47" s="67">
        <f t="shared" si="199"/>
        <v>0</v>
      </c>
      <c r="DM47" s="67">
        <f t="shared" si="199"/>
        <v>0</v>
      </c>
      <c r="DN47" s="67">
        <f>DN45-DN46</f>
        <v>10203</v>
      </c>
      <c r="DO47" s="67">
        <f>DO45-DO46</f>
        <v>10419</v>
      </c>
      <c r="DP47" s="67">
        <f>DP45-DP46</f>
        <v>10091</v>
      </c>
      <c r="DQ47" s="67">
        <f>DQ45-DQ46</f>
        <v>17120.048156249999</v>
      </c>
      <c r="DR47" s="67">
        <f t="shared" ref="DR47:EC47" si="200">DR45-DR46</f>
        <v>18392.525464625003</v>
      </c>
      <c r="DS47" s="67">
        <f t="shared" si="200"/>
        <v>19246.053023402503</v>
      </c>
      <c r="DT47" s="67">
        <f t="shared" si="200"/>
        <v>19368.70500136265</v>
      </c>
      <c r="DU47" s="67">
        <f t="shared" si="200"/>
        <v>19814.649804625416</v>
      </c>
      <c r="DV47" s="67">
        <f t="shared" si="200"/>
        <v>19646.025144252075</v>
      </c>
      <c r="DW47" s="67">
        <f t="shared" si="200"/>
        <v>19065.267817049233</v>
      </c>
      <c r="DX47" s="67">
        <f t="shared" si="200"/>
        <v>15868.696322539927</v>
      </c>
      <c r="DY47" s="67">
        <f t="shared" si="200"/>
        <v>14425.007307544554</v>
      </c>
      <c r="DZ47" s="67">
        <f t="shared" si="200"/>
        <v>13751.875838589538</v>
      </c>
      <c r="EA47" s="67">
        <f t="shared" si="200"/>
        <v>13508.542566800916</v>
      </c>
      <c r="EB47" s="67">
        <f t="shared" si="200"/>
        <v>13496.102203269091</v>
      </c>
      <c r="EC47" s="67">
        <f t="shared" si="200"/>
        <v>9453.7495200710127</v>
      </c>
      <c r="ED47" s="18">
        <f>+EC47*(1+$EF$51)</f>
        <v>9264.6745296695917</v>
      </c>
      <c r="EE47" s="18">
        <f t="shared" ref="EE47:GP47" si="201">+ED47*(1+$EF$51)</f>
        <v>9079.3810390761992</v>
      </c>
      <c r="EF47" s="18">
        <f t="shared" si="201"/>
        <v>8897.7934182946756</v>
      </c>
      <c r="EG47" s="18">
        <f t="shared" si="201"/>
        <v>8719.8375499287813</v>
      </c>
      <c r="EH47" s="18">
        <f t="shared" si="201"/>
        <v>8545.4407989302053</v>
      </c>
      <c r="EI47" s="18">
        <f t="shared" si="201"/>
        <v>8374.5319829516011</v>
      </c>
      <c r="EJ47" s="18">
        <f t="shared" si="201"/>
        <v>8207.0413432925689</v>
      </c>
      <c r="EK47" s="18">
        <f t="shared" si="201"/>
        <v>8042.9005164267173</v>
      </c>
      <c r="EL47" s="18">
        <f t="shared" si="201"/>
        <v>7882.0425060981825</v>
      </c>
      <c r="EM47" s="18">
        <f t="shared" si="201"/>
        <v>7724.4016559762185</v>
      </c>
      <c r="EN47" s="18">
        <f t="shared" si="201"/>
        <v>7569.913622856694</v>
      </c>
      <c r="EO47" s="18">
        <f t="shared" si="201"/>
        <v>7418.5153503995598</v>
      </c>
      <c r="EP47" s="18">
        <f t="shared" si="201"/>
        <v>7270.1450433915688</v>
      </c>
      <c r="EQ47" s="18">
        <f t="shared" si="201"/>
        <v>7124.7421425237371</v>
      </c>
      <c r="ER47" s="18">
        <f t="shared" si="201"/>
        <v>6982.2472996732622</v>
      </c>
      <c r="ES47" s="18">
        <f t="shared" si="201"/>
        <v>6842.6023536797966</v>
      </c>
      <c r="ET47" s="18">
        <f t="shared" si="201"/>
        <v>6705.7503066062009</v>
      </c>
      <c r="EU47" s="18">
        <f t="shared" si="201"/>
        <v>6571.6353004740768</v>
      </c>
      <c r="EV47" s="18">
        <f t="shared" si="201"/>
        <v>6440.2025944645948</v>
      </c>
      <c r="EW47" s="18">
        <f t="shared" si="201"/>
        <v>6311.3985425753026</v>
      </c>
      <c r="EX47" s="18">
        <f t="shared" si="201"/>
        <v>6185.1705717237965</v>
      </c>
      <c r="EY47" s="18">
        <f t="shared" si="201"/>
        <v>6061.4671602893204</v>
      </c>
      <c r="EZ47" s="18">
        <f t="shared" si="201"/>
        <v>5940.2378170835336</v>
      </c>
      <c r="FA47" s="18">
        <f t="shared" si="201"/>
        <v>5821.4330607418633</v>
      </c>
      <c r="FB47" s="18">
        <f t="shared" si="201"/>
        <v>5705.0043995270262</v>
      </c>
      <c r="FC47" s="18">
        <f t="shared" si="201"/>
        <v>5590.9043115364857</v>
      </c>
      <c r="FD47" s="18">
        <f t="shared" si="201"/>
        <v>5479.0862253057558</v>
      </c>
      <c r="FE47" s="18">
        <f t="shared" si="201"/>
        <v>5369.5045007996405</v>
      </c>
      <c r="FF47" s="18">
        <f t="shared" si="201"/>
        <v>5262.1144107836471</v>
      </c>
      <c r="FG47" s="18">
        <f t="shared" si="201"/>
        <v>5156.8721225679737</v>
      </c>
      <c r="FH47" s="18">
        <f t="shared" si="201"/>
        <v>5053.7346801166141</v>
      </c>
      <c r="FI47" s="18">
        <f t="shared" si="201"/>
        <v>4952.6599865142816</v>
      </c>
      <c r="FJ47" s="18">
        <f t="shared" si="201"/>
        <v>4853.6067867839956</v>
      </c>
      <c r="FK47" s="18">
        <f t="shared" si="201"/>
        <v>4756.5346510483159</v>
      </c>
      <c r="FL47" s="18">
        <f t="shared" si="201"/>
        <v>4661.4039580273493</v>
      </c>
      <c r="FM47" s="18">
        <f t="shared" si="201"/>
        <v>4568.1758788668021</v>
      </c>
      <c r="FN47" s="18">
        <f t="shared" si="201"/>
        <v>4476.812361289466</v>
      </c>
      <c r="FO47" s="18">
        <f t="shared" si="201"/>
        <v>4387.2761140636767</v>
      </c>
      <c r="FP47" s="18">
        <f t="shared" si="201"/>
        <v>4299.5305917824035</v>
      </c>
      <c r="FQ47" s="18">
        <f t="shared" si="201"/>
        <v>4213.539979946755</v>
      </c>
      <c r="FR47" s="18">
        <f t="shared" si="201"/>
        <v>4129.2691803478201</v>
      </c>
      <c r="FS47" s="18">
        <f t="shared" si="201"/>
        <v>4046.6837967408637</v>
      </c>
      <c r="FT47" s="18">
        <f t="shared" si="201"/>
        <v>3965.7501208060462</v>
      </c>
      <c r="FU47" s="18">
        <f t="shared" si="201"/>
        <v>3886.4351183899253</v>
      </c>
      <c r="FV47" s="18">
        <f t="shared" si="201"/>
        <v>3808.7064160221266</v>
      </c>
      <c r="FW47" s="18">
        <f t="shared" si="201"/>
        <v>3732.5322877016843</v>
      </c>
      <c r="FX47" s="18">
        <f t="shared" si="201"/>
        <v>3657.8816419476507</v>
      </c>
      <c r="FY47" s="18">
        <f t="shared" si="201"/>
        <v>3584.7240091086974</v>
      </c>
      <c r="FZ47" s="18">
        <f t="shared" si="201"/>
        <v>3513.0295289265232</v>
      </c>
      <c r="GA47" s="18">
        <f t="shared" si="201"/>
        <v>3442.7689383479928</v>
      </c>
      <c r="GB47" s="18">
        <f t="shared" si="201"/>
        <v>3373.913559581033</v>
      </c>
      <c r="GC47" s="18">
        <f t="shared" si="201"/>
        <v>3306.4352883894121</v>
      </c>
      <c r="GD47" s="18">
        <f t="shared" si="201"/>
        <v>3240.3065826216239</v>
      </c>
      <c r="GE47" s="18">
        <f t="shared" si="201"/>
        <v>3175.5004509691912</v>
      </c>
      <c r="GF47" s="18">
        <f t="shared" si="201"/>
        <v>3111.9904419498075</v>
      </c>
      <c r="GG47" s="18">
        <f t="shared" si="201"/>
        <v>3049.7506331108111</v>
      </c>
      <c r="GH47" s="18">
        <f t="shared" si="201"/>
        <v>2988.755620448595</v>
      </c>
      <c r="GI47" s="18">
        <f t="shared" si="201"/>
        <v>2928.9805080396231</v>
      </c>
      <c r="GJ47" s="18">
        <f t="shared" si="201"/>
        <v>2870.4008978788306</v>
      </c>
      <c r="GK47" s="18">
        <f t="shared" si="201"/>
        <v>2812.9928799212539</v>
      </c>
      <c r="GL47" s="18">
        <f t="shared" si="201"/>
        <v>2756.7330223228287</v>
      </c>
      <c r="GM47" s="18">
        <f t="shared" si="201"/>
        <v>2701.5983618763721</v>
      </c>
      <c r="GN47" s="18">
        <f t="shared" si="201"/>
        <v>2647.5663946388445</v>
      </c>
      <c r="GO47" s="18">
        <f t="shared" si="201"/>
        <v>2594.6150667460674</v>
      </c>
      <c r="GP47" s="18">
        <f t="shared" si="201"/>
        <v>2542.7227654111462</v>
      </c>
      <c r="GQ47" s="18">
        <f t="shared" ref="GQ47:GU47" si="202">+GP47*(1+$EF$51)</f>
        <v>2491.8683101029233</v>
      </c>
      <c r="GR47" s="18">
        <f t="shared" si="202"/>
        <v>2442.0309439008647</v>
      </c>
      <c r="GS47" s="18">
        <f t="shared" si="202"/>
        <v>2393.1903250228474</v>
      </c>
      <c r="GT47" s="18">
        <f t="shared" si="202"/>
        <v>2345.3265185223904</v>
      </c>
      <c r="GU47" s="18">
        <f t="shared" si="202"/>
        <v>2298.4199881519426</v>
      </c>
    </row>
    <row r="48" spans="2:203" s="61" customFormat="1">
      <c r="B48" s="91" t="s">
        <v>450</v>
      </c>
      <c r="C48" s="76">
        <f>C47/C49</f>
        <v>0.21241709653647745</v>
      </c>
      <c r="D48" s="76">
        <f>D47/D49</f>
        <v>0.15344011649071718</v>
      </c>
      <c r="E48" s="76">
        <f>E47/E49</f>
        <v>0.12981744421906696</v>
      </c>
      <c r="F48" s="76"/>
      <c r="G48" s="76">
        <f t="shared" ref="G48:AN48" si="203">G47/G49</f>
        <v>0.31558585114222559</v>
      </c>
      <c r="H48" s="76">
        <f t="shared" si="203"/>
        <v>0.37995995631598101</v>
      </c>
      <c r="I48" s="76">
        <f t="shared" si="203"/>
        <v>0.3353036002149381</v>
      </c>
      <c r="J48" s="76">
        <f t="shared" si="203"/>
        <v>0.35008163871159287</v>
      </c>
      <c r="K48" s="76">
        <f t="shared" si="203"/>
        <v>0.41721609008074684</v>
      </c>
      <c r="L48" s="76">
        <f t="shared" si="203"/>
        <v>0.48878990348923523</v>
      </c>
      <c r="M48" s="76">
        <f t="shared" si="203"/>
        <v>0.52989614243323424</v>
      </c>
      <c r="N48" s="76">
        <f t="shared" si="203"/>
        <v>0.45880597014925367</v>
      </c>
      <c r="O48" s="76">
        <f t="shared" si="203"/>
        <v>0.56803001876172565</v>
      </c>
      <c r="P48" s="76">
        <f t="shared" si="203"/>
        <v>0.61766714730211725</v>
      </c>
      <c r="Q48" s="76">
        <f t="shared" si="203"/>
        <v>0.63545454545454538</v>
      </c>
      <c r="R48" s="76">
        <f t="shared" si="203"/>
        <v>0.57648854961832063</v>
      </c>
      <c r="S48" s="76">
        <f t="shared" si="203"/>
        <v>0.71627906976744182</v>
      </c>
      <c r="T48" s="76">
        <f t="shared" si="203"/>
        <v>0.88319999999999999</v>
      </c>
      <c r="U48" s="76">
        <f t="shared" si="203"/>
        <v>0.85428342674139313</v>
      </c>
      <c r="V48" s="76">
        <f t="shared" si="203"/>
        <v>0.74658085277554309</v>
      </c>
      <c r="W48" s="76">
        <f t="shared" si="203"/>
        <v>0.90691927512355852</v>
      </c>
      <c r="X48" s="76">
        <f t="shared" si="203"/>
        <v>1.0457239627434378</v>
      </c>
      <c r="Y48" s="76">
        <f t="shared" si="203"/>
        <v>1.0425894378194207</v>
      </c>
      <c r="Z48" s="76">
        <f t="shared" si="203"/>
        <v>0.90212765957446805</v>
      </c>
      <c r="AA48" s="76">
        <f t="shared" si="203"/>
        <v>1.0836177474402731</v>
      </c>
      <c r="AB48" s="76">
        <f t="shared" si="203"/>
        <v>1.1174911660777385</v>
      </c>
      <c r="AC48" s="76">
        <f t="shared" si="203"/>
        <v>1.0844811753902663</v>
      </c>
      <c r="AD48" s="76">
        <f t="shared" si="203"/>
        <v>0.997250229147571</v>
      </c>
      <c r="AE48" s="76">
        <f t="shared" si="203"/>
        <v>1.1164069660861595</v>
      </c>
      <c r="AF48" s="76">
        <f t="shared" si="203"/>
        <v>1.1435185185185186</v>
      </c>
      <c r="AG48" s="76">
        <f t="shared" si="203"/>
        <v>1.2304797742238947</v>
      </c>
      <c r="AH48" s="76">
        <f t="shared" si="203"/>
        <v>1.05937794533459</v>
      </c>
      <c r="AI48" s="76">
        <f t="shared" si="203"/>
        <v>1.0800385728061717</v>
      </c>
      <c r="AJ48" s="76">
        <f t="shared" si="203"/>
        <v>1.2903543307086613</v>
      </c>
      <c r="AK48" s="76">
        <f t="shared" si="203"/>
        <v>1.4867776689520078</v>
      </c>
      <c r="AL48" s="76">
        <f t="shared" si="203"/>
        <v>1.0523715415019763</v>
      </c>
      <c r="AM48" s="76">
        <f t="shared" si="203"/>
        <v>1.2975708502024292</v>
      </c>
      <c r="AN48" s="76">
        <f t="shared" si="203"/>
        <v>1.3755186721991701</v>
      </c>
      <c r="AO48" s="76">
        <f t="shared" ref="AO48:AT48" si="204">AO47/AO49</f>
        <v>1.3648648648648649</v>
      </c>
      <c r="AP48" s="76">
        <f t="shared" si="204"/>
        <v>1.1659619450317125</v>
      </c>
      <c r="AQ48" s="76">
        <f t="shared" si="204"/>
        <v>1.3382978723404255</v>
      </c>
      <c r="AR48" s="76">
        <f t="shared" si="204"/>
        <v>1.3715203426124196</v>
      </c>
      <c r="AS48" s="76">
        <f>AS47/AS49</f>
        <v>2.0042997858672376</v>
      </c>
      <c r="AT48" s="76">
        <f t="shared" si="204"/>
        <v>1.0998543897216273</v>
      </c>
      <c r="AU48" s="76"/>
      <c r="AV48" s="76">
        <f>AV47/AV49</f>
        <v>1.7057324840764332</v>
      </c>
      <c r="AW48" s="76"/>
      <c r="AX48" s="76"/>
      <c r="AY48" s="76"/>
      <c r="AZ48" s="76"/>
      <c r="BA48" s="76"/>
      <c r="BB48" s="76"/>
      <c r="BC48" s="76"/>
      <c r="BD48" s="76">
        <f>+BD47/BD49</f>
        <v>2.3736979166666665</v>
      </c>
      <c r="BE48" s="76"/>
      <c r="BF48" s="76"/>
      <c r="BG48" s="76"/>
      <c r="BH48" s="76"/>
      <c r="BI48" s="76"/>
      <c r="BJ48" s="76"/>
      <c r="BK48" s="76"/>
      <c r="BL48" s="76"/>
      <c r="BM48" s="76"/>
      <c r="BN48" s="76"/>
      <c r="BO48" s="76"/>
      <c r="BP48" s="76"/>
      <c r="BQ48" s="76"/>
      <c r="BR48" s="76"/>
      <c r="BS48" s="76"/>
      <c r="BT48" s="76"/>
      <c r="BU48" s="76"/>
      <c r="BV48" s="76">
        <f>+BV47/BV49</f>
        <v>3.5359375000000002</v>
      </c>
      <c r="BW48" s="96">
        <f t="shared" ref="BW48:CB48" si="205">BW47/BW49</f>
        <v>3.5623003194888181</v>
      </c>
      <c r="BX48" s="96">
        <f t="shared" si="205"/>
        <v>3.3409836065573773</v>
      </c>
      <c r="BY48" s="96" t="e">
        <f t="shared" si="205"/>
        <v>#DIV/0!</v>
      </c>
      <c r="BZ48" s="96">
        <f t="shared" si="205"/>
        <v>3.8060200668896322</v>
      </c>
      <c r="CA48" s="96">
        <f t="shared" si="205"/>
        <v>4.1683501683501687</v>
      </c>
      <c r="CB48" s="96">
        <f t="shared" si="205"/>
        <v>4.6064189189189193</v>
      </c>
      <c r="CC48" s="96">
        <f t="shared" ref="CC48:CD48" si="206">CC47/CC49</f>
        <v>4.5772495755517824</v>
      </c>
      <c r="CD48" s="96">
        <f t="shared" si="206"/>
        <v>3.6717948717948716</v>
      </c>
      <c r="CE48" s="96">
        <f>CE47/CE49</f>
        <v>4.0757314974182446</v>
      </c>
      <c r="CF48" s="96">
        <f t="shared" ref="CF48:CP48" si="207">CF47/CF49</f>
        <v>4.3784722222222223</v>
      </c>
      <c r="CG48" s="96">
        <f t="shared" si="207"/>
        <v>5.0614035087719298</v>
      </c>
      <c r="CH48" s="96">
        <f t="shared" si="207"/>
        <v>4.3008849557522124</v>
      </c>
      <c r="CI48" s="96">
        <f t="shared" si="207"/>
        <v>4.8021778584392019</v>
      </c>
      <c r="CJ48" s="96">
        <f t="shared" si="207"/>
        <v>4.6461824953445063</v>
      </c>
      <c r="CK48" s="96">
        <f t="shared" si="207"/>
        <v>5.1301115241635689</v>
      </c>
      <c r="CL48" s="96">
        <f t="shared" si="207"/>
        <v>4.1020408163265305</v>
      </c>
      <c r="CM48" s="96">
        <f t="shared" si="207"/>
        <v>4.3612304267161424</v>
      </c>
      <c r="CN48" s="96">
        <f t="shared" si="207"/>
        <v>4.708965677179962</v>
      </c>
      <c r="CO48" s="96">
        <f t="shared" si="207"/>
        <v>4.6143814935064933</v>
      </c>
      <c r="CP48" s="96">
        <f t="shared" si="207"/>
        <v>4.4357343807977738</v>
      </c>
      <c r="CQ48" s="76"/>
      <c r="CR48" s="76"/>
      <c r="CS48" s="77"/>
      <c r="CT48" s="76"/>
      <c r="CU48" s="76"/>
      <c r="CV48" s="76"/>
      <c r="CW48" s="76">
        <f t="shared" ref="CW48:EC48" si="208">CW47/CW49</f>
        <v>1.9019316493313521</v>
      </c>
      <c r="CX48" s="76">
        <f t="shared" si="208"/>
        <v>2.4007575757575759</v>
      </c>
      <c r="CY48" s="76">
        <f t="shared" si="208"/>
        <v>3.1978879173290933</v>
      </c>
      <c r="CZ48" s="76">
        <f t="shared" si="208"/>
        <v>3.8954468802698146</v>
      </c>
      <c r="DA48" s="76">
        <f t="shared" si="208"/>
        <v>4.327921498661909</v>
      </c>
      <c r="DB48" s="76">
        <f t="shared" si="208"/>
        <v>4.5494761350407451</v>
      </c>
      <c r="DC48" s="76">
        <f t="shared" si="208"/>
        <v>4.4182467685076379</v>
      </c>
      <c r="DD48" s="76">
        <f>DD47/DD49</f>
        <v>5.2062176165803109</v>
      </c>
      <c r="DE48" s="76">
        <f>DE47/DE49</f>
        <v>5.7164895777658993</v>
      </c>
      <c r="DF48" s="76">
        <f t="shared" si="208"/>
        <v>7.9156353931928676</v>
      </c>
      <c r="DG48" s="76">
        <f t="shared" si="208"/>
        <v>8.5117532617755955</v>
      </c>
      <c r="DH48" s="76">
        <f t="shared" si="208"/>
        <v>8.0789073287869559</v>
      </c>
      <c r="DI48" s="76">
        <f t="shared" si="208"/>
        <v>7.5305702733099409</v>
      </c>
      <c r="DJ48" s="76">
        <f t="shared" si="208"/>
        <v>7.4233896791804002</v>
      </c>
      <c r="DK48" s="76">
        <f t="shared" si="208"/>
        <v>-1.6911467961670055</v>
      </c>
      <c r="DL48" s="76">
        <f t="shared" si="208"/>
        <v>0</v>
      </c>
      <c r="DM48" s="76" t="e">
        <f t="shared" si="208"/>
        <v>#DIV/0!</v>
      </c>
      <c r="DN48" s="76">
        <f t="shared" si="208"/>
        <v>17.293220338983051</v>
      </c>
      <c r="DO48" s="76">
        <f t="shared" si="208"/>
        <v>18.183246073298431</v>
      </c>
      <c r="DP48" s="76">
        <f t="shared" si="208"/>
        <v>18.643879907621248</v>
      </c>
      <c r="DQ48" s="76">
        <f t="shared" si="208"/>
        <v>31.762612534786641</v>
      </c>
      <c r="DR48" s="76">
        <f t="shared" si="208"/>
        <v>34.123423867578857</v>
      </c>
      <c r="DS48" s="76">
        <f t="shared" si="208"/>
        <v>35.706962937666979</v>
      </c>
      <c r="DT48" s="76">
        <f t="shared" si="208"/>
        <v>35.934517627760016</v>
      </c>
      <c r="DU48" s="76">
        <f t="shared" si="208"/>
        <v>36.761873477969232</v>
      </c>
      <c r="DV48" s="76">
        <f t="shared" si="208"/>
        <v>36.449026241655055</v>
      </c>
      <c r="DW48" s="76">
        <f t="shared" si="208"/>
        <v>35.371554391557019</v>
      </c>
      <c r="DX48" s="76">
        <f t="shared" si="208"/>
        <v>29.440995032541608</v>
      </c>
      <c r="DY48" s="76">
        <f t="shared" si="208"/>
        <v>26.762536748691197</v>
      </c>
      <c r="DZ48" s="76">
        <f t="shared" si="208"/>
        <v>25.513684301650351</v>
      </c>
      <c r="EA48" s="76">
        <f t="shared" si="208"/>
        <v>25.06223110723732</v>
      </c>
      <c r="EB48" s="76">
        <f t="shared" si="208"/>
        <v>25.039150655415753</v>
      </c>
      <c r="EC48" s="76">
        <f t="shared" si="208"/>
        <v>17.53942397044715</v>
      </c>
    </row>
    <row r="49" spans="2:136" s="26" customFormat="1">
      <c r="B49" s="26" t="s">
        <v>449</v>
      </c>
      <c r="C49" s="67">
        <v>1085.5999999999999</v>
      </c>
      <c r="D49" s="67">
        <v>1098.8</v>
      </c>
      <c r="E49" s="67">
        <v>1084.5999999999999</v>
      </c>
      <c r="F49" s="67"/>
      <c r="G49" s="67">
        <v>1085.5999999999999</v>
      </c>
      <c r="H49" s="67">
        <v>1098.8</v>
      </c>
      <c r="I49" s="67">
        <v>1302.7</v>
      </c>
      <c r="J49" s="67">
        <v>1347.4</v>
      </c>
      <c r="K49" s="67">
        <v>1349.9</v>
      </c>
      <c r="L49" s="67">
        <v>1347</v>
      </c>
      <c r="M49" s="67">
        <v>1348</v>
      </c>
      <c r="N49" s="67">
        <v>1340</v>
      </c>
      <c r="O49" s="67">
        <v>1332.5</v>
      </c>
      <c r="P49" s="67">
        <v>1317.7</v>
      </c>
      <c r="Q49" s="67">
        <v>1320</v>
      </c>
      <c r="R49" s="67">
        <v>1310</v>
      </c>
      <c r="S49" s="67">
        <v>1290</v>
      </c>
      <c r="T49" s="67">
        <v>1250</v>
      </c>
      <c r="U49" s="67">
        <v>1249</v>
      </c>
      <c r="V49" s="67">
        <v>1243</v>
      </c>
      <c r="W49" s="67">
        <v>1214</v>
      </c>
      <c r="X49" s="67">
        <v>1181</v>
      </c>
      <c r="Y49" s="67">
        <v>1174</v>
      </c>
      <c r="Z49" s="67">
        <v>1175</v>
      </c>
      <c r="AA49" s="67">
        <v>1172</v>
      </c>
      <c r="AB49" s="67">
        <v>1132</v>
      </c>
      <c r="AC49" s="67">
        <v>1089</v>
      </c>
      <c r="AD49" s="67">
        <v>1091</v>
      </c>
      <c r="AE49" s="67">
        <v>1091</v>
      </c>
      <c r="AF49" s="67">
        <v>1080</v>
      </c>
      <c r="AG49" s="67">
        <v>1063</v>
      </c>
      <c r="AH49" s="67">
        <v>1061</v>
      </c>
      <c r="AI49" s="67">
        <v>1037</v>
      </c>
      <c r="AJ49" s="67">
        <v>1016</v>
      </c>
      <c r="AK49" s="67">
        <v>1021</v>
      </c>
      <c r="AL49" s="67">
        <v>1012</v>
      </c>
      <c r="AM49" s="67">
        <v>988</v>
      </c>
      <c r="AN49" s="67">
        <v>964</v>
      </c>
      <c r="AO49" s="67">
        <v>962</v>
      </c>
      <c r="AP49" s="67">
        <v>946</v>
      </c>
      <c r="AQ49" s="67">
        <v>940</v>
      </c>
      <c r="AR49" s="67">
        <v>934</v>
      </c>
      <c r="AS49" s="67">
        <f>+AR49</f>
        <v>934</v>
      </c>
      <c r="AT49" s="67">
        <f>+AS49</f>
        <v>934</v>
      </c>
      <c r="AU49" s="67"/>
      <c r="AV49" s="67">
        <v>785</v>
      </c>
      <c r="AW49" s="67"/>
      <c r="AX49" s="67"/>
      <c r="AY49" s="67"/>
      <c r="AZ49" s="67"/>
      <c r="BA49" s="67"/>
      <c r="BB49" s="67"/>
      <c r="BC49" s="67"/>
      <c r="BD49" s="67">
        <v>768</v>
      </c>
      <c r="BE49" s="67"/>
      <c r="BF49" s="67"/>
      <c r="BG49" s="67"/>
      <c r="BH49" s="67"/>
      <c r="BI49" s="67"/>
      <c r="BJ49" s="67"/>
      <c r="BK49" s="67"/>
      <c r="BL49" s="67"/>
      <c r="BM49" s="67"/>
      <c r="BN49" s="67"/>
      <c r="BO49" s="67"/>
      <c r="BP49" s="67"/>
      <c r="BQ49" s="67"/>
      <c r="BR49" s="67"/>
      <c r="BS49" s="67"/>
      <c r="BT49" s="67"/>
      <c r="BU49" s="67"/>
      <c r="BV49" s="67">
        <v>640</v>
      </c>
      <c r="BW49" s="67">
        <v>626</v>
      </c>
      <c r="BX49" s="67">
        <v>610</v>
      </c>
      <c r="BY49" s="67"/>
      <c r="BZ49" s="67">
        <v>598</v>
      </c>
      <c r="CA49" s="67">
        <v>594</v>
      </c>
      <c r="CB49" s="67">
        <v>592</v>
      </c>
      <c r="CC49" s="67">
        <v>589</v>
      </c>
      <c r="CD49" s="67">
        <v>585</v>
      </c>
      <c r="CE49" s="67">
        <v>581</v>
      </c>
      <c r="CF49" s="67">
        <v>576</v>
      </c>
      <c r="CG49" s="67">
        <v>570</v>
      </c>
      <c r="CH49" s="67">
        <v>565</v>
      </c>
      <c r="CI49" s="67">
        <v>551</v>
      </c>
      <c r="CJ49" s="67">
        <v>537</v>
      </c>
      <c r="CK49" s="67">
        <v>538</v>
      </c>
      <c r="CL49" s="67">
        <v>539</v>
      </c>
      <c r="CM49" s="67">
        <f t="shared" ref="CM49:CP49" si="209">+CL49</f>
        <v>539</v>
      </c>
      <c r="CN49" s="67">
        <f t="shared" si="209"/>
        <v>539</v>
      </c>
      <c r="CO49" s="67">
        <f t="shared" si="209"/>
        <v>539</v>
      </c>
      <c r="CP49" s="67">
        <f t="shared" si="209"/>
        <v>539</v>
      </c>
      <c r="CQ49" s="67"/>
      <c r="CR49" s="67"/>
      <c r="CS49" s="67"/>
      <c r="CT49" s="67"/>
      <c r="CU49" s="67"/>
      <c r="CV49" s="67"/>
      <c r="CW49" s="67">
        <v>1346</v>
      </c>
      <c r="CX49" s="67">
        <v>1320</v>
      </c>
      <c r="CY49" s="67">
        <f>AVERAGE(S49:V49)</f>
        <v>1258</v>
      </c>
      <c r="CZ49" s="67">
        <f>AVERAGE(W49:Z49)</f>
        <v>1186</v>
      </c>
      <c r="DA49" s="67">
        <f>AVERAGE(AA49:AD49)</f>
        <v>1121</v>
      </c>
      <c r="DB49" s="67">
        <f>AVERAGE(AE49:AH49)</f>
        <v>1073.75</v>
      </c>
      <c r="DC49" s="67">
        <f t="shared" ref="DC49:DH49" si="210">DB49-10</f>
        <v>1063.75</v>
      </c>
      <c r="DD49" s="67">
        <f>AVERAGE(AM49:AP49)</f>
        <v>965</v>
      </c>
      <c r="DE49" s="67">
        <f>AVERAGE(AQ49:AT49)</f>
        <v>935.5</v>
      </c>
      <c r="DF49" s="67">
        <f t="shared" si="210"/>
        <v>925.5</v>
      </c>
      <c r="DG49" s="67">
        <f t="shared" si="210"/>
        <v>915.5</v>
      </c>
      <c r="DH49" s="67">
        <f t="shared" si="210"/>
        <v>905.5</v>
      </c>
      <c r="DI49" s="67">
        <f>DH49</f>
        <v>905.5</v>
      </c>
      <c r="DJ49" s="67">
        <f>+DI49</f>
        <v>905.5</v>
      </c>
      <c r="DK49" s="67">
        <f>+DJ49</f>
        <v>905.5</v>
      </c>
      <c r="DL49" s="67">
        <f>+DK49</f>
        <v>905.5</v>
      </c>
      <c r="DM49" s="67"/>
      <c r="DN49" s="67">
        <v>590</v>
      </c>
      <c r="DO49" s="67">
        <v>573</v>
      </c>
      <c r="DP49" s="67">
        <f>AVERAGE(CI49:CL49)</f>
        <v>541.25</v>
      </c>
      <c r="DQ49" s="67">
        <f>AVERAGE(CM49:CP49)</f>
        <v>539</v>
      </c>
      <c r="DR49" s="67">
        <f>+DQ49</f>
        <v>539</v>
      </c>
      <c r="DS49" s="67">
        <f t="shared" ref="DS49:EC49" si="211">+DR49</f>
        <v>539</v>
      </c>
      <c r="DT49" s="67">
        <f t="shared" si="211"/>
        <v>539</v>
      </c>
      <c r="DU49" s="67">
        <f t="shared" si="211"/>
        <v>539</v>
      </c>
      <c r="DV49" s="67">
        <f t="shared" si="211"/>
        <v>539</v>
      </c>
      <c r="DW49" s="67">
        <f t="shared" si="211"/>
        <v>539</v>
      </c>
      <c r="DX49" s="67">
        <f t="shared" si="211"/>
        <v>539</v>
      </c>
      <c r="DY49" s="67">
        <f t="shared" si="211"/>
        <v>539</v>
      </c>
      <c r="DZ49" s="67">
        <f t="shared" si="211"/>
        <v>539</v>
      </c>
      <c r="EA49" s="67">
        <f t="shared" si="211"/>
        <v>539</v>
      </c>
      <c r="EB49" s="67">
        <f t="shared" si="211"/>
        <v>539</v>
      </c>
      <c r="EC49" s="67">
        <f t="shared" si="211"/>
        <v>539</v>
      </c>
    </row>
    <row r="50" spans="2:136">
      <c r="CU50" s="70"/>
      <c r="CV50" s="70"/>
      <c r="CW50" s="70"/>
      <c r="CX50" s="70"/>
      <c r="CY50" s="70"/>
      <c r="CZ50" s="70"/>
      <c r="DA50" s="70"/>
      <c r="DB50" s="70"/>
      <c r="DC50" s="70"/>
      <c r="DD50" s="70"/>
      <c r="DE50" s="70"/>
      <c r="DF50" s="78"/>
      <c r="DG50" s="70"/>
      <c r="DH50" s="70"/>
      <c r="DI50" s="70"/>
      <c r="EE50" s="70" t="s">
        <v>1127</v>
      </c>
      <c r="EF50" s="62">
        <v>0.01</v>
      </c>
    </row>
    <row r="51" spans="2:136" s="19" customFormat="1">
      <c r="B51" s="38" t="s">
        <v>101</v>
      </c>
      <c r="C51" s="79"/>
      <c r="D51" s="79"/>
      <c r="E51" s="79"/>
      <c r="F51" s="79"/>
      <c r="G51" s="79"/>
      <c r="H51" s="79"/>
      <c r="I51" s="79"/>
      <c r="J51" s="79"/>
      <c r="K51" s="79">
        <f t="shared" ref="K51:AR51" si="212">K39/K37</f>
        <v>0.84193493442343725</v>
      </c>
      <c r="L51" s="79">
        <f t="shared" si="212"/>
        <v>0.8411640781931311</v>
      </c>
      <c r="M51" s="79">
        <f t="shared" si="212"/>
        <v>0.84783986957703106</v>
      </c>
      <c r="N51" s="79">
        <f t="shared" si="212"/>
        <v>0.8365720617062985</v>
      </c>
      <c r="O51" s="79">
        <f t="shared" si="212"/>
        <v>0.84143582739340128</v>
      </c>
      <c r="P51" s="79">
        <f t="shared" si="212"/>
        <v>0.83169542675849262</v>
      </c>
      <c r="Q51" s="79">
        <f t="shared" si="212"/>
        <v>0.83523774419461849</v>
      </c>
      <c r="R51" s="79">
        <f t="shared" si="212"/>
        <v>0.83636988655895494</v>
      </c>
      <c r="S51" s="79">
        <f t="shared" si="212"/>
        <v>0.82739145781856693</v>
      </c>
      <c r="T51" s="79">
        <f t="shared" si="212"/>
        <v>0.83291298865069352</v>
      </c>
      <c r="U51" s="79">
        <f t="shared" si="212"/>
        <v>0.83988585922637915</v>
      </c>
      <c r="V51" s="79">
        <f t="shared" si="212"/>
        <v>0.84377866095995113</v>
      </c>
      <c r="W51" s="79">
        <f t="shared" si="212"/>
        <v>0.82841156356854218</v>
      </c>
      <c r="X51" s="79">
        <f t="shared" si="212"/>
        <v>0.86348501664816868</v>
      </c>
      <c r="Y51" s="79">
        <f t="shared" si="212"/>
        <v>0.86572535991140642</v>
      </c>
      <c r="Z51" s="79">
        <f t="shared" si="212"/>
        <v>0.85632333767926994</v>
      </c>
      <c r="AA51" s="79">
        <f t="shared" si="212"/>
        <v>0.84838622186059132</v>
      </c>
      <c r="AB51" s="79">
        <f t="shared" si="212"/>
        <v>0.85354077253218885</v>
      </c>
      <c r="AC51" s="79">
        <f t="shared" si="212"/>
        <v>0.83799501523123787</v>
      </c>
      <c r="AD51" s="79">
        <f t="shared" si="212"/>
        <v>0.84913217623497994</v>
      </c>
      <c r="AE51" s="79">
        <f t="shared" si="212"/>
        <v>0.84998616108497094</v>
      </c>
      <c r="AF51" s="79">
        <f t="shared" si="212"/>
        <v>0.8639744952178533</v>
      </c>
      <c r="AG51" s="79">
        <f t="shared" si="212"/>
        <v>0.847741935483871</v>
      </c>
      <c r="AH51" s="79">
        <f t="shared" si="212"/>
        <v>0.8536390295921088</v>
      </c>
      <c r="AI51" s="79">
        <f t="shared" si="212"/>
        <v>0.85671100362756958</v>
      </c>
      <c r="AJ51" s="79">
        <f t="shared" si="212"/>
        <v>0.858066253703205</v>
      </c>
      <c r="AK51" s="79">
        <f t="shared" si="212"/>
        <v>0.85781741867785943</v>
      </c>
      <c r="AL51" s="79">
        <f t="shared" si="212"/>
        <v>0.85954318718823841</v>
      </c>
      <c r="AM51" s="79">
        <f t="shared" si="212"/>
        <v>0.85968819599109136</v>
      </c>
      <c r="AN51" s="79">
        <f t="shared" si="212"/>
        <v>0.85567823343848581</v>
      </c>
      <c r="AO51" s="79">
        <f t="shared" si="212"/>
        <v>0.84696016771488469</v>
      </c>
      <c r="AP51" s="79">
        <f t="shared" si="212"/>
        <v>0.85212184326998175</v>
      </c>
      <c r="AQ51" s="93">
        <f t="shared" si="212"/>
        <v>0.85429033998920667</v>
      </c>
      <c r="AR51" s="93">
        <f t="shared" si="212"/>
        <v>0.85627683758524875</v>
      </c>
      <c r="AS51" s="79">
        <v>0.85</v>
      </c>
      <c r="AT51" s="79">
        <v>0.85</v>
      </c>
      <c r="AU51" s="79"/>
      <c r="AV51" s="93">
        <f>AV39/AV37</f>
        <v>0.84766584766584763</v>
      </c>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f t="shared" ref="BV51" si="213">BV39/BV37</f>
        <v>0.86853932584269666</v>
      </c>
      <c r="BW51" s="79">
        <f t="shared" ref="BW51" si="214">BW39/BW37</f>
        <v>0.85981644772359189</v>
      </c>
      <c r="BX51" s="79">
        <f t="shared" ref="BX51" si="215">BX39/BX37</f>
        <v>0.87463805143927775</v>
      </c>
      <c r="BY51" s="79"/>
      <c r="BZ51" s="79">
        <f t="shared" ref="BZ51:CA51" si="216">BZ39/BZ37</f>
        <v>0.87251896078747782</v>
      </c>
      <c r="CA51" s="79">
        <f t="shared" si="216"/>
        <v>0.87485797760103878</v>
      </c>
      <c r="CB51" s="79">
        <f t="shared" ref="CB51:CC51" si="217">CB39/CB37</f>
        <v>0.87786013535288432</v>
      </c>
      <c r="CC51" s="79">
        <f t="shared" si="217"/>
        <v>0.86392651408998911</v>
      </c>
      <c r="CD51" s="79">
        <f t="shared" ref="CD51:CH51" si="218">CD39/CD37</f>
        <v>0.8554416641543563</v>
      </c>
      <c r="CE51" s="79">
        <f t="shared" si="218"/>
        <v>0.85307574987290291</v>
      </c>
      <c r="CF51" s="79">
        <f t="shared" si="218"/>
        <v>0.841556849524977</v>
      </c>
      <c r="CG51" s="79">
        <f t="shared" si="218"/>
        <v>0.8513271696987772</v>
      </c>
      <c r="CH51" s="79">
        <f t="shared" si="218"/>
        <v>0.83990651475314049</v>
      </c>
      <c r="CI51" s="79">
        <f>CI39/CI37</f>
        <v>0.8475472907983328</v>
      </c>
      <c r="CJ51" s="79">
        <f t="shared" ref="CJ51:CP51" si="219">CJ39/CJ37</f>
        <v>0.85956930542917809</v>
      </c>
      <c r="CK51" s="79">
        <f t="shared" si="219"/>
        <v>0.84921828021647627</v>
      </c>
      <c r="CL51" s="79">
        <f t="shared" si="219"/>
        <v>0.84339815762538384</v>
      </c>
      <c r="CM51" s="79">
        <f t="shared" si="219"/>
        <v>0.85000000000000009</v>
      </c>
      <c r="CN51" s="79">
        <f t="shared" si="219"/>
        <v>0.85</v>
      </c>
      <c r="CO51" s="79">
        <f t="shared" si="219"/>
        <v>0.85</v>
      </c>
      <c r="CP51" s="79">
        <f t="shared" si="219"/>
        <v>0.85</v>
      </c>
      <c r="CQ51" s="79"/>
      <c r="CR51" s="79"/>
      <c r="CS51" s="80"/>
      <c r="CT51" s="79"/>
      <c r="CU51" s="79"/>
      <c r="CV51" s="79"/>
      <c r="CW51" s="79"/>
      <c r="CX51" s="79">
        <f>CX39/CX37</f>
        <v>0.83599090608713233</v>
      </c>
      <c r="CY51" s="79">
        <f>CY39/CY37</f>
        <v>0.83627860016090094</v>
      </c>
      <c r="CZ51" s="79">
        <f>CZ39/CZ37</f>
        <v>0.85421923184749093</v>
      </c>
      <c r="DA51" s="79">
        <f>DA39/DA37</f>
        <v>0.84733599620878752</v>
      </c>
      <c r="DB51" s="79">
        <f>DB39/DB37</f>
        <v>0.85382923415316936</v>
      </c>
      <c r="DC51" s="79">
        <v>0.85499999999999998</v>
      </c>
      <c r="DD51" s="79">
        <v>0.85</v>
      </c>
      <c r="DE51" s="79">
        <v>0.85</v>
      </c>
      <c r="DF51" s="79">
        <v>0.85</v>
      </c>
      <c r="DG51" s="79">
        <v>0.85</v>
      </c>
      <c r="DH51" s="79">
        <v>0.85</v>
      </c>
      <c r="DI51" s="79">
        <v>0.85</v>
      </c>
      <c r="DJ51" s="79">
        <v>0.85</v>
      </c>
      <c r="DK51" s="79">
        <v>0.85</v>
      </c>
      <c r="DL51" s="79">
        <v>0.85</v>
      </c>
      <c r="DM51" s="79"/>
      <c r="DN51" s="79">
        <f t="shared" ref="DN51:DQ51" si="220">DN39/DN37</f>
        <v>0.86776274386406549</v>
      </c>
      <c r="DO51" s="79">
        <f t="shared" si="220"/>
        <v>0.84626044112552445</v>
      </c>
      <c r="DP51" s="79">
        <f t="shared" si="220"/>
        <v>0.84978328644209566</v>
      </c>
      <c r="DQ51" s="79">
        <f t="shared" si="220"/>
        <v>0.85</v>
      </c>
      <c r="DR51" s="80"/>
      <c r="DS51" s="80"/>
      <c r="DT51" s="80"/>
      <c r="DU51" s="80"/>
      <c r="DV51" s="80"/>
      <c r="DY51" s="80"/>
      <c r="EE51" s="71" t="s">
        <v>798</v>
      </c>
      <c r="EF51" s="62">
        <v>-0.02</v>
      </c>
    </row>
    <row r="52" spans="2:136" s="30" customFormat="1">
      <c r="B52" s="30" t="s">
        <v>283</v>
      </c>
      <c r="C52" s="81"/>
      <c r="D52" s="82"/>
      <c r="E52" s="82"/>
      <c r="F52" s="82"/>
      <c r="G52" s="82"/>
      <c r="H52" s="82"/>
      <c r="I52" s="82"/>
      <c r="J52" s="82"/>
      <c r="K52" s="79">
        <f t="shared" ref="K52:AT52" si="221">K40/K37</f>
        <v>0.19394765230227676</v>
      </c>
      <c r="L52" s="79">
        <f t="shared" si="221"/>
        <v>0.18842780853461372</v>
      </c>
      <c r="M52" s="79">
        <f t="shared" si="221"/>
        <v>0.18114301240829636</v>
      </c>
      <c r="N52" s="79">
        <f t="shared" si="221"/>
        <v>0.21085826301883578</v>
      </c>
      <c r="O52" s="79">
        <f t="shared" si="221"/>
        <v>0.18477101028639722</v>
      </c>
      <c r="P52" s="79">
        <f t="shared" si="221"/>
        <v>0.17813201269055173</v>
      </c>
      <c r="Q52" s="79">
        <f t="shared" si="221"/>
        <v>0.18245484703280501</v>
      </c>
      <c r="R52" s="79">
        <f t="shared" si="221"/>
        <v>0.20900653145410794</v>
      </c>
      <c r="S52" s="79">
        <f t="shared" si="221"/>
        <v>0.18390398870455349</v>
      </c>
      <c r="T52" s="79">
        <f t="shared" si="221"/>
        <v>0.17780580075662042</v>
      </c>
      <c r="U52" s="79">
        <f t="shared" si="221"/>
        <v>0.17723525681674066</v>
      </c>
      <c r="V52" s="79">
        <f t="shared" si="221"/>
        <v>0.20116172424335066</v>
      </c>
      <c r="W52" s="79">
        <f t="shared" si="221"/>
        <v>0.19396953683556109</v>
      </c>
      <c r="X52" s="79">
        <f t="shared" si="221"/>
        <v>0.20227524972253053</v>
      </c>
      <c r="Y52" s="79">
        <f t="shared" si="221"/>
        <v>0.23117386489479513</v>
      </c>
      <c r="Z52" s="79">
        <f t="shared" si="221"/>
        <v>0.26153846153846155</v>
      </c>
      <c r="AA52" s="79">
        <f t="shared" si="221"/>
        <v>0.21779224301600217</v>
      </c>
      <c r="AB52" s="79">
        <f t="shared" si="221"/>
        <v>0.20842274678111589</v>
      </c>
      <c r="AC52" s="79">
        <f t="shared" si="221"/>
        <v>0.19357518692882858</v>
      </c>
      <c r="AD52" s="79">
        <f t="shared" si="221"/>
        <v>0.20961281708945259</v>
      </c>
      <c r="AE52" s="79">
        <f t="shared" si="221"/>
        <v>0.18295045668419596</v>
      </c>
      <c r="AF52" s="79">
        <f t="shared" si="221"/>
        <v>0.20696068012752392</v>
      </c>
      <c r="AG52" s="79">
        <f t="shared" si="221"/>
        <v>0.18064516129032257</v>
      </c>
      <c r="AH52" s="79">
        <f t="shared" si="221"/>
        <v>0.20527859237536658</v>
      </c>
      <c r="AI52" s="79">
        <f t="shared" si="221"/>
        <v>0.18288996372430472</v>
      </c>
      <c r="AJ52" s="79">
        <f t="shared" si="221"/>
        <v>0.17694586587664962</v>
      </c>
      <c r="AK52" s="79">
        <f t="shared" si="221"/>
        <v>0.16080797481636935</v>
      </c>
      <c r="AL52" s="79">
        <f t="shared" si="221"/>
        <v>0.22683118928852716</v>
      </c>
      <c r="AM52" s="79">
        <f t="shared" si="221"/>
        <v>0.1717706013363029</v>
      </c>
      <c r="AN52" s="79">
        <f t="shared" si="221"/>
        <v>0.16876971608832808</v>
      </c>
      <c r="AO52" s="79">
        <f t="shared" si="221"/>
        <v>0.18055555555555555</v>
      </c>
      <c r="AP52" s="79">
        <f t="shared" si="221"/>
        <v>0.21478781567300181</v>
      </c>
      <c r="AQ52" s="93">
        <f t="shared" si="221"/>
        <v>0.18969239071775498</v>
      </c>
      <c r="AR52" s="93">
        <f t="shared" si="221"/>
        <v>0.20409194240969941</v>
      </c>
      <c r="AS52" s="79">
        <f t="shared" si="221"/>
        <v>0</v>
      </c>
      <c r="AT52" s="79">
        <f t="shared" si="221"/>
        <v>0.21569755281321898</v>
      </c>
      <c r="AU52" s="79"/>
      <c r="AV52" s="93">
        <f>AV40/AV37</f>
        <v>0.18449854813491176</v>
      </c>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f t="shared" ref="BV52" si="222">BV40/BV37</f>
        <v>0.18651685393258427</v>
      </c>
      <c r="BW52" s="79">
        <f t="shared" ref="BW52" si="223">BW40/BW37</f>
        <v>0.15457980924959511</v>
      </c>
      <c r="BX52" s="79">
        <f t="shared" ref="BX52" si="224">BX40/BX37</f>
        <v>0.1543178334184977</v>
      </c>
      <c r="BY52" s="79"/>
      <c r="BZ52" s="79">
        <f t="shared" ref="BZ52:CA52" si="225">BZ40/BZ37</f>
        <v>0.20735839922543167</v>
      </c>
      <c r="CA52" s="79">
        <f t="shared" si="225"/>
        <v>0.1504625872423308</v>
      </c>
      <c r="CB52" s="79">
        <f t="shared" ref="CB52:CC52" si="226">CB40/CB37</f>
        <v>0.15082178536899774</v>
      </c>
      <c r="CC52" s="79">
        <f t="shared" si="226"/>
        <v>0.16145103534174063</v>
      </c>
      <c r="CD52" s="79">
        <f t="shared" ref="CD52:CH52" si="227">CD40/CD37</f>
        <v>0.17862526379258367</v>
      </c>
      <c r="CE52" s="79">
        <f t="shared" si="227"/>
        <v>0.15997288595153364</v>
      </c>
      <c r="CF52" s="79">
        <f t="shared" si="227"/>
        <v>0.15874961691694758</v>
      </c>
      <c r="CG52" s="79">
        <f t="shared" si="227"/>
        <v>0.14867283030122277</v>
      </c>
      <c r="CH52" s="79">
        <f t="shared" si="227"/>
        <v>0.19266725094945955</v>
      </c>
      <c r="CI52" s="79">
        <f>CI40/CI37</f>
        <v>0.14972747675537032</v>
      </c>
      <c r="CJ52" s="79">
        <f t="shared" ref="CJ52:CP52" si="228">CJ40/CJ37</f>
        <v>0.15468607825295724</v>
      </c>
      <c r="CK52" s="79">
        <f t="shared" si="228"/>
        <v>0.16476247745039085</v>
      </c>
      <c r="CL52" s="79">
        <f t="shared" si="228"/>
        <v>0.18877028805380905</v>
      </c>
      <c r="CM52" s="79">
        <f t="shared" si="228"/>
        <v>0.1433451917970944</v>
      </c>
      <c r="CN52" s="79">
        <f t="shared" si="228"/>
        <v>0.14562457057705522</v>
      </c>
      <c r="CO52" s="79">
        <f t="shared" si="228"/>
        <v>0.15726021426883552</v>
      </c>
      <c r="CP52" s="79">
        <f t="shared" si="228"/>
        <v>0.17740465771823521</v>
      </c>
      <c r="CQ52" s="79"/>
      <c r="CR52" s="79"/>
      <c r="CS52" s="82"/>
      <c r="CT52" s="79"/>
      <c r="CU52" s="79"/>
      <c r="CV52" s="79"/>
      <c r="CW52" s="79"/>
      <c r="CX52" s="79">
        <f>CX40/CX37</f>
        <v>0.18921639975303198</v>
      </c>
      <c r="CY52" s="79">
        <f>CY40/CY37</f>
        <v>0.18519710378117457</v>
      </c>
      <c r="CZ52" s="79">
        <f>CZ40/CZ37</f>
        <v>0.22364732268012336</v>
      </c>
      <c r="DA52" s="79">
        <f>DA40/DA37</f>
        <v>0.20743348453049895</v>
      </c>
      <c r="DB52" s="79">
        <f>DB40/DB37</f>
        <v>0.1939612077584483</v>
      </c>
      <c r="DC52" s="79">
        <v>0.19</v>
      </c>
      <c r="DD52" s="79">
        <f>DC52-1%</f>
        <v>0.18</v>
      </c>
      <c r="DE52" s="79">
        <f t="shared" ref="DE52:DL52" si="229">DD52-0.5%</f>
        <v>0.17499999999999999</v>
      </c>
      <c r="DF52" s="79">
        <f t="shared" si="229"/>
        <v>0.16999999999999998</v>
      </c>
      <c r="DG52" s="79">
        <f t="shared" si="229"/>
        <v>0.16499999999999998</v>
      </c>
      <c r="DH52" s="79">
        <f t="shared" si="229"/>
        <v>0.15999999999999998</v>
      </c>
      <c r="DI52" s="79">
        <f t="shared" si="229"/>
        <v>0.15499999999999997</v>
      </c>
      <c r="DJ52" s="79">
        <f t="shared" si="229"/>
        <v>0.14999999999999997</v>
      </c>
      <c r="DK52" s="79">
        <f t="shared" si="229"/>
        <v>0.14499999999999996</v>
      </c>
      <c r="DL52" s="79">
        <f t="shared" si="229"/>
        <v>0.13999999999999996</v>
      </c>
      <c r="DM52" s="79"/>
      <c r="DN52" s="82"/>
      <c r="DO52" s="82"/>
      <c r="DP52" s="82"/>
      <c r="DQ52" s="82"/>
      <c r="DR52" s="82"/>
      <c r="DS52" s="82"/>
      <c r="DT52" s="82"/>
      <c r="DU52" s="82"/>
      <c r="DV52" s="82"/>
      <c r="DY52" s="82"/>
      <c r="EE52" s="71" t="s">
        <v>799</v>
      </c>
      <c r="EF52" s="62">
        <v>0.08</v>
      </c>
    </row>
    <row r="53" spans="2:136" s="30" customFormat="1">
      <c r="B53" s="30" t="s">
        <v>284</v>
      </c>
      <c r="C53" s="82"/>
      <c r="D53" s="82"/>
      <c r="E53" s="82"/>
      <c r="F53" s="82"/>
      <c r="G53" s="82"/>
      <c r="H53" s="82"/>
      <c r="I53" s="82"/>
      <c r="J53" s="82"/>
      <c r="K53" s="79">
        <f t="shared" ref="K53:AT53" si="230">K41/K37</f>
        <v>0.21330835178561289</v>
      </c>
      <c r="L53" s="79">
        <f t="shared" si="230"/>
        <v>0.21434520601636373</v>
      </c>
      <c r="M53" s="79">
        <f t="shared" si="230"/>
        <v>0.21211846753011507</v>
      </c>
      <c r="N53" s="79">
        <f t="shared" si="230"/>
        <v>0.26071763402369386</v>
      </c>
      <c r="O53" s="79">
        <f t="shared" si="230"/>
        <v>0.2189594092790986</v>
      </c>
      <c r="P53" s="79">
        <f t="shared" si="230"/>
        <v>0.22699837499032735</v>
      </c>
      <c r="Q53" s="79">
        <f t="shared" si="230"/>
        <v>0.23405823811279028</v>
      </c>
      <c r="R53" s="79">
        <f t="shared" si="230"/>
        <v>0.27947748367136471</v>
      </c>
      <c r="S53" s="79">
        <f t="shared" si="230"/>
        <v>0.20367102012001412</v>
      </c>
      <c r="T53" s="79">
        <f t="shared" si="230"/>
        <v>0.20365699873896595</v>
      </c>
      <c r="U53" s="79">
        <f t="shared" si="230"/>
        <v>0.20798985415345592</v>
      </c>
      <c r="V53" s="79">
        <f t="shared" si="230"/>
        <v>0.27911953531030265</v>
      </c>
      <c r="W53" s="79">
        <f t="shared" si="230"/>
        <v>0.20267329810382345</v>
      </c>
      <c r="X53" s="79">
        <f t="shared" si="230"/>
        <v>0.22169811320754718</v>
      </c>
      <c r="Y53" s="79">
        <f t="shared" si="230"/>
        <v>0.21650055370985605</v>
      </c>
      <c r="Z53" s="79">
        <f t="shared" si="230"/>
        <v>0.26101694915254237</v>
      </c>
      <c r="AA53" s="79">
        <f t="shared" si="230"/>
        <v>0.2028749660970979</v>
      </c>
      <c r="AB53" s="79">
        <f t="shared" si="230"/>
        <v>0.22532188841201717</v>
      </c>
      <c r="AC53" s="79">
        <f t="shared" si="230"/>
        <v>0.22265300470783717</v>
      </c>
      <c r="AD53" s="79">
        <f t="shared" si="230"/>
        <v>0.2643524699599466</v>
      </c>
      <c r="AE53" s="79">
        <f t="shared" si="230"/>
        <v>0.23858289510102407</v>
      </c>
      <c r="AF53" s="79">
        <f t="shared" si="230"/>
        <v>0.23751328374070138</v>
      </c>
      <c r="AG53" s="79">
        <f t="shared" si="230"/>
        <v>0.22967741935483871</v>
      </c>
      <c r="AH53" s="79">
        <f t="shared" si="230"/>
        <v>0.28312450013329776</v>
      </c>
      <c r="AI53" s="79">
        <f t="shared" si="230"/>
        <v>0.23397823458282951</v>
      </c>
      <c r="AJ53" s="79">
        <f t="shared" si="230"/>
        <v>0.23996768112038783</v>
      </c>
      <c r="AK53" s="79">
        <f t="shared" si="230"/>
        <v>0.2395068205666317</v>
      </c>
      <c r="AL53" s="79">
        <f t="shared" si="230"/>
        <v>0.30427933840903126</v>
      </c>
      <c r="AM53" s="79">
        <f t="shared" si="230"/>
        <v>0.2430400890868597</v>
      </c>
      <c r="AN53" s="79">
        <f t="shared" si="230"/>
        <v>0.25446898002103052</v>
      </c>
      <c r="AO53" s="79">
        <f t="shared" si="230"/>
        <v>0.24685534591194969</v>
      </c>
      <c r="AP53" s="79">
        <f t="shared" si="230"/>
        <v>0.29731840666493103</v>
      </c>
      <c r="AQ53" s="93">
        <f t="shared" si="230"/>
        <v>0.27280086346465193</v>
      </c>
      <c r="AR53" s="93">
        <f t="shared" si="230"/>
        <v>0.28062642081333672</v>
      </c>
      <c r="AS53" s="79">
        <f t="shared" si="230"/>
        <v>0.24396560654718741</v>
      </c>
      <c r="AT53" s="79">
        <f t="shared" si="230"/>
        <v>0.2985777034093286</v>
      </c>
      <c r="AU53" s="79"/>
      <c r="AV53" s="93">
        <f>AV41/AV37</f>
        <v>0.27429081974536518</v>
      </c>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f t="shared" ref="BV53" si="231">BV41/BV37</f>
        <v>0.24590690208667737</v>
      </c>
      <c r="BW53" s="79">
        <f t="shared" ref="BW53" si="232">BW41/BW37</f>
        <v>0.20676624077739789</v>
      </c>
      <c r="BX53" s="79">
        <f t="shared" ref="BX53" si="233">BX41/BX37</f>
        <v>0.21393289047862374</v>
      </c>
      <c r="BY53" s="79"/>
      <c r="BZ53" s="79">
        <f t="shared" ref="BZ53:CA53" si="234">BZ41/BZ37</f>
        <v>0.24221397450379215</v>
      </c>
      <c r="CA53" s="79">
        <f t="shared" si="234"/>
        <v>0.20889465995779904</v>
      </c>
      <c r="CB53" s="79">
        <f t="shared" ref="CB53:CC53" si="235">CB41/CB37</f>
        <v>0.20383499838865615</v>
      </c>
      <c r="CC53" s="79">
        <f t="shared" si="235"/>
        <v>0.2069126576366184</v>
      </c>
      <c r="CD53" s="79">
        <f t="shared" ref="CD53:CH53" si="236">CD41/CD37</f>
        <v>0.26560144709074462</v>
      </c>
      <c r="CE53" s="79">
        <f t="shared" si="236"/>
        <v>0.20776139637349603</v>
      </c>
      <c r="CF53" s="79">
        <f t="shared" si="236"/>
        <v>0.20609868219429972</v>
      </c>
      <c r="CG53" s="79">
        <f t="shared" si="236"/>
        <v>0.18789144050104384</v>
      </c>
      <c r="CH53" s="79">
        <f t="shared" si="236"/>
        <v>0.20946538124452235</v>
      </c>
      <c r="CI53" s="79">
        <f>CI41/CI37</f>
        <v>0.19445335043283105</v>
      </c>
      <c r="CJ53" s="79">
        <f t="shared" ref="CJ53:CP53" si="237">CJ41/CJ37</f>
        <v>0.19912041249620868</v>
      </c>
      <c r="CK53" s="79">
        <f t="shared" si="237"/>
        <v>0.19182200841852073</v>
      </c>
      <c r="CL53" s="79">
        <f t="shared" si="237"/>
        <v>0.21465126480479602</v>
      </c>
      <c r="CM53" s="79">
        <f t="shared" si="237"/>
        <v>0.18616457992492025</v>
      </c>
      <c r="CN53" s="79">
        <f t="shared" si="237"/>
        <v>0.18745594232124851</v>
      </c>
      <c r="CO53" s="79">
        <f t="shared" si="237"/>
        <v>0.18308762172174645</v>
      </c>
      <c r="CP53" s="79">
        <f t="shared" si="237"/>
        <v>0.20172737221562301</v>
      </c>
      <c r="CQ53" s="79"/>
      <c r="CR53" s="79"/>
      <c r="CS53" s="82"/>
      <c r="CT53" s="79"/>
      <c r="CU53" s="79"/>
      <c r="CV53" s="79"/>
      <c r="CW53" s="79"/>
      <c r="CX53" s="79">
        <f>CX41/CX37</f>
        <v>0.2414800489158942</v>
      </c>
      <c r="CY53" s="79">
        <f>CY41/CY37</f>
        <v>0.2246178600160901</v>
      </c>
      <c r="CZ53" s="79">
        <f>CZ41/CZ37</f>
        <v>0.2266610597140454</v>
      </c>
      <c r="DA53" s="79">
        <f>DA41/DA37</f>
        <v>0.2289621555751134</v>
      </c>
      <c r="DB53" s="79">
        <f>DB41/DB37</f>
        <v>0.2471505698860228</v>
      </c>
      <c r="DC53" s="79">
        <v>0.24</v>
      </c>
      <c r="DD53" s="79">
        <v>0.19500000000000001</v>
      </c>
      <c r="DE53" s="79">
        <v>0.2</v>
      </c>
      <c r="DF53" s="79">
        <v>0.20499999999999999</v>
      </c>
      <c r="DG53" s="79">
        <v>0.21</v>
      </c>
      <c r="DH53" s="79">
        <v>0.22</v>
      </c>
      <c r="DI53" s="79">
        <v>0.23</v>
      </c>
      <c r="DJ53" s="79">
        <v>0.23</v>
      </c>
      <c r="DK53" s="79">
        <v>0.23</v>
      </c>
      <c r="DL53" s="79">
        <v>0.23</v>
      </c>
      <c r="DM53" s="79"/>
      <c r="DN53" s="82"/>
      <c r="DO53" s="82"/>
      <c r="DP53" s="82"/>
      <c r="DQ53" s="82"/>
      <c r="DR53" s="82"/>
      <c r="DS53" s="82"/>
      <c r="DT53" s="82"/>
      <c r="DU53" s="82"/>
      <c r="DV53" s="82"/>
      <c r="DY53" s="82"/>
      <c r="EE53" s="71" t="s">
        <v>800</v>
      </c>
      <c r="EF53" s="67">
        <f>NPV($EF$52,DR47:GK47)+Main!J5-Main!J6+DQ47</f>
        <v>152790.21035466765</v>
      </c>
    </row>
    <row r="54" spans="2:136" s="30" customFormat="1">
      <c r="B54" s="30" t="s">
        <v>979</v>
      </c>
      <c r="C54" s="82"/>
      <c r="D54" s="82"/>
      <c r="E54" s="82"/>
      <c r="F54" s="82"/>
      <c r="G54" s="82"/>
      <c r="H54" s="82"/>
      <c r="I54" s="82"/>
      <c r="J54" s="82"/>
      <c r="K54" s="79">
        <f t="shared" ref="K54:AT54" si="238">K43/K37</f>
        <v>0.43467893033554772</v>
      </c>
      <c r="L54" s="79">
        <f t="shared" si="238"/>
        <v>0.43839106364215369</v>
      </c>
      <c r="M54" s="79">
        <f t="shared" si="238"/>
        <v>0.45457838963861963</v>
      </c>
      <c r="N54" s="79">
        <f t="shared" si="238"/>
        <v>0.36499616466376889</v>
      </c>
      <c r="O54" s="79">
        <f t="shared" si="238"/>
        <v>0.43770540782790546</v>
      </c>
      <c r="P54" s="79">
        <f t="shared" si="238"/>
        <v>0.42656503907761356</v>
      </c>
      <c r="Q54" s="79">
        <f t="shared" si="238"/>
        <v>0.41872465904902323</v>
      </c>
      <c r="R54" s="79">
        <f t="shared" si="238"/>
        <v>0.34788587143348232</v>
      </c>
      <c r="S54" s="79">
        <f t="shared" si="238"/>
        <v>0.4398164489939993</v>
      </c>
      <c r="T54" s="79">
        <f t="shared" si="238"/>
        <v>0.45145018915510721</v>
      </c>
      <c r="U54" s="79">
        <f t="shared" si="238"/>
        <v>0.45466074825618263</v>
      </c>
      <c r="V54" s="79">
        <f t="shared" si="238"/>
        <v>0.36349740140629777</v>
      </c>
      <c r="W54" s="79">
        <f t="shared" si="238"/>
        <v>0.43176872862915761</v>
      </c>
      <c r="X54" s="79">
        <f t="shared" si="238"/>
        <v>0.43951165371809103</v>
      </c>
      <c r="Y54" s="79">
        <f t="shared" si="238"/>
        <v>0.41805094130675524</v>
      </c>
      <c r="Z54" s="79">
        <f t="shared" si="238"/>
        <v>0.33376792698826596</v>
      </c>
      <c r="AA54" s="79">
        <f t="shared" si="238"/>
        <v>0.42771901274749119</v>
      </c>
      <c r="AB54" s="79">
        <f t="shared" si="238"/>
        <v>0.4197961373390558</v>
      </c>
      <c r="AC54" s="79">
        <f t="shared" si="238"/>
        <v>0.42176682359457213</v>
      </c>
      <c r="AD54" s="79">
        <f t="shared" si="238"/>
        <v>0.37516688918558078</v>
      </c>
      <c r="AE54" s="79">
        <f t="shared" si="238"/>
        <v>0.42845280929975088</v>
      </c>
      <c r="AF54" s="79">
        <f t="shared" si="238"/>
        <v>0.41950053134962806</v>
      </c>
      <c r="AG54" s="79">
        <f t="shared" si="238"/>
        <v>0.4374193548387097</v>
      </c>
      <c r="AH54" s="79">
        <f t="shared" si="238"/>
        <v>0.36523593708344443</v>
      </c>
      <c r="AI54" s="79">
        <f t="shared" si="238"/>
        <v>0.43984280532043529</v>
      </c>
      <c r="AJ54" s="79">
        <f t="shared" si="238"/>
        <v>0.44115270670616752</v>
      </c>
      <c r="AK54" s="79">
        <f t="shared" si="238"/>
        <v>0.45750262329485836</v>
      </c>
      <c r="AL54" s="79">
        <f t="shared" si="238"/>
        <v>0.32843265949067996</v>
      </c>
      <c r="AM54" s="79">
        <f t="shared" si="238"/>
        <v>0.44487750556792871</v>
      </c>
      <c r="AN54" s="79">
        <f t="shared" si="238"/>
        <v>0.43243953732912721</v>
      </c>
      <c r="AO54" s="79">
        <f t="shared" si="238"/>
        <v>0.41954926624737948</v>
      </c>
      <c r="AP54" s="79">
        <f t="shared" si="238"/>
        <v>0.34001562093204896</v>
      </c>
      <c r="AQ54" s="93">
        <f t="shared" si="238"/>
        <v>0.39179708580679978</v>
      </c>
      <c r="AR54" s="93">
        <f t="shared" si="238"/>
        <v>0.37155847436221268</v>
      </c>
      <c r="AS54" s="79">
        <f t="shared" si="238"/>
        <v>0.60603439345281263</v>
      </c>
      <c r="AT54" s="79">
        <f t="shared" si="238"/>
        <v>0.33572474377745237</v>
      </c>
      <c r="AU54" s="79"/>
      <c r="AV54" s="93">
        <f>AV43/AV37</f>
        <v>0.38887647978557072</v>
      </c>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f t="shared" ref="BV54" si="239">BV43/BV37</f>
        <v>0.43611556982343497</v>
      </c>
      <c r="BW54" s="79">
        <f t="shared" ref="BW54" si="240">BW43/BW37</f>
        <v>0.4984703976965989</v>
      </c>
      <c r="BX54" s="79">
        <f t="shared" ref="BX54" si="241">BX43/BX37</f>
        <v>0.50638732754215632</v>
      </c>
      <c r="BY54" s="79"/>
      <c r="BZ54" s="79">
        <f t="shared" ref="BZ54:CA54" si="242">BZ43/BZ37</f>
        <v>0.422946587058254</v>
      </c>
      <c r="CA54" s="79">
        <f t="shared" si="242"/>
        <v>0.51550073040090894</v>
      </c>
      <c r="CB54" s="79">
        <f t="shared" ref="CB54:CC54" si="243">CB43/CB37</f>
        <v>0.52320335159523046</v>
      </c>
      <c r="CC54" s="79">
        <f t="shared" si="243"/>
        <v>0.49556282111163008</v>
      </c>
      <c r="CD54" s="79">
        <f t="shared" ref="CD54:CH54" si="244">CD43/CD37</f>
        <v>0.41121495327102803</v>
      </c>
      <c r="CE54" s="79">
        <f t="shared" si="244"/>
        <v>0.48534146754787322</v>
      </c>
      <c r="CF54" s="79">
        <f t="shared" si="244"/>
        <v>0.47670855041372967</v>
      </c>
      <c r="CG54" s="79">
        <f t="shared" si="244"/>
        <v>0.51476289889651061</v>
      </c>
      <c r="CH54" s="79">
        <f t="shared" si="244"/>
        <v>0.43777388255915861</v>
      </c>
      <c r="CI54" s="79">
        <f>CI43/CI37</f>
        <v>0.50336646361013149</v>
      </c>
      <c r="CJ54" s="79">
        <f t="shared" ref="CJ54:CP54" si="245">CJ43/CJ37</f>
        <v>0.50576281468001216</v>
      </c>
      <c r="CK54" s="79">
        <f t="shared" si="245"/>
        <v>0.49263379434756466</v>
      </c>
      <c r="CL54" s="79">
        <f t="shared" si="245"/>
        <v>0.43997660476677874</v>
      </c>
      <c r="CM54" s="79">
        <f t="shared" si="245"/>
        <v>0.52049022827798541</v>
      </c>
      <c r="CN54" s="79">
        <f t="shared" si="245"/>
        <v>0.51691948710169622</v>
      </c>
      <c r="CO54" s="79">
        <f t="shared" si="245"/>
        <v>0.50965216400941804</v>
      </c>
      <c r="CP54" s="79">
        <f t="shared" si="245"/>
        <v>0.47086797006614178</v>
      </c>
      <c r="CQ54" s="79"/>
      <c r="CR54" s="79"/>
      <c r="CS54" s="82"/>
      <c r="CT54" s="79"/>
      <c r="CU54" s="79"/>
      <c r="CV54" s="79"/>
      <c r="CW54" s="79"/>
      <c r="CX54" s="79">
        <f t="shared" ref="CX54:DM54" si="246">CX43/CX37</f>
        <v>0.40529445741820608</v>
      </c>
      <c r="CY54" s="79">
        <f t="shared" si="246"/>
        <v>0.42646363636363632</v>
      </c>
      <c r="CZ54" s="79">
        <f t="shared" si="246"/>
        <v>0.40391084945332212</v>
      </c>
      <c r="DA54" s="79">
        <f t="shared" si="246"/>
        <v>0.41094035610317514</v>
      </c>
      <c r="DB54" s="79">
        <f t="shared" si="246"/>
        <v>0.41271745650869823</v>
      </c>
      <c r="DC54" s="79">
        <f t="shared" si="246"/>
        <v>0.4157901925966398</v>
      </c>
      <c r="DD54" s="79">
        <f t="shared" si="246"/>
        <v>0.40855643393343521</v>
      </c>
      <c r="DE54" s="79">
        <f t="shared" si="246"/>
        <v>0.42826199071686427</v>
      </c>
      <c r="DF54" s="79">
        <f t="shared" si="246"/>
        <v>0.64500000000000002</v>
      </c>
      <c r="DG54" s="79">
        <f t="shared" si="246"/>
        <v>0.6399999999999999</v>
      </c>
      <c r="DH54" s="79">
        <f t="shared" si="246"/>
        <v>0.62999999999999989</v>
      </c>
      <c r="DI54" s="79">
        <f t="shared" si="246"/>
        <v>0.62000000000000011</v>
      </c>
      <c r="DJ54" s="79">
        <f t="shared" si="246"/>
        <v>0.61605303606688322</v>
      </c>
      <c r="DK54" s="79">
        <f t="shared" si="246"/>
        <v>-3.3636803035817429</v>
      </c>
      <c r="DL54" s="79" t="e">
        <f t="shared" si="246"/>
        <v>#DIV/0!</v>
      </c>
      <c r="DM54" s="79">
        <f t="shared" si="246"/>
        <v>0</v>
      </c>
      <c r="DN54" s="79">
        <f t="shared" ref="DN54:DO54" si="247">DN43/DN37</f>
        <v>0.48513215859030839</v>
      </c>
      <c r="DO54" s="79">
        <f t="shared" si="247"/>
        <v>0.47823241849185882</v>
      </c>
      <c r="DP54" s="82"/>
      <c r="DQ54" s="82"/>
      <c r="DR54" s="82"/>
      <c r="DS54" s="82"/>
      <c r="DT54" s="82"/>
      <c r="DU54" s="82"/>
      <c r="DV54" s="82"/>
      <c r="DY54" s="82"/>
      <c r="EE54" s="82"/>
      <c r="EF54" s="63">
        <f>EF53/Main!J3</f>
        <v>283.46977802350216</v>
      </c>
    </row>
    <row r="55" spans="2:136" s="30" customFormat="1">
      <c r="B55" s="30" t="s">
        <v>980</v>
      </c>
      <c r="C55" s="82"/>
      <c r="D55" s="82"/>
      <c r="E55" s="82"/>
      <c r="F55" s="82"/>
      <c r="G55" s="82"/>
      <c r="H55" s="82"/>
      <c r="I55" s="82"/>
      <c r="J55" s="82"/>
      <c r="K55" s="79">
        <f t="shared" ref="K55:AT55" si="248">K47/K37</f>
        <v>0.31976381082155236</v>
      </c>
      <c r="L55" s="79">
        <f t="shared" si="248"/>
        <v>0.32257116260839735</v>
      </c>
      <c r="M55" s="79">
        <f t="shared" si="248"/>
        <v>0.32347613440811512</v>
      </c>
      <c r="N55" s="79">
        <f t="shared" si="248"/>
        <v>0.26199607943407482</v>
      </c>
      <c r="O55" s="79">
        <f t="shared" si="248"/>
        <v>0.32306116351530134</v>
      </c>
      <c r="P55" s="79">
        <f t="shared" si="248"/>
        <v>0.31490366014083415</v>
      </c>
      <c r="Q55" s="79">
        <f t="shared" si="248"/>
        <v>0.30917803169922592</v>
      </c>
      <c r="R55" s="79">
        <f t="shared" si="248"/>
        <v>0.25960811275352358</v>
      </c>
      <c r="S55" s="79">
        <f t="shared" si="248"/>
        <v>0.32615601835510061</v>
      </c>
      <c r="T55" s="79">
        <f t="shared" si="248"/>
        <v>0.34804539722572508</v>
      </c>
      <c r="U55" s="79">
        <f t="shared" si="248"/>
        <v>0.3383005707038681</v>
      </c>
      <c r="V55" s="79">
        <f t="shared" si="248"/>
        <v>0.28370528890247632</v>
      </c>
      <c r="W55" s="79">
        <f t="shared" si="248"/>
        <v>0.34224432701274482</v>
      </c>
      <c r="X55" s="79">
        <f t="shared" si="248"/>
        <v>0.34267480577136517</v>
      </c>
      <c r="Y55" s="79">
        <f t="shared" si="248"/>
        <v>0.33887043189368771</v>
      </c>
      <c r="Z55" s="79">
        <f t="shared" si="248"/>
        <v>0.27640156453715775</v>
      </c>
      <c r="AA55" s="79">
        <f t="shared" si="248"/>
        <v>0.34445348521833469</v>
      </c>
      <c r="AB55" s="79">
        <f t="shared" si="248"/>
        <v>0.33932403433476394</v>
      </c>
      <c r="AC55" s="79">
        <f t="shared" si="248"/>
        <v>0.32705621711437277</v>
      </c>
      <c r="AD55" s="79">
        <f t="shared" si="248"/>
        <v>0.290520694259012</v>
      </c>
      <c r="AE55" s="79">
        <f t="shared" si="248"/>
        <v>0.33711597010794353</v>
      </c>
      <c r="AF55" s="79">
        <f t="shared" si="248"/>
        <v>0.32810839532412328</v>
      </c>
      <c r="AG55" s="79">
        <f t="shared" si="248"/>
        <v>0.33754838709677421</v>
      </c>
      <c r="AH55" s="79">
        <f t="shared" si="248"/>
        <v>0.29965342575313247</v>
      </c>
      <c r="AI55" s="79">
        <f t="shared" si="248"/>
        <v>0.3385731559854897</v>
      </c>
      <c r="AJ55" s="79">
        <f t="shared" si="248"/>
        <v>0.35308375976299489</v>
      </c>
      <c r="AK55" s="79">
        <f t="shared" si="248"/>
        <v>0.39821615949632738</v>
      </c>
      <c r="AL55" s="79">
        <f t="shared" si="248"/>
        <v>0.27960094512995537</v>
      </c>
      <c r="AM55" s="79">
        <f t="shared" si="248"/>
        <v>0.35690423162583518</v>
      </c>
      <c r="AN55" s="79">
        <f t="shared" si="248"/>
        <v>0.34858044164037855</v>
      </c>
      <c r="AO55" s="79">
        <f t="shared" si="248"/>
        <v>0.3440775681341719</v>
      </c>
      <c r="AP55" s="79">
        <f t="shared" si="248"/>
        <v>0.28716480083311635</v>
      </c>
      <c r="AQ55" s="93">
        <f t="shared" si="248"/>
        <v>0.33944954128440369</v>
      </c>
      <c r="AR55" s="93">
        <f t="shared" si="248"/>
        <v>0.32356655721141703</v>
      </c>
      <c r="AS55" s="79">
        <f t="shared" si="248"/>
        <v>0.48482751476225011</v>
      </c>
      <c r="AT55" s="79">
        <f t="shared" si="248"/>
        <v>0.26857979502196189</v>
      </c>
      <c r="AU55" s="79"/>
      <c r="AV55" s="93">
        <f>AV47/AV37</f>
        <v>0.29908420817511727</v>
      </c>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f t="shared" ref="BV55" si="249">BV47/BV37</f>
        <v>0.36324237560192618</v>
      </c>
      <c r="BW55" s="79">
        <f t="shared" ref="BW55" si="250">BW47/BW37</f>
        <v>0.40129566312758685</v>
      </c>
      <c r="BX55" s="79">
        <f t="shared" ref="BX55" si="251">BX47/BX37</f>
        <v>0.34712996082439107</v>
      </c>
      <c r="BY55" s="79"/>
      <c r="BZ55" s="79">
        <f t="shared" ref="BZ55:CA55" si="252">BZ47/BZ37</f>
        <v>0.36727448765531706</v>
      </c>
      <c r="CA55" s="79">
        <f t="shared" si="252"/>
        <v>0.40188281123194286</v>
      </c>
      <c r="CB55" s="79">
        <f t="shared" ref="CB55:CC55" si="253">CB47/CB37</f>
        <v>0.43941347083467613</v>
      </c>
      <c r="CC55" s="79">
        <f t="shared" si="253"/>
        <v>0.41974155379106337</v>
      </c>
      <c r="CD55" s="79">
        <f t="shared" ref="CD55:CH55" si="254">CD47/CD37</f>
        <v>0.32378655411516433</v>
      </c>
      <c r="CE55" s="79">
        <f t="shared" si="254"/>
        <v>0.40128791730215219</v>
      </c>
      <c r="CF55" s="79">
        <f t="shared" si="254"/>
        <v>0.38645418326693226</v>
      </c>
      <c r="CG55" s="79">
        <f t="shared" si="254"/>
        <v>0.43021175067104084</v>
      </c>
      <c r="CH55" s="79">
        <f t="shared" si="254"/>
        <v>0.35495179666958809</v>
      </c>
      <c r="CI55" s="79">
        <f>CI47/CI37</f>
        <v>0.42417441487656299</v>
      </c>
      <c r="CJ55" s="79">
        <f t="shared" ref="CJ55:CP55" si="255">CJ47/CJ37</f>
        <v>0.378374279648165</v>
      </c>
      <c r="CK55" s="79">
        <f t="shared" si="255"/>
        <v>0.41491280817799159</v>
      </c>
      <c r="CL55" s="79">
        <f t="shared" si="255"/>
        <v>0.32329287907588827</v>
      </c>
      <c r="CM55" s="79">
        <f t="shared" si="255"/>
        <v>0.36077302040904036</v>
      </c>
      <c r="CN55" s="79">
        <f t="shared" si="255"/>
        <v>0.36236711311781128</v>
      </c>
      <c r="CO55" s="79">
        <f t="shared" si="255"/>
        <v>0.35687043564469201</v>
      </c>
      <c r="CP55" s="79">
        <f t="shared" si="255"/>
        <v>0.32854364633605082</v>
      </c>
      <c r="CQ55" s="79"/>
      <c r="CR55" s="79"/>
      <c r="CS55" s="82"/>
      <c r="CT55" s="79"/>
      <c r="CU55" s="79"/>
      <c r="CV55" s="79"/>
      <c r="CW55" s="79"/>
      <c r="CX55" s="79">
        <f t="shared" ref="CX55:DM55" si="256">CX47/CX37</f>
        <v>0.30036906818482112</v>
      </c>
      <c r="CY55" s="79">
        <f t="shared" si="256"/>
        <v>0.32364786806114232</v>
      </c>
      <c r="CZ55" s="79">
        <f t="shared" si="256"/>
        <v>0.32380151387720774</v>
      </c>
      <c r="DA55" s="79">
        <f t="shared" si="256"/>
        <v>0.3284544038995329</v>
      </c>
      <c r="DB55" s="79">
        <f t="shared" si="256"/>
        <v>0.32560154635739519</v>
      </c>
      <c r="DC55" s="79">
        <f t="shared" si="256"/>
        <v>0.32098825297090561</v>
      </c>
      <c r="DD55" s="79">
        <f t="shared" si="256"/>
        <v>0.33375406895635423</v>
      </c>
      <c r="DE55" s="79">
        <f t="shared" si="256"/>
        <v>0.34475090252707574</v>
      </c>
      <c r="DF55" s="79">
        <f t="shared" si="256"/>
        <v>0.5178009658089332</v>
      </c>
      <c r="DG55" s="79">
        <f t="shared" si="256"/>
        <v>0.51718890518147076</v>
      </c>
      <c r="DH55" s="79">
        <f t="shared" si="256"/>
        <v>0.51430374083786878</v>
      </c>
      <c r="DI55" s="79">
        <f t="shared" si="256"/>
        <v>0.51186651669767014</v>
      </c>
      <c r="DJ55" s="79">
        <f t="shared" si="256"/>
        <v>0.51324023138158037</v>
      </c>
      <c r="DK55" s="79">
        <f t="shared" si="256"/>
        <v>-2.1059298924271297</v>
      </c>
      <c r="DL55" s="79" t="e">
        <f t="shared" si="256"/>
        <v>#DIV/0!</v>
      </c>
      <c r="DM55" s="79">
        <f t="shared" si="256"/>
        <v>0</v>
      </c>
      <c r="DN55" s="79">
        <f t="shared" ref="DN55:DO55" si="257">DN47/DN37</f>
        <v>0.40131371932032722</v>
      </c>
      <c r="DO55" s="79">
        <f t="shared" si="257"/>
        <v>0.40105469802532817</v>
      </c>
      <c r="DP55" s="82"/>
      <c r="DQ55" s="82"/>
      <c r="DR55" s="82"/>
      <c r="DS55" s="82"/>
      <c r="DT55" s="82"/>
      <c r="DU55" s="82"/>
      <c r="DV55" s="82"/>
      <c r="DW55" s="82"/>
      <c r="DX55" s="86"/>
      <c r="DY55" s="82"/>
    </row>
    <row r="56" spans="2:136" s="38" customFormat="1">
      <c r="B56" s="38" t="s">
        <v>448</v>
      </c>
      <c r="C56" s="79"/>
      <c r="D56" s="79"/>
      <c r="E56" s="79">
        <f>E46/E45</f>
        <v>0.58231978641352711</v>
      </c>
      <c r="F56" s="79"/>
      <c r="G56" s="79">
        <f t="shared" ref="G56:AT56" si="258">G46/G45</f>
        <v>0.30899556272690593</v>
      </c>
      <c r="H56" s="79">
        <f t="shared" si="258"/>
        <v>0.30728388916542226</v>
      </c>
      <c r="I56" s="79">
        <f t="shared" si="258"/>
        <v>0.31006160164271052</v>
      </c>
      <c r="J56" s="79">
        <f t="shared" si="258"/>
        <v>0.30997659449970733</v>
      </c>
      <c r="K56" s="79">
        <f t="shared" si="258"/>
        <v>0.29308397138195047</v>
      </c>
      <c r="L56" s="79">
        <f t="shared" si="258"/>
        <v>0.29333476440914463</v>
      </c>
      <c r="M56" s="79">
        <f t="shared" si="258"/>
        <v>0.29500592183182006</v>
      </c>
      <c r="N56" s="79">
        <f t="shared" si="258"/>
        <v>0.29454962707974752</v>
      </c>
      <c r="O56" s="79">
        <f t="shared" si="258"/>
        <v>0.2804449092119024</v>
      </c>
      <c r="P56" s="79">
        <f t="shared" si="258"/>
        <v>0.27193845603363453</v>
      </c>
      <c r="Q56" s="79">
        <f t="shared" si="258"/>
        <v>0.27124239791485666</v>
      </c>
      <c r="R56" s="79">
        <f t="shared" si="258"/>
        <v>0.25888125613346419</v>
      </c>
      <c r="S56" s="79">
        <f t="shared" si="258"/>
        <v>0.2643312101910828</v>
      </c>
      <c r="T56" s="79">
        <f t="shared" si="258"/>
        <v>0.22143864598025387</v>
      </c>
      <c r="U56" s="79">
        <f t="shared" si="258"/>
        <v>0.26312154696132595</v>
      </c>
      <c r="V56" s="79">
        <f t="shared" si="258"/>
        <v>0.22602168473728107</v>
      </c>
      <c r="W56" s="79">
        <f t="shared" si="258"/>
        <v>0.25051055139550715</v>
      </c>
      <c r="X56" s="79">
        <f t="shared" si="258"/>
        <v>0.23052959501557632</v>
      </c>
      <c r="Y56" s="79">
        <f t="shared" si="258"/>
        <v>0.20981278244028406</v>
      </c>
      <c r="Z56" s="79">
        <f t="shared" si="258"/>
        <v>0.19696969696969696</v>
      </c>
      <c r="AA56" s="79">
        <f t="shared" si="258"/>
        <v>0.21701602959309493</v>
      </c>
      <c r="AB56" s="79">
        <f t="shared" si="258"/>
        <v>0.19529262086513996</v>
      </c>
      <c r="AC56" s="79">
        <f t="shared" si="258"/>
        <v>0.21371504660452731</v>
      </c>
      <c r="AD56" s="79">
        <f t="shared" si="258"/>
        <v>0.22617354196301565</v>
      </c>
      <c r="AE56" s="79">
        <f t="shared" si="258"/>
        <v>0.22420382165605096</v>
      </c>
      <c r="AF56" s="79">
        <f t="shared" si="258"/>
        <v>0.22229219143576825</v>
      </c>
      <c r="AG56" s="79">
        <f t="shared" si="258"/>
        <v>0.22695035460992907</v>
      </c>
      <c r="AH56" s="79">
        <f t="shared" si="258"/>
        <v>0.19020172910662825</v>
      </c>
      <c r="AI56" s="79">
        <f t="shared" si="258"/>
        <v>0.21513665031534687</v>
      </c>
      <c r="AJ56" s="79">
        <f t="shared" si="258"/>
        <v>0.18062500000000001</v>
      </c>
      <c r="AK56" s="79">
        <f t="shared" si="258"/>
        <v>0.12858783008036739</v>
      </c>
      <c r="AL56" s="79">
        <f t="shared" si="258"/>
        <v>0.15943172849250198</v>
      </c>
      <c r="AM56" s="79">
        <f t="shared" si="258"/>
        <v>0.19975031210986266</v>
      </c>
      <c r="AN56" s="79">
        <f t="shared" si="258"/>
        <v>0.20024125452352232</v>
      </c>
      <c r="AO56" s="79">
        <f t="shared" si="258"/>
        <v>0.19100431300061615</v>
      </c>
      <c r="AP56" s="79">
        <f t="shared" si="258"/>
        <v>0.15478927203065135</v>
      </c>
      <c r="AQ56" s="93">
        <f t="shared" si="258"/>
        <v>0.1663353214049039</v>
      </c>
      <c r="AR56" s="93">
        <f t="shared" si="258"/>
        <v>0.15165562913907285</v>
      </c>
      <c r="AS56" s="79">
        <f t="shared" si="258"/>
        <v>0.2</v>
      </c>
      <c r="AT56" s="79">
        <f t="shared" si="258"/>
        <v>0.19999999999999998</v>
      </c>
      <c r="AU56" s="79"/>
      <c r="AV56" s="93">
        <f>AV46/AV45</f>
        <v>0.12483660130718954</v>
      </c>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f t="shared" ref="BV56" si="259">BV46/BV45</f>
        <v>0.10198412698412698</v>
      </c>
      <c r="BW56" s="79">
        <f t="shared" ref="BW56" si="260">BW46/BW45</f>
        <v>0.14624808575803983</v>
      </c>
      <c r="BX56" s="79">
        <f t="shared" ref="BX56" si="261">BX46/BX45</f>
        <v>0.15889393314073463</v>
      </c>
      <c r="BY56" s="79"/>
      <c r="BZ56" s="79">
        <f t="shared" ref="BZ56:CA56" si="262">BZ46/BZ45</f>
        <v>0.10954616588419405</v>
      </c>
      <c r="CA56" s="79">
        <f t="shared" si="262"/>
        <v>0.1284758887715593</v>
      </c>
      <c r="CB56" s="79">
        <f t="shared" ref="CB56:CC56" si="263">CB46/CB45</f>
        <v>7.6844955991875422E-2</v>
      </c>
      <c r="CC56" s="79">
        <f t="shared" si="263"/>
        <v>6.4213814647691769E-2</v>
      </c>
      <c r="CD56" s="79">
        <f t="shared" ref="CD56:CH56" si="264">CD46/CD45</f>
        <v>0.10871369294605809</v>
      </c>
      <c r="CE56" s="79">
        <f t="shared" si="264"/>
        <v>8.1814656843737885E-2</v>
      </c>
      <c r="CF56" s="79">
        <f t="shared" si="264"/>
        <v>0.12552011095700416</v>
      </c>
      <c r="CG56" s="79">
        <f t="shared" si="264"/>
        <v>8.5868187579214189E-2</v>
      </c>
      <c r="CH56" s="79">
        <f t="shared" si="264"/>
        <v>8.7152516904583019E-2</v>
      </c>
      <c r="CI56" s="79">
        <f>CI46/CI45</f>
        <v>6.9947275922671359E-2</v>
      </c>
      <c r="CJ56" s="79">
        <f t="shared" ref="CJ56:CP56" si="265">CJ46/CJ45</f>
        <v>0.14700854700854701</v>
      </c>
      <c r="CK56" s="79">
        <f t="shared" si="265"/>
        <v>8.2751744765702892E-2</v>
      </c>
      <c r="CL56" s="79">
        <f t="shared" si="265"/>
        <v>0.13328106624852998</v>
      </c>
      <c r="CM56" s="79">
        <f t="shared" si="265"/>
        <v>0.2</v>
      </c>
      <c r="CN56" s="79">
        <f t="shared" si="265"/>
        <v>0.2</v>
      </c>
      <c r="CO56" s="79">
        <f t="shared" si="265"/>
        <v>0.20000000000000004</v>
      </c>
      <c r="CP56" s="79">
        <f t="shared" si="265"/>
        <v>0.2</v>
      </c>
      <c r="CQ56" s="79"/>
      <c r="CR56" s="79"/>
      <c r="CS56" s="79"/>
      <c r="CT56" s="79"/>
      <c r="CU56" s="79"/>
      <c r="CV56" s="79"/>
      <c r="CW56" s="79">
        <f>CW46/CW45</f>
        <v>0.29515479661252259</v>
      </c>
      <c r="CX56" s="79">
        <f>CX46/CX45</f>
        <v>0.27141273214450706</v>
      </c>
      <c r="CY56" s="79">
        <f>CY46/CY45</f>
        <v>0.24394172236011552</v>
      </c>
      <c r="CZ56" s="79">
        <f>CZ46/CZ45</f>
        <v>0.22261484098939929</v>
      </c>
      <c r="DA56" s="79">
        <v>0.22</v>
      </c>
      <c r="DB56" s="79">
        <v>0.22500000000000001</v>
      </c>
      <c r="DC56" s="79">
        <v>0.22500000000000001</v>
      </c>
      <c r="DD56" s="79">
        <f>DD46/DD45</f>
        <v>0.1881060116354234</v>
      </c>
      <c r="DE56" s="79">
        <v>0.19500000000000001</v>
      </c>
      <c r="DF56" s="79">
        <v>0.21</v>
      </c>
      <c r="DG56" s="79">
        <v>0.21</v>
      </c>
      <c r="DH56" s="79">
        <v>0.21</v>
      </c>
      <c r="DI56" s="79">
        <v>0.21</v>
      </c>
      <c r="DJ56" s="79">
        <v>0.21</v>
      </c>
      <c r="DK56" s="79">
        <v>0.21</v>
      </c>
      <c r="DL56" s="79">
        <v>0.21</v>
      </c>
      <c r="DM56" s="79"/>
      <c r="DN56" s="79"/>
      <c r="DO56" s="79"/>
      <c r="DP56" s="79"/>
      <c r="DQ56" s="79"/>
      <c r="DR56" s="79"/>
      <c r="DS56" s="79"/>
      <c r="DT56" s="79"/>
      <c r="DU56" s="79"/>
      <c r="DV56" s="79"/>
      <c r="DW56" s="79"/>
      <c r="DX56" s="79"/>
      <c r="DY56" s="79"/>
    </row>
    <row r="57" spans="2:136" s="30" customFormat="1">
      <c r="C57" s="82"/>
      <c r="D57" s="82"/>
      <c r="E57" s="82"/>
      <c r="F57" s="82"/>
      <c r="G57" s="82"/>
      <c r="H57" s="82"/>
      <c r="I57" s="82"/>
      <c r="J57" s="82"/>
      <c r="K57" s="79"/>
      <c r="L57" s="79"/>
      <c r="M57" s="79"/>
      <c r="N57" s="79"/>
      <c r="O57" s="79"/>
      <c r="P57" s="79"/>
      <c r="Q57" s="79"/>
      <c r="R57" s="79"/>
      <c r="S57" s="79"/>
      <c r="T57" s="79"/>
      <c r="U57" s="79"/>
      <c r="V57" s="79"/>
      <c r="W57" s="79"/>
      <c r="X57" s="79"/>
      <c r="Y57" s="79"/>
      <c r="Z57" s="79"/>
      <c r="AA57" s="79"/>
      <c r="AB57" s="79"/>
      <c r="AC57" s="79"/>
      <c r="AD57" s="79"/>
      <c r="AE57" s="82"/>
      <c r="AF57" s="82"/>
      <c r="AG57" s="82"/>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E57" s="82"/>
      <c r="BF57" s="82"/>
      <c r="BG57" s="82"/>
      <c r="BH57" s="82"/>
      <c r="BI57" s="82"/>
      <c r="BJ57" s="82"/>
      <c r="BK57" s="82"/>
      <c r="BL57" s="82"/>
      <c r="BM57" s="82"/>
      <c r="BN57" s="82"/>
      <c r="BO57" s="82"/>
      <c r="BP57" s="82"/>
      <c r="BQ57" s="82"/>
      <c r="BR57" s="82"/>
      <c r="BS57" s="82"/>
      <c r="BT57" s="82"/>
      <c r="BU57" s="82"/>
      <c r="BV57" s="82"/>
      <c r="BW57" s="82"/>
      <c r="BX57" s="82"/>
      <c r="BY57" s="82"/>
      <c r="BZ57" s="82"/>
      <c r="CA57" s="82"/>
      <c r="CB57" s="82"/>
      <c r="CC57" s="82"/>
      <c r="CD57" s="82"/>
      <c r="CE57" s="82"/>
      <c r="CF57" s="82"/>
      <c r="CG57" s="82"/>
      <c r="CH57" s="82"/>
      <c r="CI57" s="82"/>
      <c r="CJ57" s="82"/>
      <c r="CK57" s="82"/>
      <c r="CL57" s="82"/>
      <c r="CM57" s="82"/>
      <c r="CN57" s="82"/>
      <c r="CO57" s="82"/>
      <c r="CP57" s="82"/>
      <c r="CQ57" s="82"/>
      <c r="CR57" s="82"/>
      <c r="CS57" s="82"/>
      <c r="CT57" s="79"/>
      <c r="CU57" s="79"/>
      <c r="CV57" s="79"/>
      <c r="CW57" s="79"/>
      <c r="CX57" s="79"/>
      <c r="CY57" s="79"/>
      <c r="CZ57" s="79"/>
      <c r="DA57" s="79"/>
      <c r="DB57" s="79"/>
      <c r="DC57" s="79"/>
      <c r="DD57" s="79"/>
      <c r="DE57" s="79"/>
      <c r="DF57" s="79"/>
      <c r="DG57" s="79"/>
      <c r="DH57" s="79"/>
      <c r="DI57" s="79"/>
      <c r="DJ57" s="82"/>
      <c r="DK57" s="82"/>
      <c r="DL57" s="82"/>
      <c r="DM57" s="82"/>
      <c r="DN57" s="82"/>
      <c r="DO57" s="82"/>
      <c r="DP57" s="82"/>
      <c r="DQ57" s="82"/>
      <c r="DR57" s="82"/>
      <c r="DS57" s="82"/>
      <c r="DT57" s="82"/>
      <c r="DU57" s="82"/>
      <c r="DV57" s="82"/>
      <c r="DW57" s="82"/>
      <c r="DX57" s="82"/>
    </row>
    <row r="58" spans="2:136" s="31" customFormat="1">
      <c r="B58" s="35" t="s">
        <v>282</v>
      </c>
      <c r="C58" s="83"/>
      <c r="D58" s="83"/>
      <c r="E58" s="83"/>
      <c r="F58" s="83"/>
      <c r="G58" s="83"/>
      <c r="H58" s="83"/>
      <c r="I58" s="84"/>
      <c r="J58" s="84"/>
      <c r="K58" s="84">
        <f t="shared" ref="K58:AV58" si="266">K37/G37-1</f>
        <v>0.74645513138324215</v>
      </c>
      <c r="L58" s="84">
        <f t="shared" si="266"/>
        <v>0.63431820001601391</v>
      </c>
      <c r="M58" s="84">
        <f t="shared" si="266"/>
        <v>0.47282064963649706</v>
      </c>
      <c r="N58" s="84">
        <f t="shared" si="266"/>
        <v>0.32869033463563779</v>
      </c>
      <c r="O58" s="84">
        <f t="shared" si="266"/>
        <v>0.33021063986827892</v>
      </c>
      <c r="P58" s="84">
        <f t="shared" si="266"/>
        <v>0.26627798735975694</v>
      </c>
      <c r="Q58" s="84">
        <f t="shared" si="266"/>
        <v>0.22860248165927</v>
      </c>
      <c r="R58" s="84">
        <f t="shared" si="266"/>
        <v>0.23966589959942053</v>
      </c>
      <c r="S58" s="84">
        <f t="shared" si="266"/>
        <v>0.20918519783174716</v>
      </c>
      <c r="T58" s="84">
        <f t="shared" si="266"/>
        <v>0.22726920993577338</v>
      </c>
      <c r="U58" s="84">
        <f t="shared" si="266"/>
        <v>0.16255068190195354</v>
      </c>
      <c r="V58" s="84">
        <f t="shared" si="266"/>
        <v>0.12444138879339972</v>
      </c>
      <c r="W58" s="84">
        <f t="shared" si="266"/>
        <v>0.13554535827744441</v>
      </c>
      <c r="X58" s="84">
        <f t="shared" si="266"/>
        <v>0.1361916771752838</v>
      </c>
      <c r="Y58" s="84">
        <f t="shared" si="266"/>
        <v>0.14521242866201645</v>
      </c>
      <c r="Z58" s="84">
        <f t="shared" si="266"/>
        <v>0.17242433506572907</v>
      </c>
      <c r="AA58" s="84">
        <f t="shared" si="266"/>
        <v>0.14609884986011812</v>
      </c>
      <c r="AB58" s="84">
        <f t="shared" si="266"/>
        <v>3.4406215316315159E-2</v>
      </c>
      <c r="AC58" s="84">
        <f t="shared" si="266"/>
        <v>-2.7685492801776679E-4</v>
      </c>
      <c r="AD58" s="84">
        <f t="shared" si="266"/>
        <v>-2.3468057366362483E-2</v>
      </c>
      <c r="AE58" s="84">
        <f t="shared" si="266"/>
        <v>-2.0070518036343965E-2</v>
      </c>
      <c r="AF58" s="84">
        <f t="shared" si="266"/>
        <v>9.65665236051505E-3</v>
      </c>
      <c r="AG58" s="84">
        <f t="shared" si="266"/>
        <v>7.3109941844364368E-2</v>
      </c>
      <c r="AH58" s="84">
        <f t="shared" si="266"/>
        <v>1.6021361815754531E-3</v>
      </c>
      <c r="AI58" s="84">
        <f t="shared" si="266"/>
        <v>-8.4417381677276526E-2</v>
      </c>
      <c r="AJ58" s="84">
        <f t="shared" si="266"/>
        <v>-1.3549415515409113E-2</v>
      </c>
      <c r="AK58" s="84">
        <f t="shared" si="266"/>
        <v>-1.6258064516128989E-2</v>
      </c>
      <c r="AL58" s="84">
        <f t="shared" si="266"/>
        <v>1.5462543321780764E-2</v>
      </c>
      <c r="AM58" s="84">
        <f t="shared" si="266"/>
        <v>8.5852478839177682E-2</v>
      </c>
      <c r="AN58" s="84">
        <f t="shared" si="266"/>
        <v>2.4508483705898199E-2</v>
      </c>
      <c r="AO58" s="84">
        <f t="shared" si="266"/>
        <v>1.0493179433368471E-3</v>
      </c>
      <c r="AP58" s="84">
        <f t="shared" si="266"/>
        <v>8.4011551588343281E-3</v>
      </c>
      <c r="AQ58" s="84">
        <f t="shared" si="266"/>
        <v>3.1737193763919924E-2</v>
      </c>
      <c r="AR58" s="84">
        <f t="shared" si="266"/>
        <v>4.0746582544689769E-2</v>
      </c>
      <c r="AS58" s="84">
        <f t="shared" si="266"/>
        <v>1.1844863731656163E-2</v>
      </c>
      <c r="AT58" s="84">
        <f t="shared" si="266"/>
        <v>-4.2176516532153041E-3</v>
      </c>
      <c r="AU58" s="84">
        <f t="shared" si="266"/>
        <v>-1.3154344306529953E-2</v>
      </c>
      <c r="AV58" s="84">
        <f t="shared" si="266"/>
        <v>0.13084112149532712</v>
      </c>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4"/>
      <c r="BY58" s="84"/>
      <c r="BZ58" s="84"/>
      <c r="CA58" s="84"/>
      <c r="CB58" s="84"/>
      <c r="CC58" s="84"/>
      <c r="CD58" s="84"/>
      <c r="CE58" s="84">
        <f t="shared" ref="CE58:CF58" si="267">CE37/CA37-1</f>
        <v>-4.2200941405615922E-2</v>
      </c>
      <c r="CF58" s="84">
        <f t="shared" si="267"/>
        <v>5.1563003544956576E-2</v>
      </c>
      <c r="CG58" s="84">
        <f t="shared" ref="CG58:CH58" si="268">CG37/CC37-1</f>
        <v>4.4060407909076726E-2</v>
      </c>
      <c r="CH58" s="84">
        <f t="shared" si="268"/>
        <v>3.1956587277660597E-2</v>
      </c>
      <c r="CI58" s="84">
        <f>CI37/CE37-1</f>
        <v>5.7108964582274213E-2</v>
      </c>
      <c r="CJ58" s="84">
        <f t="shared" ref="CJ58" si="269">CJ37/CF37-1</f>
        <v>1.041985902543674E-2</v>
      </c>
      <c r="CK58" s="84">
        <f t="shared" ref="CK58" si="270">CK37/CG37-1</f>
        <v>-8.0524903071875764E-3</v>
      </c>
      <c r="CL58" s="84">
        <f t="shared" ref="CL58" si="271">CL37/CH37-1</f>
        <v>-1.0224948875255935E-3</v>
      </c>
      <c r="CM58" s="84">
        <f t="shared" ref="CM58" si="272">CM37/CI37-1</f>
        <v>4.4523885860852985E-2</v>
      </c>
      <c r="CN58" s="84">
        <f t="shared" ref="CN58" si="273">CN37/CJ37-1</f>
        <v>6.2225128905065263E-2</v>
      </c>
      <c r="CO58" s="84">
        <f t="shared" ref="CO58" si="274">CO37/CK37-1</f>
        <v>4.7706047053517775E-2</v>
      </c>
      <c r="CP58" s="84">
        <f t="shared" ref="CP58" si="275">CP37/CL37-1</f>
        <v>6.4066132658283426E-2</v>
      </c>
      <c r="CQ58" s="84"/>
      <c r="CR58" s="84"/>
      <c r="CS58" s="85"/>
      <c r="CT58" s="84"/>
      <c r="CU58" s="84">
        <f t="shared" ref="CU58:DM58" si="276">CU37/CT37-1</f>
        <v>0.10757181601815469</v>
      </c>
      <c r="CV58" s="84">
        <f t="shared" si="276"/>
        <v>0.35243996901626651</v>
      </c>
      <c r="CW58" s="84">
        <f t="shared" si="276"/>
        <v>0.54371281823892392</v>
      </c>
      <c r="CX58" s="84">
        <f t="shared" si="276"/>
        <v>0.26268374124827942</v>
      </c>
      <c r="CY58" s="84">
        <f t="shared" si="276"/>
        <v>0.17815951957630993</v>
      </c>
      <c r="CZ58" s="84">
        <f t="shared" si="276"/>
        <v>0.14786806114239748</v>
      </c>
      <c r="DA58" s="84">
        <f t="shared" si="276"/>
        <v>3.5253714606111597E-2</v>
      </c>
      <c r="DB58" s="84">
        <f t="shared" si="276"/>
        <v>1.5706451831291046E-2</v>
      </c>
      <c r="DC58" s="84">
        <f t="shared" si="276"/>
        <v>-2.4061854295807539E-2</v>
      </c>
      <c r="DD58" s="84">
        <f t="shared" si="276"/>
        <v>2.8069935801120049E-2</v>
      </c>
      <c r="DE58" s="84">
        <f t="shared" si="276"/>
        <v>3.0492260678934402E-2</v>
      </c>
      <c r="DF58" s="84">
        <f t="shared" si="276"/>
        <v>-8.7922898401237903E-2</v>
      </c>
      <c r="DG58" s="84">
        <f t="shared" si="276"/>
        <v>6.4949039237666595E-2</v>
      </c>
      <c r="DH58" s="84">
        <f t="shared" si="276"/>
        <v>-5.5953854889465582E-2</v>
      </c>
      <c r="DI58" s="84">
        <f t="shared" si="276"/>
        <v>-6.3434402736061712E-2</v>
      </c>
      <c r="DJ58" s="84">
        <f t="shared" si="276"/>
        <v>-1.6871191088614346E-2</v>
      </c>
      <c r="DK58" s="84">
        <f t="shared" si="276"/>
        <v>-0.94447918515928808</v>
      </c>
      <c r="DL58" s="84">
        <f t="shared" si="276"/>
        <v>-1</v>
      </c>
      <c r="DM58" s="84" t="e">
        <f t="shared" si="276"/>
        <v>#DIV/0!</v>
      </c>
      <c r="DN58" s="85"/>
      <c r="DO58" s="85"/>
      <c r="DP58" s="85"/>
      <c r="DQ58" s="85"/>
      <c r="DR58" s="85"/>
      <c r="DS58" s="85"/>
      <c r="DT58" s="85"/>
      <c r="DU58" s="85"/>
      <c r="DV58" s="85"/>
      <c r="DW58" s="85"/>
      <c r="DX58" s="85"/>
    </row>
    <row r="59" spans="2:136" s="15" customFormat="1">
      <c r="B59" s="30" t="s">
        <v>178</v>
      </c>
      <c r="C59" s="82"/>
      <c r="D59" s="82"/>
      <c r="E59" s="79"/>
      <c r="F59" s="79"/>
      <c r="G59" s="79">
        <f t="shared" ref="G59:AV59" si="277">G5/C5-1</f>
        <v>9.6222664015904735E-2</v>
      </c>
      <c r="H59" s="79">
        <f t="shared" si="277"/>
        <v>0.20849420849420852</v>
      </c>
      <c r="I59" s="79">
        <f t="shared" si="277"/>
        <v>0.29249999999999976</v>
      </c>
      <c r="J59" s="79">
        <f t="shared" si="277"/>
        <v>0.35747126436781618</v>
      </c>
      <c r="K59" s="79">
        <f t="shared" si="277"/>
        <v>0.45429815016322084</v>
      </c>
      <c r="L59" s="79">
        <f t="shared" si="277"/>
        <v>0.5316293929712459</v>
      </c>
      <c r="M59" s="79">
        <f t="shared" si="277"/>
        <v>0.583395328076179</v>
      </c>
      <c r="N59" s="79">
        <f t="shared" si="277"/>
        <v>0.39542760372565611</v>
      </c>
      <c r="O59" s="79">
        <f t="shared" si="277"/>
        <v>0.41289437585733868</v>
      </c>
      <c r="P59" s="79">
        <f t="shared" si="277"/>
        <v>0.30329578639966615</v>
      </c>
      <c r="Q59" s="79">
        <f t="shared" si="277"/>
        <v>0.21123848900582609</v>
      </c>
      <c r="R59" s="79">
        <f t="shared" si="277"/>
        <v>0.21532593619972262</v>
      </c>
      <c r="S59" s="79">
        <f t="shared" si="277"/>
        <v>0.15269196822594888</v>
      </c>
      <c r="T59" s="79">
        <f t="shared" si="277"/>
        <v>0.18758002560819476</v>
      </c>
      <c r="U59" s="79">
        <f t="shared" si="277"/>
        <v>0.1163692785104733</v>
      </c>
      <c r="V59" s="79">
        <f t="shared" si="277"/>
        <v>6.9186875891583455E-2</v>
      </c>
      <c r="W59" s="79">
        <f t="shared" si="277"/>
        <v>0.14624808575803971</v>
      </c>
      <c r="X59" s="79">
        <f t="shared" si="277"/>
        <v>0.12398921832884091</v>
      </c>
      <c r="Y59" s="79">
        <f t="shared" si="277"/>
        <v>0.1813759555246699</v>
      </c>
      <c r="Z59" s="79">
        <f t="shared" si="277"/>
        <v>0.17878585723815887</v>
      </c>
      <c r="AA59" s="79">
        <f t="shared" si="277"/>
        <v>9.8864395457581855E-2</v>
      </c>
      <c r="AB59" s="79">
        <f t="shared" si="277"/>
        <v>-5.6954436450839308E-2</v>
      </c>
      <c r="AC59" s="79">
        <f t="shared" si="277"/>
        <v>-0.16470588235294115</v>
      </c>
      <c r="AD59" s="79">
        <f t="shared" si="277"/>
        <v>-0.17091114883984149</v>
      </c>
      <c r="AE59" s="79">
        <f t="shared" si="277"/>
        <v>-0.20060790273556228</v>
      </c>
      <c r="AF59" s="79">
        <f t="shared" si="277"/>
        <v>-8.0101716465352801E-2</v>
      </c>
      <c r="AG59" s="79">
        <f t="shared" si="277"/>
        <v>4.1549295774647943E-2</v>
      </c>
      <c r="AH59" s="79">
        <f t="shared" si="277"/>
        <v>-7.7133105802047797E-2</v>
      </c>
      <c r="AI59" s="79">
        <f t="shared" si="277"/>
        <v>-9.4296577946768045E-2</v>
      </c>
      <c r="AJ59" s="79">
        <f t="shared" si="277"/>
        <v>-8.0165860400829292E-2</v>
      </c>
      <c r="AK59" s="79">
        <f t="shared" si="277"/>
        <v>-8.8573360378634169E-2</v>
      </c>
      <c r="AL59" s="79">
        <f t="shared" si="277"/>
        <v>-7.3964497041423272E-4</v>
      </c>
      <c r="AM59" s="79">
        <f t="shared" si="277"/>
        <v>4.9538203190596208E-2</v>
      </c>
      <c r="AN59" s="79">
        <f t="shared" si="277"/>
        <v>-5.3343350864011985E-2</v>
      </c>
      <c r="AO59" s="79">
        <f t="shared" si="277"/>
        <v>-5.3412462908011826E-2</v>
      </c>
      <c r="AP59" s="79">
        <f t="shared" si="277"/>
        <v>-9.4004441154700191E-2</v>
      </c>
      <c r="AQ59" s="79">
        <f t="shared" si="277"/>
        <v>-0.10799999999999998</v>
      </c>
      <c r="AR59" s="79">
        <f t="shared" si="277"/>
        <v>-0.10476190476190472</v>
      </c>
      <c r="AS59" s="79">
        <f t="shared" si="277"/>
        <v>-4.9999999999999933E-2</v>
      </c>
      <c r="AT59" s="79">
        <f t="shared" si="277"/>
        <v>-5.0000000000000044E-2</v>
      </c>
      <c r="AU59" s="79">
        <f t="shared" si="277"/>
        <v>-5.0000000000000044E-2</v>
      </c>
      <c r="AV59" s="79">
        <f t="shared" si="277"/>
        <v>-5.939716312056742E-2</v>
      </c>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c r="CR59" s="79"/>
      <c r="CS59" s="72"/>
      <c r="CT59" s="79"/>
      <c r="CU59" s="79">
        <f t="shared" ref="CU59:DI59" si="278">CU5/CT5-1</f>
        <v>9.5648185894822602E-2</v>
      </c>
      <c r="CV59" s="79">
        <f t="shared" si="278"/>
        <v>0.24440723687270371</v>
      </c>
      <c r="CW59" s="79">
        <f t="shared" si="278"/>
        <v>0.48695619674091795</v>
      </c>
      <c r="CX59" s="79">
        <f t="shared" si="278"/>
        <v>0.2752544928993339</v>
      </c>
      <c r="CY59" s="79">
        <f t="shared" si="278"/>
        <v>0.12898139388205609</v>
      </c>
      <c r="CZ59" s="79">
        <f t="shared" si="278"/>
        <v>0.1578212290502794</v>
      </c>
      <c r="DA59" s="79">
        <f t="shared" si="278"/>
        <v>-7.9764776839565732E-2</v>
      </c>
      <c r="DB59" s="79">
        <f t="shared" si="278"/>
        <v>-8.3565459610027815E-2</v>
      </c>
      <c r="DC59" s="79">
        <f t="shared" si="278"/>
        <v>-6.6511711067405721E-2</v>
      </c>
      <c r="DD59" s="79">
        <f t="shared" si="278"/>
        <v>-4.0413713847921806E-2</v>
      </c>
      <c r="DE59" s="79">
        <f t="shared" si="278"/>
        <v>-7.8243512974051854E-2</v>
      </c>
      <c r="DF59" s="79">
        <f t="shared" si="278"/>
        <v>-0.12340190558683428</v>
      </c>
      <c r="DG59" s="79">
        <f t="shared" si="278"/>
        <v>-0.14465864485577284</v>
      </c>
      <c r="DH59" s="79">
        <f t="shared" si="278"/>
        <v>-9.9999999999999978E-2</v>
      </c>
      <c r="DI59" s="79">
        <f t="shared" si="278"/>
        <v>-9.9999999999999978E-2</v>
      </c>
      <c r="DJ59" s="72"/>
      <c r="DK59" s="72"/>
      <c r="DL59" s="72"/>
      <c r="DM59" s="72"/>
      <c r="DN59" s="72"/>
      <c r="DO59" s="72"/>
      <c r="DP59" s="72"/>
      <c r="DQ59" s="72"/>
      <c r="DR59" s="72"/>
      <c r="DS59" s="72"/>
      <c r="DT59" s="72"/>
      <c r="DU59" s="72"/>
      <c r="DV59" s="72"/>
      <c r="DW59" s="72"/>
      <c r="DX59" s="72"/>
    </row>
    <row r="60" spans="2:136" s="37" customFormat="1">
      <c r="B60" s="30" t="s">
        <v>177</v>
      </c>
      <c r="C60" s="82"/>
      <c r="D60" s="82"/>
      <c r="E60" s="82"/>
      <c r="F60" s="82"/>
      <c r="G60" s="82"/>
      <c r="H60" s="79"/>
      <c r="I60" s="86">
        <f t="shared" ref="I60:AV60" si="279">I4/E4-1</f>
        <v>21.74</v>
      </c>
      <c r="J60" s="86">
        <f t="shared" si="279"/>
        <v>4.5945945945945947</v>
      </c>
      <c r="K60" s="86">
        <f t="shared" si="279"/>
        <v>5.5</v>
      </c>
      <c r="L60" s="86">
        <f t="shared" si="279"/>
        <v>5.2423698384201076</v>
      </c>
      <c r="M60" s="86">
        <f t="shared" si="279"/>
        <v>2.8548812664907652</v>
      </c>
      <c r="N60" s="86">
        <f t="shared" si="279"/>
        <v>1.4299516908212562</v>
      </c>
      <c r="O60" s="86">
        <f t="shared" si="279"/>
        <v>1.1310832025117739</v>
      </c>
      <c r="P60" s="79">
        <f t="shared" si="279"/>
        <v>0.77451826287029046</v>
      </c>
      <c r="Q60" s="79">
        <f t="shared" si="279"/>
        <v>0.38717773214693141</v>
      </c>
      <c r="R60" s="79">
        <f t="shared" si="279"/>
        <v>0.40159045725646125</v>
      </c>
      <c r="S60" s="79">
        <f t="shared" si="279"/>
        <v>0.33149171270718236</v>
      </c>
      <c r="T60" s="79">
        <f t="shared" si="279"/>
        <v>0.35656401944894656</v>
      </c>
      <c r="U60" s="79">
        <f t="shared" si="279"/>
        <v>0.38157894736842102</v>
      </c>
      <c r="V60" s="79">
        <f t="shared" si="279"/>
        <v>0.23829787234042543</v>
      </c>
      <c r="W60" s="79">
        <f t="shared" si="279"/>
        <v>0.23513139695712315</v>
      </c>
      <c r="X60" s="79">
        <f t="shared" si="279"/>
        <v>0.26045400238948635</v>
      </c>
      <c r="Y60" s="79">
        <f t="shared" si="279"/>
        <v>0.27023809523809517</v>
      </c>
      <c r="Z60" s="79">
        <f t="shared" si="279"/>
        <v>0.26689576174112251</v>
      </c>
      <c r="AA60" s="79">
        <f t="shared" si="279"/>
        <v>0.14221724524076151</v>
      </c>
      <c r="AB60" s="79">
        <f t="shared" si="279"/>
        <v>-0.10047393364928914</v>
      </c>
      <c r="AC60" s="79">
        <f t="shared" si="279"/>
        <v>-0.23336457357075913</v>
      </c>
      <c r="AD60" s="79">
        <f t="shared" si="279"/>
        <v>-0.25226039783001808</v>
      </c>
      <c r="AE60" s="79">
        <f t="shared" si="279"/>
        <v>-0.25392156862745097</v>
      </c>
      <c r="AF60" s="79">
        <f t="shared" si="279"/>
        <v>-0.13066385669125391</v>
      </c>
      <c r="AG60" s="79">
        <f t="shared" si="279"/>
        <v>3.3007334963325086E-2</v>
      </c>
      <c r="AH60" s="79">
        <f t="shared" si="279"/>
        <v>-0.14631197097944382</v>
      </c>
      <c r="AI60" s="79">
        <f t="shared" si="279"/>
        <v>-0.17739816031537448</v>
      </c>
      <c r="AJ60" s="79">
        <f t="shared" si="279"/>
        <v>-0.16000000000000003</v>
      </c>
      <c r="AK60" s="79">
        <f t="shared" si="279"/>
        <v>-0.18934911242603547</v>
      </c>
      <c r="AL60" s="79">
        <f t="shared" si="279"/>
        <v>-8.2152974504249299E-2</v>
      </c>
      <c r="AM60" s="79">
        <f t="shared" si="279"/>
        <v>1.5974440894568342E-3</v>
      </c>
      <c r="AN60" s="79">
        <f t="shared" si="279"/>
        <v>-0.12987012987012991</v>
      </c>
      <c r="AO60" s="79">
        <f t="shared" si="279"/>
        <v>-9.0510948905109467E-2</v>
      </c>
      <c r="AP60" s="79">
        <f t="shared" si="279"/>
        <v>-2.314814814814814E-2</v>
      </c>
      <c r="AQ60" s="79">
        <f t="shared" si="279"/>
        <v>-7.496012759170656E-2</v>
      </c>
      <c r="AR60" s="79">
        <f t="shared" si="279"/>
        <v>-2.9850746268656692E-2</v>
      </c>
      <c r="AS60" s="79">
        <f t="shared" si="279"/>
        <v>-4.9999999999999933E-2</v>
      </c>
      <c r="AT60" s="79">
        <f t="shared" si="279"/>
        <v>-4.9999999999999933E-2</v>
      </c>
      <c r="AU60" s="79">
        <f t="shared" si="279"/>
        <v>-5.0000000000000044E-2</v>
      </c>
      <c r="AV60" s="79">
        <f t="shared" si="279"/>
        <v>-8.3760683760683796E-2</v>
      </c>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c r="CL60" s="79"/>
      <c r="CM60" s="79"/>
      <c r="CN60" s="79"/>
      <c r="CO60" s="79"/>
      <c r="CP60" s="79"/>
      <c r="CQ60" s="79"/>
      <c r="CR60" s="79"/>
      <c r="CS60" s="99"/>
      <c r="CT60" s="79"/>
      <c r="CU60" s="79"/>
      <c r="CV60" s="86">
        <f t="shared" ref="CV60:DC60" si="280">CV4/CU4-1</f>
        <v>8.8952380952380956</v>
      </c>
      <c r="CW60" s="86">
        <f t="shared" si="280"/>
        <v>2.7146294513955724</v>
      </c>
      <c r="CX60" s="79">
        <f t="shared" si="280"/>
        <v>0.60189143671460044</v>
      </c>
      <c r="CY60" s="79">
        <f t="shared" si="280"/>
        <v>0.32349373230893641</v>
      </c>
      <c r="CZ60" s="79">
        <f t="shared" si="280"/>
        <v>0.25908952031775123</v>
      </c>
      <c r="DA60" s="79">
        <f t="shared" si="280"/>
        <v>-0.12302839116719244</v>
      </c>
      <c r="DB60" s="79">
        <f t="shared" si="280"/>
        <v>-0.13198671831765352</v>
      </c>
      <c r="DC60" s="79">
        <f t="shared" si="280"/>
        <v>-0.15460631176283068</v>
      </c>
      <c r="DD60" s="79">
        <v>-0.05</v>
      </c>
      <c r="DE60" s="79">
        <v>-0.05</v>
      </c>
      <c r="DF60" s="79">
        <v>-0.05</v>
      </c>
      <c r="DG60" s="79">
        <v>-0.1</v>
      </c>
      <c r="DH60" s="79">
        <v>-0.1</v>
      </c>
      <c r="DI60" s="79">
        <v>-0.1</v>
      </c>
      <c r="DJ60" s="99"/>
      <c r="DK60" s="99"/>
      <c r="DL60" s="99"/>
      <c r="DM60" s="99"/>
      <c r="DN60" s="99"/>
      <c r="DO60" s="99"/>
      <c r="DP60" s="99"/>
      <c r="DQ60" s="99"/>
      <c r="DR60" s="99"/>
      <c r="DS60" s="99"/>
      <c r="DT60" s="99"/>
      <c r="DU60" s="99"/>
      <c r="DV60" s="99"/>
      <c r="DW60" s="99"/>
      <c r="DX60" s="99"/>
    </row>
    <row r="61" spans="2:136" s="15" customFormat="1">
      <c r="B61" s="30" t="s">
        <v>176</v>
      </c>
      <c r="C61" s="82"/>
      <c r="D61" s="82"/>
      <c r="E61" s="82"/>
      <c r="F61" s="82"/>
      <c r="G61" s="79">
        <f t="shared" ref="G61:AV61" si="281">G3/C3-1</f>
        <v>1.829025844930432E-2</v>
      </c>
      <c r="H61" s="79">
        <f t="shared" si="281"/>
        <v>0.10096525096525077</v>
      </c>
      <c r="I61" s="79">
        <f t="shared" si="281"/>
        <v>8.4271844660194217E-2</v>
      </c>
      <c r="J61" s="79">
        <f t="shared" si="281"/>
        <v>8.3391608391608418E-2</v>
      </c>
      <c r="K61" s="79">
        <f t="shared" si="281"/>
        <v>6.8137446310035044E-2</v>
      </c>
      <c r="L61" s="79">
        <f t="shared" si="281"/>
        <v>7.1541294055760263E-2</v>
      </c>
      <c r="M61" s="79">
        <f t="shared" si="281"/>
        <v>0.12088108882521498</v>
      </c>
      <c r="N61" s="79">
        <f t="shared" si="281"/>
        <v>4.9862836856543469E-2</v>
      </c>
      <c r="O61" s="79">
        <f t="shared" si="281"/>
        <v>7.8413452750868196E-2</v>
      </c>
      <c r="P61" s="79">
        <f t="shared" si="281"/>
        <v>3.5182457862870331E-2</v>
      </c>
      <c r="Q61" s="79">
        <f t="shared" si="281"/>
        <v>8.8033232145710238E-2</v>
      </c>
      <c r="R61" s="79">
        <f t="shared" si="281"/>
        <v>7.1318782662157965E-2</v>
      </c>
      <c r="S61" s="79">
        <f t="shared" si="281"/>
        <v>-1.1864406779661052E-2</v>
      </c>
      <c r="T61" s="79">
        <f t="shared" si="281"/>
        <v>2.2763199494151065E-2</v>
      </c>
      <c r="U61" s="79">
        <f t="shared" si="281"/>
        <v>-0.1204111600587372</v>
      </c>
      <c r="V61" s="79">
        <f t="shared" si="281"/>
        <v>-0.10186513629842175</v>
      </c>
      <c r="W61" s="79">
        <f t="shared" si="281"/>
        <v>3.6020583190394584E-2</v>
      </c>
      <c r="X61" s="79">
        <f t="shared" si="281"/>
        <v>-5.255023183925811E-2</v>
      </c>
      <c r="Y61" s="79">
        <f t="shared" si="281"/>
        <v>5.6761268781302165E-2</v>
      </c>
      <c r="Z61" s="79">
        <f t="shared" si="281"/>
        <v>5.5910543130990309E-2</v>
      </c>
      <c r="AA61" s="79">
        <f t="shared" si="281"/>
        <v>3.4768211920529701E-2</v>
      </c>
      <c r="AB61" s="79">
        <f t="shared" si="281"/>
        <v>1.794453507340954E-2</v>
      </c>
      <c r="AC61" s="79">
        <f t="shared" si="281"/>
        <v>-4.8973143759873605E-2</v>
      </c>
      <c r="AD61" s="79">
        <f t="shared" si="281"/>
        <v>-3.479576399394857E-2</v>
      </c>
      <c r="AE61" s="79">
        <f t="shared" si="281"/>
        <v>-0.11360000000000003</v>
      </c>
      <c r="AF61" s="79">
        <f t="shared" si="281"/>
        <v>-3.2051282051281937E-3</v>
      </c>
      <c r="AG61" s="79">
        <f t="shared" si="281"/>
        <v>5.3156146179401897E-2</v>
      </c>
      <c r="AH61" s="79">
        <f t="shared" si="281"/>
        <v>1.2539184952978122E-2</v>
      </c>
      <c r="AI61" s="79">
        <f t="shared" si="281"/>
        <v>1.9855595667870096E-2</v>
      </c>
      <c r="AJ61" s="79">
        <f t="shared" si="281"/>
        <v>2.5723472668810254E-2</v>
      </c>
      <c r="AK61" s="79">
        <f t="shared" si="281"/>
        <v>4.5741324921135584E-2</v>
      </c>
      <c r="AL61" s="79">
        <f t="shared" si="281"/>
        <v>8.8235294117646967E-2</v>
      </c>
      <c r="AM61" s="79">
        <f t="shared" si="281"/>
        <v>0.10265486725663719</v>
      </c>
      <c r="AN61" s="79">
        <f t="shared" si="281"/>
        <v>2.9780564263322873E-2</v>
      </c>
      <c r="AO61" s="79">
        <f t="shared" si="281"/>
        <v>-1.5082956259426794E-2</v>
      </c>
      <c r="AP61" s="79">
        <f t="shared" si="281"/>
        <v>-0.15931721194879089</v>
      </c>
      <c r="AQ61" s="79">
        <f t="shared" si="281"/>
        <v>-0.14125200642054569</v>
      </c>
      <c r="AR61" s="79">
        <f t="shared" si="281"/>
        <v>-0.17351598173515981</v>
      </c>
      <c r="AS61" s="79">
        <f t="shared" si="281"/>
        <v>-4.9999999999999933E-2</v>
      </c>
      <c r="AT61" s="79">
        <f t="shared" si="281"/>
        <v>-5.0000000000000155E-2</v>
      </c>
      <c r="AU61" s="79">
        <f t="shared" si="281"/>
        <v>-5.0000000000000044E-2</v>
      </c>
      <c r="AV61" s="79">
        <f t="shared" si="281"/>
        <v>-3.3149171270718258E-2</v>
      </c>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2"/>
      <c r="CT61" s="79"/>
      <c r="CU61" s="79">
        <f t="shared" ref="CU61:DB61" si="282">CU3/CT3-1</f>
        <v>7.4245821443130744E-2</v>
      </c>
      <c r="CV61" s="79">
        <f t="shared" si="282"/>
        <v>7.2055405341302725E-2</v>
      </c>
      <c r="CW61" s="79">
        <f t="shared" si="282"/>
        <v>7.7300884955752158E-2</v>
      </c>
      <c r="CX61" s="79">
        <f t="shared" si="282"/>
        <v>6.8139811886474666E-2</v>
      </c>
      <c r="CY61" s="79">
        <f t="shared" si="282"/>
        <v>-5.598707990463736E-2</v>
      </c>
      <c r="CZ61" s="79">
        <f t="shared" si="282"/>
        <v>2.281059063136448E-2</v>
      </c>
      <c r="DA61" s="79">
        <f t="shared" si="282"/>
        <v>-8.7614496216646964E-3</v>
      </c>
      <c r="DB61" s="79">
        <f t="shared" si="282"/>
        <v>-1.3258336681398197E-2</v>
      </c>
      <c r="DC61" s="79">
        <v>0.02</v>
      </c>
      <c r="DD61" s="79">
        <v>0</v>
      </c>
      <c r="DE61" s="79">
        <v>-0.1</v>
      </c>
      <c r="DF61" s="79">
        <v>-0.1</v>
      </c>
      <c r="DG61" s="79">
        <v>-0.1</v>
      </c>
      <c r="DH61" s="79">
        <v>-0.1</v>
      </c>
      <c r="DI61" s="79">
        <v>-0.1</v>
      </c>
      <c r="DJ61" s="72"/>
      <c r="DK61" s="72"/>
      <c r="DL61" s="72"/>
      <c r="DM61" s="72"/>
      <c r="DN61" s="72"/>
      <c r="DO61" s="72"/>
      <c r="DP61" s="72"/>
      <c r="DQ61" s="72"/>
      <c r="DR61" s="72"/>
      <c r="DS61" s="72"/>
      <c r="DT61" s="72"/>
      <c r="DU61" s="72"/>
      <c r="DV61" s="72"/>
      <c r="DW61" s="72"/>
      <c r="DX61" s="72"/>
    </row>
    <row r="62" spans="2:136" s="15" customFormat="1">
      <c r="B62" s="30" t="s">
        <v>440</v>
      </c>
      <c r="C62" s="82"/>
      <c r="D62" s="82"/>
      <c r="E62" s="82"/>
      <c r="F62" s="82"/>
      <c r="G62" s="82"/>
      <c r="H62" s="82"/>
      <c r="I62" s="82"/>
      <c r="J62" s="79"/>
      <c r="K62" s="86"/>
      <c r="L62" s="86">
        <f t="shared" ref="L62:AV62" si="283">L7/H7-1</f>
        <v>1.7590909090909093</v>
      </c>
      <c r="M62" s="86">
        <f t="shared" si="283"/>
        <v>1.3076923076923079</v>
      </c>
      <c r="N62" s="79">
        <f t="shared" si="283"/>
        <v>0.72971698113207539</v>
      </c>
      <c r="O62" s="79">
        <f t="shared" si="283"/>
        <v>0.52984496124031</v>
      </c>
      <c r="P62" s="79">
        <f t="shared" si="283"/>
        <v>0.40329489291598009</v>
      </c>
      <c r="Q62" s="79">
        <f t="shared" si="283"/>
        <v>0.37614678899082565</v>
      </c>
      <c r="R62" s="79">
        <f t="shared" si="283"/>
        <v>0.27897463866921202</v>
      </c>
      <c r="S62" s="79">
        <f t="shared" si="283"/>
        <v>0.26931846972384088</v>
      </c>
      <c r="T62" s="79">
        <f t="shared" si="283"/>
        <v>0.37825780699694778</v>
      </c>
      <c r="U62" s="79">
        <f t="shared" si="283"/>
        <v>0.28222222222222215</v>
      </c>
      <c r="V62" s="79">
        <f t="shared" si="283"/>
        <v>0.32835820895522394</v>
      </c>
      <c r="W62" s="79">
        <f t="shared" si="283"/>
        <v>0.21357285429141726</v>
      </c>
      <c r="X62" s="79">
        <f t="shared" si="283"/>
        <v>0.1942078364565587</v>
      </c>
      <c r="Y62" s="79">
        <f t="shared" si="283"/>
        <v>0.19584055459272087</v>
      </c>
      <c r="Z62" s="79">
        <f t="shared" si="283"/>
        <v>0.14125200642054581</v>
      </c>
      <c r="AA62" s="79">
        <f t="shared" si="283"/>
        <v>0.18256578947368429</v>
      </c>
      <c r="AB62" s="79">
        <f t="shared" si="283"/>
        <v>4.707560627674745E-2</v>
      </c>
      <c r="AC62" s="79">
        <f t="shared" si="283"/>
        <v>0.10579710144927534</v>
      </c>
      <c r="AD62" s="79">
        <f t="shared" si="283"/>
        <v>0.1026722925457102</v>
      </c>
      <c r="AE62" s="79">
        <f t="shared" si="283"/>
        <v>5.1460361613351768E-2</v>
      </c>
      <c r="AF62" s="79">
        <f t="shared" si="283"/>
        <v>0.17438692098092634</v>
      </c>
      <c r="AG62" s="79">
        <f t="shared" si="283"/>
        <v>0.11664482306684132</v>
      </c>
      <c r="AH62" s="79">
        <f t="shared" si="283"/>
        <v>8.163265306122458E-2</v>
      </c>
      <c r="AI62" s="79">
        <f t="shared" si="283"/>
        <v>2.7777777777777679E-2</v>
      </c>
      <c r="AJ62" s="79">
        <f t="shared" si="283"/>
        <v>-3.5962877030162432E-2</v>
      </c>
      <c r="AK62" s="79">
        <f t="shared" si="283"/>
        <v>2.2300469483568008E-2</v>
      </c>
      <c r="AL62" s="79">
        <f t="shared" si="283"/>
        <v>3.3018867924528239E-2</v>
      </c>
      <c r="AM62" s="79">
        <f t="shared" si="283"/>
        <v>0.11068211068211076</v>
      </c>
      <c r="AN62" s="79">
        <f t="shared" si="283"/>
        <v>3.6101083032491044E-2</v>
      </c>
      <c r="AO62" s="79">
        <f t="shared" si="283"/>
        <v>5.1664753157290466E-2</v>
      </c>
      <c r="AP62" s="79">
        <f t="shared" si="283"/>
        <v>4.7945205479452024E-2</v>
      </c>
      <c r="AQ62" s="79">
        <f t="shared" si="283"/>
        <v>8.4588644264194768E-2</v>
      </c>
      <c r="AR62" s="79">
        <f t="shared" si="283"/>
        <v>0.17886178861788626</v>
      </c>
      <c r="AS62" s="79">
        <f t="shared" si="283"/>
        <v>0</v>
      </c>
      <c r="AT62" s="79">
        <f t="shared" si="283"/>
        <v>0</v>
      </c>
      <c r="AU62" s="79">
        <f t="shared" si="283"/>
        <v>0</v>
      </c>
      <c r="AV62" s="79">
        <f t="shared" si="283"/>
        <v>0</v>
      </c>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c r="CL62" s="79"/>
      <c r="CM62" s="79"/>
      <c r="CN62" s="79"/>
      <c r="CO62" s="79"/>
      <c r="CP62" s="79"/>
      <c r="CQ62" s="79"/>
      <c r="CR62" s="79"/>
      <c r="CS62" s="72"/>
      <c r="CT62" s="79"/>
      <c r="CU62" s="79"/>
      <c r="CV62" s="79"/>
      <c r="CW62" s="79"/>
      <c r="CX62" s="82"/>
      <c r="CY62" s="79">
        <f>CY7/CX7-1</f>
        <v>0.31524488388135219</v>
      </c>
      <c r="CZ62" s="79">
        <f>CZ7/CY7-1</f>
        <v>0.18444055944055937</v>
      </c>
      <c r="DA62" s="79">
        <f>DA7/CZ7-1</f>
        <v>0.10701107011070121</v>
      </c>
      <c r="DB62" s="79">
        <f>DB7/DA7-1</f>
        <v>0.10600000000000009</v>
      </c>
      <c r="DC62" s="79">
        <v>0.08</v>
      </c>
      <c r="DD62" s="79">
        <v>0.05</v>
      </c>
      <c r="DE62" s="79">
        <v>0.02</v>
      </c>
      <c r="DF62" s="79">
        <v>0</v>
      </c>
      <c r="DG62" s="79">
        <v>0</v>
      </c>
      <c r="DH62" s="79">
        <v>0</v>
      </c>
      <c r="DI62" s="79"/>
      <c r="DJ62" s="72"/>
      <c r="DK62" s="72"/>
      <c r="DL62" s="72"/>
      <c r="DM62" s="72"/>
      <c r="DN62" s="72"/>
      <c r="DO62" s="72"/>
      <c r="DP62" s="72"/>
      <c r="DQ62" s="72"/>
      <c r="DR62" s="72"/>
      <c r="DS62" s="72"/>
      <c r="DT62" s="72"/>
      <c r="DU62" s="72"/>
      <c r="DV62" s="72"/>
      <c r="DW62" s="72"/>
      <c r="DX62" s="72"/>
    </row>
    <row r="63" spans="2:136" s="15" customFormat="1">
      <c r="B63" s="30" t="s">
        <v>723</v>
      </c>
      <c r="C63" s="82"/>
      <c r="D63" s="82"/>
      <c r="E63" s="82"/>
      <c r="F63" s="82"/>
      <c r="G63" s="79"/>
      <c r="H63" s="79"/>
      <c r="I63" s="79"/>
      <c r="J63" s="79"/>
      <c r="K63" s="79">
        <f t="shared" ref="K63:AV63" si="284">K35/G35-1</f>
        <v>0.80057230904688503</v>
      </c>
      <c r="L63" s="79">
        <f t="shared" si="284"/>
        <v>0.71883408071748889</v>
      </c>
      <c r="M63" s="79">
        <f t="shared" si="284"/>
        <v>0.54421162134046663</v>
      </c>
      <c r="N63" s="79">
        <f t="shared" si="284"/>
        <v>0.38011840157868759</v>
      </c>
      <c r="O63" s="79">
        <f t="shared" si="284"/>
        <v>0.3494498777506112</v>
      </c>
      <c r="P63" s="79">
        <f t="shared" si="284"/>
        <v>0.26830159144273402</v>
      </c>
      <c r="Q63" s="79">
        <f t="shared" si="284"/>
        <v>0.23183524203637784</v>
      </c>
      <c r="R63" s="79">
        <f t="shared" si="284"/>
        <v>0.24128686327077742</v>
      </c>
      <c r="S63" s="79">
        <f t="shared" si="284"/>
        <v>0.2388458576799386</v>
      </c>
      <c r="T63" s="79">
        <f t="shared" si="284"/>
        <v>0.26383346361130555</v>
      </c>
      <c r="U63" s="79">
        <f t="shared" si="284"/>
        <v>0.19023437499999996</v>
      </c>
      <c r="V63" s="79">
        <f t="shared" si="284"/>
        <v>0.14038876889848817</v>
      </c>
      <c r="W63" s="79">
        <f t="shared" si="284"/>
        <v>0.1433272394881171</v>
      </c>
      <c r="X63" s="79">
        <f t="shared" si="284"/>
        <v>0.13639322916666674</v>
      </c>
      <c r="Y63" s="79">
        <f t="shared" si="284"/>
        <v>0.1496553987528717</v>
      </c>
      <c r="Z63" s="79">
        <f t="shared" si="284"/>
        <v>0.17960858585858586</v>
      </c>
      <c r="AA63" s="79">
        <f t="shared" si="284"/>
        <v>0.1400703549728175</v>
      </c>
      <c r="AB63" s="79">
        <f t="shared" si="284"/>
        <v>3.2368948725293611E-2</v>
      </c>
      <c r="AC63" s="79">
        <f t="shared" si="284"/>
        <v>5.9948615472451561E-3</v>
      </c>
      <c r="AD63" s="79">
        <f t="shared" si="284"/>
        <v>-3.184372491303189E-2</v>
      </c>
      <c r="AE63" s="79">
        <f t="shared" si="284"/>
        <v>-7.8541374474053738E-3</v>
      </c>
      <c r="AF63" s="79">
        <f t="shared" si="284"/>
        <v>2.441731409544956E-2</v>
      </c>
      <c r="AG63" s="79">
        <f t="shared" si="284"/>
        <v>7.3779795686719662E-2</v>
      </c>
      <c r="AH63" s="79">
        <f t="shared" si="284"/>
        <v>1.5478164731896005E-2</v>
      </c>
      <c r="AI63" s="79">
        <f t="shared" si="284"/>
        <v>-8.4534916595985332E-2</v>
      </c>
      <c r="AJ63" s="79">
        <f t="shared" si="284"/>
        <v>-1.5709642470205898E-2</v>
      </c>
      <c r="AK63" s="79">
        <f t="shared" si="284"/>
        <v>-1.2684989429175508E-2</v>
      </c>
      <c r="AL63" s="79">
        <f t="shared" si="284"/>
        <v>1.8780620577027785E-2</v>
      </c>
      <c r="AM63" s="79">
        <f t="shared" si="284"/>
        <v>8.9561457689931956E-2</v>
      </c>
      <c r="AN63" s="79">
        <f t="shared" si="284"/>
        <v>-5.778756191524459E-3</v>
      </c>
      <c r="AO63" s="79">
        <f t="shared" si="284"/>
        <v>6.1563169164882137E-3</v>
      </c>
      <c r="AP63" s="79">
        <f t="shared" si="284"/>
        <v>4.5418113812449867E-3</v>
      </c>
      <c r="AQ63" s="79">
        <f t="shared" si="284"/>
        <v>2.5510204081632626E-2</v>
      </c>
      <c r="AR63" s="79">
        <f t="shared" si="284"/>
        <v>7.4453362856351957E-2</v>
      </c>
      <c r="AS63" s="79">
        <f t="shared" si="284"/>
        <v>6.7039106145250216E-3</v>
      </c>
      <c r="AT63" s="79">
        <f t="shared" si="284"/>
        <v>-3.2446808510637748E-3</v>
      </c>
      <c r="AU63" s="79">
        <f t="shared" si="284"/>
        <v>-1.0433941404090707E-2</v>
      </c>
      <c r="AV63" s="79">
        <f t="shared" si="284"/>
        <v>7.4961360123647625E-2</v>
      </c>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79"/>
      <c r="CJ63" s="79"/>
      <c r="CK63" s="79"/>
      <c r="CL63" s="79"/>
      <c r="CM63" s="79"/>
      <c r="CN63" s="79"/>
      <c r="CO63" s="79"/>
      <c r="CP63" s="79"/>
      <c r="CQ63" s="79"/>
      <c r="CR63" s="79"/>
      <c r="CS63" s="72"/>
      <c r="CT63" s="79"/>
      <c r="CU63" s="79"/>
      <c r="CV63" s="79"/>
      <c r="CW63" s="79"/>
      <c r="CX63" s="82"/>
      <c r="CY63" s="79">
        <f t="shared" ref="CY63:DH63" si="285">CY35/CX35-1</f>
        <v>0.20494075824871261</v>
      </c>
      <c r="CZ63" s="79">
        <f t="shared" si="285"/>
        <v>0.1527200133089337</v>
      </c>
      <c r="DA63" s="79">
        <f t="shared" si="285"/>
        <v>3.268869966806176E-2</v>
      </c>
      <c r="DB63" s="79">
        <f t="shared" si="285"/>
        <v>2.6273495912235267E-2</v>
      </c>
      <c r="DC63" s="79">
        <f t="shared" si="285"/>
        <v>-2.2877374548920804E-2</v>
      </c>
      <c r="DD63" s="79">
        <f t="shared" si="285"/>
        <v>2.1531600585324995E-2</v>
      </c>
      <c r="DE63" s="79">
        <f t="shared" si="285"/>
        <v>3.635743519781709E-2</v>
      </c>
      <c r="DF63" s="79">
        <f t="shared" si="285"/>
        <v>-9.0188902784177016E-2</v>
      </c>
      <c r="DG63" s="79">
        <f t="shared" si="285"/>
        <v>6.6007114353428653E-2</v>
      </c>
      <c r="DH63" s="79">
        <f t="shared" si="285"/>
        <v>-5.7664602635308926E-2</v>
      </c>
      <c r="DI63" s="79"/>
      <c r="DJ63" s="72"/>
      <c r="DK63" s="72"/>
      <c r="DL63" s="72"/>
      <c r="DM63" s="72"/>
      <c r="DN63" s="72"/>
      <c r="DO63" s="72"/>
      <c r="DP63" s="72"/>
      <c r="DQ63" s="72"/>
      <c r="DR63" s="72"/>
      <c r="DS63" s="72"/>
      <c r="DT63" s="72"/>
      <c r="DU63" s="72"/>
      <c r="DV63" s="72"/>
      <c r="DW63" s="72"/>
      <c r="DX63" s="72"/>
    </row>
    <row r="64" spans="2:136" s="15" customFormat="1">
      <c r="B64" s="30" t="s">
        <v>725</v>
      </c>
      <c r="C64" s="82"/>
      <c r="D64" s="82"/>
      <c r="E64" s="82"/>
      <c r="F64" s="82"/>
      <c r="G64" s="82"/>
      <c r="H64" s="82"/>
      <c r="I64" s="82"/>
      <c r="J64" s="82"/>
      <c r="K64" s="82"/>
      <c r="L64" s="82"/>
      <c r="M64" s="79">
        <f t="shared" ref="M64:AV64" si="286">M36/I36-1</f>
        <v>-0.15309446254071657</v>
      </c>
      <c r="N64" s="79">
        <f t="shared" si="286"/>
        <v>-0.2484429065743945</v>
      </c>
      <c r="O64" s="79">
        <f t="shared" si="286"/>
        <v>7.901037509976061E-2</v>
      </c>
      <c r="P64" s="79">
        <f t="shared" si="286"/>
        <v>0.23515248796147681</v>
      </c>
      <c r="Q64" s="79">
        <f t="shared" si="286"/>
        <v>0.17692307692307696</v>
      </c>
      <c r="R64" s="79">
        <f t="shared" si="286"/>
        <v>0.20626151012891358</v>
      </c>
      <c r="S64" s="79">
        <f t="shared" si="286"/>
        <v>-0.2751479289940828</v>
      </c>
      <c r="T64" s="79">
        <f t="shared" si="286"/>
        <v>-0.35022742040285904</v>
      </c>
      <c r="U64" s="79">
        <f t="shared" si="286"/>
        <v>-0.30065359477124187</v>
      </c>
      <c r="V64" s="79">
        <f t="shared" si="286"/>
        <v>-0.2137404580152672</v>
      </c>
      <c r="W64" s="79">
        <f t="shared" si="286"/>
        <v>-8.1632653061224469E-2</v>
      </c>
      <c r="X64" s="79">
        <f t="shared" si="286"/>
        <v>0.12999999999999989</v>
      </c>
      <c r="Y64" s="79">
        <f t="shared" si="286"/>
        <v>1.8691588785046731E-2</v>
      </c>
      <c r="Z64" s="79">
        <f t="shared" si="286"/>
        <v>-4.8543689320388328E-2</v>
      </c>
      <c r="AA64" s="79">
        <f t="shared" si="286"/>
        <v>0.35555555555555562</v>
      </c>
      <c r="AB64" s="79">
        <f t="shared" si="286"/>
        <v>9.7345132743362761E-2</v>
      </c>
      <c r="AC64" s="79">
        <f t="shared" si="286"/>
        <v>-0.20183486238532111</v>
      </c>
      <c r="AD64" s="79">
        <f t="shared" si="286"/>
        <v>0.29591836734693877</v>
      </c>
      <c r="AE64" s="79">
        <f t="shared" si="286"/>
        <v>-0.37704918032786883</v>
      </c>
      <c r="AF64" s="79">
        <f t="shared" si="286"/>
        <v>-0.41935483870967738</v>
      </c>
      <c r="AG64" s="79">
        <f t="shared" si="286"/>
        <v>4.5977011494252817E-2</v>
      </c>
      <c r="AH64" s="79">
        <f t="shared" si="286"/>
        <v>-0.39370078740157477</v>
      </c>
      <c r="AI64" s="79">
        <f t="shared" si="286"/>
        <v>-7.8947368421052655E-2</v>
      </c>
      <c r="AJ64" s="79">
        <f t="shared" si="286"/>
        <v>9.7222222222222321E-2</v>
      </c>
      <c r="AK64" s="79">
        <f t="shared" si="286"/>
        <v>-0.1648351648351648</v>
      </c>
      <c r="AL64" s="79">
        <f t="shared" si="286"/>
        <v>-0.1428571428571429</v>
      </c>
      <c r="AM64" s="79">
        <f t="shared" si="286"/>
        <v>-8.5714285714285743E-2</v>
      </c>
      <c r="AN64" s="79">
        <f t="shared" si="286"/>
        <v>1.4177215189873418</v>
      </c>
      <c r="AO64" s="79">
        <f t="shared" si="286"/>
        <v>-0.25</v>
      </c>
      <c r="AP64" s="79">
        <f t="shared" si="286"/>
        <v>0.22727272727272729</v>
      </c>
      <c r="AQ64" s="79">
        <f t="shared" si="286"/>
        <v>0.375</v>
      </c>
      <c r="AR64" s="79">
        <f t="shared" si="286"/>
        <v>-0.59685863874345557</v>
      </c>
      <c r="AS64" s="79">
        <f t="shared" si="286"/>
        <v>0.35087719298245612</v>
      </c>
      <c r="AT64" s="79">
        <f t="shared" si="286"/>
        <v>-4.9382716049382713E-2</v>
      </c>
      <c r="AU64" s="79">
        <f t="shared" si="286"/>
        <v>-0.125</v>
      </c>
      <c r="AV64" s="79">
        <f t="shared" si="286"/>
        <v>2.948051948051948</v>
      </c>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c r="CL64" s="79"/>
      <c r="CM64" s="79"/>
      <c r="CN64" s="79"/>
      <c r="CO64" s="79"/>
      <c r="CP64" s="79"/>
      <c r="CQ64" s="79"/>
      <c r="CR64" s="79"/>
      <c r="CS64" s="72"/>
      <c r="CT64" s="79"/>
      <c r="CU64" s="79"/>
      <c r="CV64" s="79"/>
      <c r="CW64" s="79"/>
      <c r="CX64" s="82"/>
      <c r="CY64" s="79">
        <f>CY36/CX36-1</f>
        <v>-0.28808235909963364</v>
      </c>
      <c r="CZ64" s="79">
        <f>CZ36/CY36-1</f>
        <v>4.9019607843137081E-3</v>
      </c>
      <c r="DA64" s="79">
        <v>0</v>
      </c>
      <c r="DB64" s="79">
        <v>0</v>
      </c>
      <c r="DC64" s="79">
        <v>0.05</v>
      </c>
      <c r="DD64" s="79">
        <v>0.02</v>
      </c>
      <c r="DE64" s="79">
        <v>0.02</v>
      </c>
      <c r="DF64" s="79">
        <v>0.02</v>
      </c>
      <c r="DG64" s="79">
        <v>0.02</v>
      </c>
      <c r="DH64" s="79">
        <v>0.02</v>
      </c>
      <c r="DI64" s="79"/>
      <c r="DJ64" s="72"/>
      <c r="DK64" s="72"/>
      <c r="DL64" s="72"/>
      <c r="DM64" s="72"/>
      <c r="DN64" s="72"/>
      <c r="DO64" s="72"/>
      <c r="DP64" s="72"/>
      <c r="DQ64" s="72"/>
      <c r="DR64" s="72"/>
      <c r="DS64" s="72"/>
      <c r="DT64" s="72"/>
      <c r="DU64" s="72"/>
      <c r="DV64" s="72"/>
      <c r="DW64" s="92" t="s">
        <v>1113</v>
      </c>
      <c r="DX64" s="72"/>
    </row>
    <row r="65" spans="2:128" s="15" customFormat="1">
      <c r="B65" s="30" t="s">
        <v>1124</v>
      </c>
      <c r="C65" s="82"/>
      <c r="D65" s="82"/>
      <c r="E65" s="82"/>
      <c r="F65" s="82"/>
      <c r="G65" s="82"/>
      <c r="H65" s="82"/>
      <c r="I65" s="82"/>
      <c r="J65" s="82"/>
      <c r="K65" s="82"/>
      <c r="L65" s="82"/>
      <c r="M65" s="79"/>
      <c r="N65" s="79"/>
      <c r="O65" s="79"/>
      <c r="P65" s="79"/>
      <c r="Q65" s="79"/>
      <c r="R65" s="79"/>
      <c r="S65" s="79"/>
      <c r="T65" s="79"/>
      <c r="U65" s="79"/>
      <c r="V65" s="79"/>
      <c r="W65" s="79"/>
      <c r="X65" s="79"/>
      <c r="Y65" s="79"/>
      <c r="Z65" s="79"/>
      <c r="AA65" s="72"/>
      <c r="AB65" s="72"/>
      <c r="AC65" s="72"/>
      <c r="AD65" s="72"/>
      <c r="AE65" s="72"/>
      <c r="AF65" s="72"/>
      <c r="AG65" s="72"/>
      <c r="AH65" s="72"/>
      <c r="AI65" s="72"/>
      <c r="AJ65" s="72"/>
      <c r="AK65" s="72"/>
      <c r="AL65" s="72"/>
      <c r="AM65" s="72"/>
      <c r="AN65" s="72"/>
      <c r="AO65" s="72"/>
      <c r="AP65" s="72"/>
      <c r="AQ65" s="72"/>
      <c r="AR65" s="72"/>
      <c r="AS65" s="86">
        <f>+AS19/AO19-1</f>
        <v>3.9000000000000004</v>
      </c>
      <c r="AT65" s="86">
        <f>+AT19/AP19-1</f>
        <v>1.7000000000000002</v>
      </c>
      <c r="AU65" s="86">
        <f>+AU19/AQ19-1</f>
        <v>1.1851851851851851</v>
      </c>
      <c r="AV65" s="86">
        <f>+AV19/AR19-1</f>
        <v>1.7272727272727271</v>
      </c>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c r="CD65" s="72"/>
      <c r="CE65" s="72"/>
      <c r="CF65" s="62"/>
      <c r="CG65" s="62">
        <f t="shared" ref="CG65:CI65" si="287">+CG19/CC19-1</f>
        <v>0.14550641940085596</v>
      </c>
      <c r="CH65" s="62">
        <f t="shared" si="287"/>
        <v>0.16555407209612816</v>
      </c>
      <c r="CI65" s="62">
        <f t="shared" si="287"/>
        <v>0.12401055408970985</v>
      </c>
      <c r="CJ65" s="62">
        <f>+CJ19/CF19-1</f>
        <v>0.13267813267813278</v>
      </c>
      <c r="CK65" s="62">
        <f t="shared" ref="CK65:CP65" si="288">+CK19/CG19-1</f>
        <v>7.3474470734744779E-2</v>
      </c>
      <c r="CL65" s="62">
        <f t="shared" si="288"/>
        <v>0.13631156930125998</v>
      </c>
      <c r="CM65" s="62">
        <f t="shared" si="288"/>
        <v>9.000000000000008E-2</v>
      </c>
      <c r="CN65" s="62">
        <f t="shared" si="288"/>
        <v>9.000000000000008E-2</v>
      </c>
      <c r="CO65" s="62">
        <f t="shared" si="288"/>
        <v>9.000000000000008E-2</v>
      </c>
      <c r="CP65" s="62">
        <f t="shared" si="288"/>
        <v>9.000000000000008E-2</v>
      </c>
      <c r="CQ65" s="72"/>
      <c r="CR65" s="72"/>
      <c r="CS65" s="72"/>
      <c r="CT65" s="79"/>
      <c r="CU65" s="79"/>
      <c r="CV65" s="79"/>
      <c r="CW65" s="79"/>
      <c r="CX65" s="82"/>
      <c r="CY65" s="79"/>
      <c r="CZ65" s="79"/>
      <c r="DA65" s="79"/>
      <c r="DB65" s="79"/>
      <c r="DC65" s="79"/>
      <c r="DD65" s="79">
        <v>0.9</v>
      </c>
      <c r="DE65" s="79">
        <v>0.7</v>
      </c>
      <c r="DF65" s="79">
        <v>0.5</v>
      </c>
      <c r="DG65" s="79">
        <v>0.3</v>
      </c>
      <c r="DH65" s="79">
        <v>0.1</v>
      </c>
      <c r="DI65" s="79"/>
      <c r="DJ65" s="72"/>
      <c r="DK65" s="72"/>
      <c r="DL65" s="72"/>
      <c r="DM65" s="72"/>
      <c r="DN65" s="72"/>
      <c r="DO65" s="72"/>
      <c r="DP65" s="72"/>
      <c r="DQ65" s="72"/>
      <c r="DR65" s="72"/>
      <c r="DS65" s="72"/>
      <c r="DT65" s="72"/>
      <c r="DU65" s="72"/>
      <c r="DV65" s="72"/>
      <c r="DW65" s="37" t="s">
        <v>1115</v>
      </c>
      <c r="DX65" s="72"/>
    </row>
    <row r="66" spans="2:128" s="15" customFormat="1">
      <c r="B66" s="30" t="s">
        <v>949</v>
      </c>
      <c r="C66" s="82"/>
      <c r="D66" s="82"/>
      <c r="E66" s="82"/>
      <c r="F66" s="82"/>
      <c r="G66" s="82"/>
      <c r="H66" s="82"/>
      <c r="I66" s="82"/>
      <c r="J66" s="82"/>
      <c r="K66" s="82"/>
      <c r="L66" s="82"/>
      <c r="M66" s="79"/>
      <c r="N66" s="79"/>
      <c r="O66" s="79"/>
      <c r="P66" s="79"/>
      <c r="Q66" s="79"/>
      <c r="R66" s="79"/>
      <c r="S66" s="79"/>
      <c r="T66" s="79"/>
      <c r="U66" s="79"/>
      <c r="V66" s="79"/>
      <c r="W66" s="79"/>
      <c r="X66" s="79"/>
      <c r="Y66" s="79"/>
      <c r="Z66" s="79"/>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c r="CJ66" s="72"/>
      <c r="CK66" s="72"/>
      <c r="CL66" s="72"/>
      <c r="CM66" s="72"/>
      <c r="CN66" s="72"/>
      <c r="CO66" s="72"/>
      <c r="CP66" s="72"/>
      <c r="CQ66" s="72"/>
      <c r="CR66" s="72"/>
      <c r="CS66" s="72"/>
      <c r="CT66" s="79"/>
      <c r="CU66" s="79"/>
      <c r="CV66" s="79"/>
      <c r="CW66" s="79"/>
      <c r="CX66" s="82"/>
      <c r="CY66" s="79"/>
      <c r="CZ66" s="79"/>
      <c r="DA66" s="86">
        <f>DA18/CZ18-1</f>
        <v>3.3589743589743586</v>
      </c>
      <c r="DB66" s="79">
        <v>0.1</v>
      </c>
      <c r="DC66" s="79">
        <v>0.05</v>
      </c>
      <c r="DD66" s="79">
        <v>0.05</v>
      </c>
      <c r="DE66" s="79">
        <v>0.05</v>
      </c>
      <c r="DF66" s="79">
        <v>0.05</v>
      </c>
      <c r="DG66" s="79"/>
      <c r="DH66" s="79"/>
      <c r="DI66" s="79"/>
      <c r="DJ66" s="72"/>
      <c r="DK66" s="72"/>
      <c r="DL66" s="72"/>
      <c r="DM66" s="72"/>
      <c r="DN66" s="72"/>
      <c r="DO66" s="72"/>
      <c r="DP66" s="72"/>
      <c r="DQ66" s="72"/>
      <c r="DR66" s="72"/>
      <c r="DS66" s="72"/>
      <c r="DT66" s="72"/>
      <c r="DU66" s="72"/>
      <c r="DV66" s="72"/>
      <c r="DW66" s="37" t="s">
        <v>1116</v>
      </c>
      <c r="DX66" s="72"/>
    </row>
    <row r="67" spans="2:128" s="15" customFormat="1">
      <c r="B67" s="30" t="s">
        <v>1132</v>
      </c>
      <c r="C67" s="82"/>
      <c r="D67" s="82"/>
      <c r="E67" s="82"/>
      <c r="F67" s="82"/>
      <c r="G67" s="82"/>
      <c r="H67" s="82"/>
      <c r="I67" s="82"/>
      <c r="J67" s="82"/>
      <c r="K67" s="82"/>
      <c r="L67" s="82"/>
      <c r="M67" s="79"/>
      <c r="N67" s="79"/>
      <c r="O67" s="79"/>
      <c r="P67" s="79"/>
      <c r="Q67" s="79"/>
      <c r="R67" s="79"/>
      <c r="S67" s="79"/>
      <c r="T67" s="79"/>
      <c r="U67" s="79"/>
      <c r="V67" s="79"/>
      <c r="W67" s="79"/>
      <c r="X67" s="79"/>
      <c r="Y67" s="79"/>
      <c r="Z67" s="79"/>
      <c r="AA67" s="72"/>
      <c r="AB67" s="72"/>
      <c r="AC67" s="72"/>
      <c r="AD67" s="72"/>
      <c r="AE67" s="72"/>
      <c r="AF67" s="72"/>
      <c r="AG67" s="72"/>
      <c r="AH67" s="72"/>
      <c r="AI67" s="72"/>
      <c r="AJ67" s="72"/>
      <c r="AK67" s="72"/>
      <c r="AL67" s="72"/>
      <c r="AM67" s="72"/>
      <c r="AN67" s="72"/>
      <c r="AO67" s="72"/>
      <c r="AP67" s="72"/>
      <c r="AQ67" s="72"/>
      <c r="AR67" s="72"/>
      <c r="AS67" s="86"/>
      <c r="AT67" s="86">
        <f>+AT20/AP20-1</f>
        <v>9.375</v>
      </c>
      <c r="AU67" s="86">
        <f>+AU20/AQ20-1</f>
        <v>1.0952380952380953</v>
      </c>
      <c r="AV67" s="86">
        <f>+AV20/AR20-1</f>
        <v>1.452054794520548</v>
      </c>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62">
        <f t="shared" ref="CG67:CI67" si="289">+CG20/CC20-1</f>
        <v>7.4844074844074848E-2</v>
      </c>
      <c r="CH67" s="62">
        <f t="shared" si="289"/>
        <v>8.5657370517928211E-2</v>
      </c>
      <c r="CI67" s="62">
        <f t="shared" si="289"/>
        <v>7.2649572649572614E-2</v>
      </c>
      <c r="CJ67" s="62">
        <f>+CJ20/CF20-1</f>
        <v>9.2213114754098324E-2</v>
      </c>
      <c r="CK67" s="62">
        <f t="shared" ref="CK67:CP67" si="290">+CK20/CG20-1</f>
        <v>-4.2553191489361653E-2</v>
      </c>
      <c r="CL67" s="62">
        <f t="shared" si="290"/>
        <v>-0.11192660550458711</v>
      </c>
      <c r="CM67" s="62">
        <f t="shared" si="290"/>
        <v>5.0000000000000044E-2</v>
      </c>
      <c r="CN67" s="62">
        <f t="shared" si="290"/>
        <v>5.0000000000000044E-2</v>
      </c>
      <c r="CO67" s="62">
        <f t="shared" si="290"/>
        <v>5.0000000000000044E-2</v>
      </c>
      <c r="CP67" s="62">
        <f t="shared" si="290"/>
        <v>5.0000000000000044E-2</v>
      </c>
      <c r="CQ67" s="72"/>
      <c r="CR67" s="72"/>
      <c r="CS67" s="72"/>
      <c r="CT67" s="79"/>
      <c r="CU67" s="79"/>
      <c r="CV67" s="79"/>
      <c r="CW67" s="79"/>
      <c r="CX67" s="82"/>
      <c r="CY67" s="79"/>
      <c r="CZ67" s="79"/>
      <c r="DA67" s="79"/>
      <c r="DB67" s="79"/>
      <c r="DC67" s="79"/>
      <c r="DD67" s="79"/>
      <c r="DE67" s="79"/>
      <c r="DF67" s="79"/>
      <c r="DG67" s="79"/>
      <c r="DH67" s="79"/>
      <c r="DI67" s="79"/>
      <c r="DJ67" s="72"/>
      <c r="DK67" s="72"/>
      <c r="DL67" s="72"/>
      <c r="DM67" s="72"/>
      <c r="DN67" s="72"/>
      <c r="DO67" s="72"/>
      <c r="DP67" s="72"/>
      <c r="DQ67" s="72"/>
      <c r="DR67" s="72"/>
      <c r="DS67" s="72"/>
      <c r="DT67" s="72"/>
      <c r="DU67" s="72"/>
      <c r="DV67" s="72"/>
      <c r="DW67" s="37" t="s">
        <v>1117</v>
      </c>
      <c r="DX67" s="72"/>
    </row>
    <row r="68" spans="2:128" s="15" customFormat="1">
      <c r="B68" s="30" t="s">
        <v>27</v>
      </c>
      <c r="C68" s="82"/>
      <c r="D68" s="82"/>
      <c r="E68" s="82"/>
      <c r="F68" s="82"/>
      <c r="G68" s="82"/>
      <c r="H68" s="82"/>
      <c r="I68" s="82"/>
      <c r="J68" s="82"/>
      <c r="K68" s="82"/>
      <c r="L68" s="82"/>
      <c r="M68" s="79"/>
      <c r="N68" s="79"/>
      <c r="O68" s="79"/>
      <c r="P68" s="79"/>
      <c r="Q68" s="79"/>
      <c r="R68" s="79"/>
      <c r="S68" s="79"/>
      <c r="T68" s="86">
        <f t="shared" ref="T68:AV68" si="291">T16/P16-1</f>
        <v>10.612903225806452</v>
      </c>
      <c r="U68" s="86">
        <f t="shared" si="291"/>
        <v>3.2</v>
      </c>
      <c r="V68" s="86">
        <f t="shared" si="291"/>
        <v>1.6842105263157894</v>
      </c>
      <c r="W68" s="86">
        <f t="shared" si="291"/>
        <v>1.2592592592592591</v>
      </c>
      <c r="X68" s="86">
        <f t="shared" si="291"/>
        <v>1.1944444444444446</v>
      </c>
      <c r="Y68" s="79">
        <f t="shared" si="291"/>
        <v>0.97619047619047628</v>
      </c>
      <c r="Z68" s="79">
        <f t="shared" si="291"/>
        <v>0.92156862745098045</v>
      </c>
      <c r="AA68" s="79">
        <f t="shared" si="291"/>
        <v>0.72131147540983598</v>
      </c>
      <c r="AB68" s="79">
        <f t="shared" si="291"/>
        <v>0.36708860759493667</v>
      </c>
      <c r="AC68" s="79">
        <f t="shared" si="291"/>
        <v>0.46987951807228923</v>
      </c>
      <c r="AD68" s="79">
        <f t="shared" si="291"/>
        <v>0.30612244897959173</v>
      </c>
      <c r="AE68" s="79">
        <f t="shared" si="291"/>
        <v>0.26666666666666661</v>
      </c>
      <c r="AF68" s="79">
        <f t="shared" si="291"/>
        <v>0.38888888888888884</v>
      </c>
      <c r="AG68" s="79">
        <f t="shared" si="291"/>
        <v>0.31967213114754101</v>
      </c>
      <c r="AH68" s="79">
        <f t="shared" si="291"/>
        <v>0.1953125</v>
      </c>
      <c r="AI68" s="79">
        <f t="shared" si="291"/>
        <v>0.11278195488721798</v>
      </c>
      <c r="AJ68" s="79">
        <f t="shared" si="291"/>
        <v>0.11333333333333329</v>
      </c>
      <c r="AK68" s="79">
        <f t="shared" si="291"/>
        <v>2.4844720496894457E-2</v>
      </c>
      <c r="AL68" s="79">
        <f t="shared" si="291"/>
        <v>0.11764705882352944</v>
      </c>
      <c r="AM68" s="79">
        <f t="shared" si="291"/>
        <v>0.20945945945945943</v>
      </c>
      <c r="AN68" s="79">
        <f t="shared" si="291"/>
        <v>2.9940119760478945E-2</v>
      </c>
      <c r="AO68" s="79">
        <f t="shared" si="291"/>
        <v>6.0606060606060552E-2</v>
      </c>
      <c r="AP68" s="79">
        <f t="shared" si="291"/>
        <v>9.9415204678362512E-2</v>
      </c>
      <c r="AQ68" s="79">
        <f t="shared" si="291"/>
        <v>4.4692737430167551E-2</v>
      </c>
      <c r="AR68" s="79">
        <f t="shared" si="291"/>
        <v>0.15697674418604657</v>
      </c>
      <c r="AS68" s="79">
        <f t="shared" si="291"/>
        <v>0.13714285714285723</v>
      </c>
      <c r="AT68" s="79">
        <f t="shared" si="291"/>
        <v>5.8510638297872397E-2</v>
      </c>
      <c r="AU68" s="79">
        <f t="shared" si="291"/>
        <v>6.4171122994652441E-2</v>
      </c>
      <c r="AV68" s="79">
        <f t="shared" si="291"/>
        <v>0.16582914572864316</v>
      </c>
      <c r="AW68" s="79"/>
      <c r="AX68" s="79"/>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79"/>
      <c r="BW68" s="79"/>
      <c r="BX68" s="79"/>
      <c r="BY68" s="79"/>
      <c r="BZ68" s="79"/>
      <c r="CA68" s="79"/>
      <c r="CB68" s="79"/>
      <c r="CC68" s="79"/>
      <c r="CD68" s="79"/>
      <c r="CE68" s="79"/>
      <c r="CF68" s="79"/>
      <c r="CG68" s="79"/>
      <c r="CH68" s="79"/>
      <c r="CI68" s="79"/>
      <c r="CJ68" s="79"/>
      <c r="CK68" s="79"/>
      <c r="CL68" s="79"/>
      <c r="CM68" s="79"/>
      <c r="CN68" s="79"/>
      <c r="CO68" s="79"/>
      <c r="CP68" s="79"/>
      <c r="CQ68" s="79"/>
      <c r="CR68" s="79"/>
      <c r="CS68" s="72"/>
      <c r="CT68" s="79"/>
      <c r="CU68" s="79"/>
      <c r="CV68" s="79"/>
      <c r="CW68" s="79"/>
      <c r="CX68" s="82"/>
      <c r="CY68" s="79"/>
      <c r="CZ68" s="79"/>
      <c r="DA68" s="79">
        <f>DA16/CZ16-1</f>
        <v>0.44236760124610597</v>
      </c>
      <c r="DB68" s="79">
        <v>0.2</v>
      </c>
      <c r="DC68" s="79">
        <v>0.15</v>
      </c>
      <c r="DD68" s="79">
        <v>0.1</v>
      </c>
      <c r="DE68" s="79">
        <v>0.08</v>
      </c>
      <c r="DF68" s="79">
        <v>0.02</v>
      </c>
      <c r="DG68" s="79">
        <v>0</v>
      </c>
      <c r="DH68" s="79">
        <v>0</v>
      </c>
      <c r="DI68" s="79"/>
      <c r="DJ68" s="72"/>
      <c r="DK68" s="72"/>
      <c r="DL68" s="72"/>
      <c r="DM68" s="72"/>
      <c r="DN68" s="72"/>
      <c r="DO68" s="72"/>
      <c r="DP68" s="72"/>
      <c r="DQ68" s="72"/>
      <c r="DR68" s="72"/>
      <c r="DS68" s="72"/>
      <c r="DT68" s="72"/>
      <c r="DU68" s="72"/>
      <c r="DV68" s="72"/>
      <c r="DW68" s="37" t="s">
        <v>1118</v>
      </c>
      <c r="DX68" s="72"/>
    </row>
    <row r="69" spans="2:128" s="15" customFormat="1">
      <c r="B69" s="30" t="s">
        <v>285</v>
      </c>
      <c r="C69" s="82"/>
      <c r="D69" s="82"/>
      <c r="E69" s="82"/>
      <c r="F69" s="82"/>
      <c r="G69" s="82"/>
      <c r="H69" s="82"/>
      <c r="I69" s="82"/>
      <c r="J69" s="82"/>
      <c r="K69" s="82"/>
      <c r="L69" s="82"/>
      <c r="M69" s="79"/>
      <c r="N69" s="79"/>
      <c r="O69" s="79">
        <f t="shared" ref="O69:X70" si="292">O40/K40-1</f>
        <v>0.26727166276346592</v>
      </c>
      <c r="P69" s="79">
        <f t="shared" si="292"/>
        <v>0.19708788351534046</v>
      </c>
      <c r="Q69" s="79">
        <f t="shared" si="292"/>
        <v>0.23750000000000004</v>
      </c>
      <c r="R69" s="79">
        <f t="shared" si="292"/>
        <v>0.22877930476960384</v>
      </c>
      <c r="S69" s="79">
        <f t="shared" si="292"/>
        <v>0.20351120351120366</v>
      </c>
      <c r="T69" s="79">
        <f t="shared" si="292"/>
        <v>0.22502172024326672</v>
      </c>
      <c r="U69" s="79">
        <f t="shared" si="292"/>
        <v>0.12929292929292924</v>
      </c>
      <c r="V69" s="79">
        <f t="shared" si="292"/>
        <v>8.2236842105263053E-2</v>
      </c>
      <c r="W69" s="79">
        <f t="shared" si="292"/>
        <v>0.19769673704414581</v>
      </c>
      <c r="X69" s="79">
        <f t="shared" si="292"/>
        <v>0.29255319148936176</v>
      </c>
      <c r="Y69" s="79">
        <f t="shared" ref="Y69:AH70" si="293">Y40/U40-1</f>
        <v>0.49373881932021457</v>
      </c>
      <c r="Z69" s="79">
        <f t="shared" si="293"/>
        <v>0.5243161094224924</v>
      </c>
      <c r="AA69" s="79">
        <f t="shared" si="293"/>
        <v>0.28685897435897445</v>
      </c>
      <c r="AB69" s="79">
        <f t="shared" si="293"/>
        <v>6.5843621399176877E-2</v>
      </c>
      <c r="AC69" s="79">
        <f t="shared" si="293"/>
        <v>-0.16287425149700596</v>
      </c>
      <c r="AD69" s="79">
        <f t="shared" si="293"/>
        <v>-0.21734795613160518</v>
      </c>
      <c r="AE69" s="79">
        <f t="shared" si="293"/>
        <v>-0.17683686176836866</v>
      </c>
      <c r="AF69" s="79">
        <f t="shared" si="293"/>
        <v>2.5740025740026429E-3</v>
      </c>
      <c r="AG69" s="79">
        <f t="shared" si="293"/>
        <v>1.4306151645206988E-3</v>
      </c>
      <c r="AH69" s="79">
        <f t="shared" si="293"/>
        <v>-1.9108280254777066E-2</v>
      </c>
      <c r="AI69" s="79">
        <f t="shared" ref="AI69:AR70" si="294">AI40/AE40-1</f>
        <v>-8.4720121028744377E-2</v>
      </c>
      <c r="AJ69" s="79">
        <f t="shared" si="294"/>
        <v>-0.15661103979460844</v>
      </c>
      <c r="AK69" s="79">
        <f t="shared" si="294"/>
        <v>-0.12428571428571433</v>
      </c>
      <c r="AL69" s="79">
        <f t="shared" si="294"/>
        <v>0.12207792207792201</v>
      </c>
      <c r="AM69" s="79">
        <f t="shared" si="294"/>
        <v>1.983471074380172E-2</v>
      </c>
      <c r="AN69" s="79">
        <f t="shared" si="294"/>
        <v>-2.2831050228310557E-2</v>
      </c>
      <c r="AO69" s="79">
        <f t="shared" si="294"/>
        <v>0.12398042414355626</v>
      </c>
      <c r="AP69" s="79">
        <f t="shared" si="294"/>
        <v>-4.513888888888884E-2</v>
      </c>
      <c r="AQ69" s="79">
        <f t="shared" si="294"/>
        <v>0.13938411669367912</v>
      </c>
      <c r="AR69" s="79">
        <f t="shared" si="294"/>
        <v>0.25856697819314634</v>
      </c>
      <c r="AS69" s="79">
        <f t="shared" ref="AS69:AV70" si="295">AS40/AO40-1</f>
        <v>-1</v>
      </c>
      <c r="AT69" s="79">
        <f t="shared" si="295"/>
        <v>0</v>
      </c>
      <c r="AU69" s="79">
        <f t="shared" si="295"/>
        <v>-1</v>
      </c>
      <c r="AV69" s="79">
        <f t="shared" si="295"/>
        <v>2.2277227722772297E-2</v>
      </c>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c r="CA69" s="79"/>
      <c r="CB69" s="79"/>
      <c r="CC69" s="79"/>
      <c r="CD69" s="79"/>
      <c r="CE69" s="79"/>
      <c r="CF69" s="79"/>
      <c r="CG69" s="79"/>
      <c r="CH69" s="79"/>
      <c r="CI69" s="79"/>
      <c r="CJ69" s="79"/>
      <c r="CK69" s="79"/>
      <c r="CL69" s="79"/>
      <c r="CM69" s="79"/>
      <c r="CN69" s="79"/>
      <c r="CO69" s="79"/>
      <c r="CP69" s="79"/>
      <c r="CQ69" s="79"/>
      <c r="CR69" s="79"/>
      <c r="CS69" s="72"/>
      <c r="CT69" s="79"/>
      <c r="CU69" s="79"/>
      <c r="CV69" s="79"/>
      <c r="CW69" s="79"/>
      <c r="CX69" s="82"/>
      <c r="CY69" s="79">
        <f t="shared" ref="CY69:DH69" si="296">CY40/CX40-1</f>
        <v>0.15313329659870756</v>
      </c>
      <c r="CZ69" s="79">
        <f t="shared" si="296"/>
        <v>0.38618592528236317</v>
      </c>
      <c r="DA69" s="79">
        <f t="shared" si="296"/>
        <v>-3.9799435913506764E-2</v>
      </c>
      <c r="DB69" s="79">
        <f t="shared" si="296"/>
        <v>-5.0261096605744071E-2</v>
      </c>
      <c r="DC69" s="79">
        <f t="shared" si="296"/>
        <v>-5.8762886597938158E-2</v>
      </c>
      <c r="DD69" s="79">
        <f t="shared" si="296"/>
        <v>1.241328952172327E-2</v>
      </c>
      <c r="DE69" s="79">
        <f t="shared" si="296"/>
        <v>-0.15759105661738193</v>
      </c>
      <c r="DF69" s="79">
        <f t="shared" si="296"/>
        <v>-1</v>
      </c>
      <c r="DG69" s="79" t="e">
        <f t="shared" si="296"/>
        <v>#DIV/0!</v>
      </c>
      <c r="DH69" s="79" t="e">
        <f t="shared" si="296"/>
        <v>#DIV/0!</v>
      </c>
      <c r="DI69" s="79"/>
      <c r="DJ69" s="72"/>
      <c r="DK69" s="72"/>
      <c r="DL69" s="72"/>
      <c r="DM69" s="72"/>
      <c r="DN69" s="72"/>
      <c r="DO69" s="72"/>
      <c r="DP69" s="72"/>
      <c r="DQ69" s="72"/>
      <c r="DR69" s="72"/>
      <c r="DS69" s="72"/>
      <c r="DT69" s="72"/>
      <c r="DU69" s="72"/>
      <c r="DV69" s="72"/>
      <c r="DW69" s="72"/>
      <c r="DX69" s="72"/>
    </row>
    <row r="70" spans="2:128" s="30" customFormat="1">
      <c r="B70" s="30" t="s">
        <v>724</v>
      </c>
      <c r="C70" s="82"/>
      <c r="D70" s="82"/>
      <c r="E70" s="82"/>
      <c r="F70" s="82"/>
      <c r="G70" s="82"/>
      <c r="H70" s="82"/>
      <c r="I70" s="82"/>
      <c r="J70" s="82"/>
      <c r="K70" s="82"/>
      <c r="L70" s="82"/>
      <c r="M70" s="82"/>
      <c r="N70" s="82"/>
      <c r="O70" s="79">
        <f t="shared" si="292"/>
        <v>0.36545115783870119</v>
      </c>
      <c r="P70" s="79">
        <f t="shared" si="292"/>
        <v>0.34102857142857146</v>
      </c>
      <c r="Q70" s="79">
        <f t="shared" si="292"/>
        <v>0.35567890691716464</v>
      </c>
      <c r="R70" s="79">
        <f t="shared" si="292"/>
        <v>0.32886564236678661</v>
      </c>
      <c r="S70" s="79">
        <f t="shared" si="292"/>
        <v>0.12475633528265107</v>
      </c>
      <c r="T70" s="79">
        <f t="shared" si="292"/>
        <v>0.10107380262485077</v>
      </c>
      <c r="U70" s="79">
        <f t="shared" si="292"/>
        <v>3.3070866141732269E-2</v>
      </c>
      <c r="V70" s="79">
        <f t="shared" si="292"/>
        <v>0.12300123001230023</v>
      </c>
      <c r="W70" s="79">
        <f t="shared" si="292"/>
        <v>0.12998266897746968</v>
      </c>
      <c r="X70" s="79">
        <f t="shared" si="292"/>
        <v>0.23684210526315796</v>
      </c>
      <c r="Y70" s="79">
        <f t="shared" si="293"/>
        <v>0.19207317073170738</v>
      </c>
      <c r="Z70" s="79">
        <f t="shared" si="293"/>
        <v>9.6385542168674787E-2</v>
      </c>
      <c r="AA70" s="79">
        <f t="shared" si="293"/>
        <v>0.14723926380368102</v>
      </c>
      <c r="AB70" s="79">
        <f t="shared" si="293"/>
        <v>5.1314142678347885E-2</v>
      </c>
      <c r="AC70" s="79">
        <f t="shared" si="293"/>
        <v>2.8132992327365658E-2</v>
      </c>
      <c r="AD70" s="79">
        <f t="shared" si="293"/>
        <v>-1.098901098901095E-2</v>
      </c>
      <c r="AE70" s="79">
        <f t="shared" si="293"/>
        <v>0.15240641711229941</v>
      </c>
      <c r="AF70" s="79">
        <f t="shared" si="293"/>
        <v>6.4285714285714279E-2</v>
      </c>
      <c r="AG70" s="79">
        <f t="shared" si="293"/>
        <v>0.10696517412935314</v>
      </c>
      <c r="AH70" s="79">
        <f t="shared" si="293"/>
        <v>7.2727272727272751E-2</v>
      </c>
      <c r="AI70" s="79">
        <f t="shared" si="294"/>
        <v>-0.10208816705336432</v>
      </c>
      <c r="AJ70" s="79">
        <f t="shared" si="294"/>
        <v>-3.3557046979866278E-3</v>
      </c>
      <c r="AK70" s="79">
        <f t="shared" si="294"/>
        <v>2.5842696629213568E-2</v>
      </c>
      <c r="AL70" s="79">
        <f t="shared" si="294"/>
        <v>9.1337099811676037E-2</v>
      </c>
      <c r="AM70" s="79">
        <f t="shared" si="294"/>
        <v>0.12790697674418605</v>
      </c>
      <c r="AN70" s="79">
        <f t="shared" si="294"/>
        <v>8.6419753086419693E-2</v>
      </c>
      <c r="AO70" s="79">
        <f t="shared" si="294"/>
        <v>3.1763417305586072E-2</v>
      </c>
      <c r="AP70" s="79">
        <f t="shared" si="294"/>
        <v>-1.4667817083692802E-2</v>
      </c>
      <c r="AQ70" s="79">
        <f t="shared" si="294"/>
        <v>0.15807560137457055</v>
      </c>
      <c r="AR70" s="79">
        <f t="shared" si="294"/>
        <v>0.14772727272727271</v>
      </c>
      <c r="AS70" s="79">
        <f t="shared" si="295"/>
        <v>0</v>
      </c>
      <c r="AT70" s="79">
        <f t="shared" si="295"/>
        <v>0</v>
      </c>
      <c r="AU70" s="79">
        <f t="shared" si="295"/>
        <v>-1</v>
      </c>
      <c r="AV70" s="79">
        <f t="shared" si="295"/>
        <v>0.10531053105310528</v>
      </c>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79"/>
      <c r="CE70" s="79"/>
      <c r="CF70" s="79"/>
      <c r="CG70" s="79"/>
      <c r="CH70" s="79"/>
      <c r="CI70" s="79"/>
      <c r="CJ70" s="79"/>
      <c r="CK70" s="79"/>
      <c r="CL70" s="79"/>
      <c r="CM70" s="79"/>
      <c r="CN70" s="79"/>
      <c r="CO70" s="79"/>
      <c r="CP70" s="79"/>
      <c r="CQ70" s="79"/>
      <c r="CR70" s="79"/>
      <c r="CS70" s="82"/>
      <c r="CT70" s="79"/>
      <c r="CU70" s="79"/>
      <c r="CV70" s="79"/>
      <c r="CW70" s="79"/>
      <c r="CX70" s="79"/>
      <c r="CY70" s="79">
        <f t="shared" ref="CY70:DH70" si="297">CY41/CX41-1</f>
        <v>9.5890410958904271E-2</v>
      </c>
      <c r="CZ70" s="79">
        <f t="shared" si="297"/>
        <v>0.15830945558739251</v>
      </c>
      <c r="DA70" s="79">
        <f t="shared" si="297"/>
        <v>4.5763760049474245E-2</v>
      </c>
      <c r="DB70" s="79">
        <f t="shared" si="297"/>
        <v>9.6392667060910764E-2</v>
      </c>
      <c r="DC70" s="79">
        <f t="shared" si="297"/>
        <v>7.8209277238403541E-3</v>
      </c>
      <c r="DD70" s="79">
        <f t="shared" si="297"/>
        <v>5.030773347605022E-2</v>
      </c>
      <c r="DE70" s="79">
        <f t="shared" si="297"/>
        <v>7.1592356687897984E-2</v>
      </c>
      <c r="DF70" s="79">
        <f t="shared" si="297"/>
        <v>-0.31042113647170722</v>
      </c>
      <c r="DG70" s="79">
        <f t="shared" si="297"/>
        <v>9.0923406048341482E-2</v>
      </c>
      <c r="DH70" s="79">
        <f t="shared" si="297"/>
        <v>-1.0999276550868742E-2</v>
      </c>
      <c r="DI70" s="79"/>
      <c r="DJ70" s="82"/>
      <c r="DK70" s="82"/>
      <c r="DL70" s="82"/>
      <c r="DM70" s="82"/>
      <c r="DN70" s="82"/>
      <c r="DO70" s="82"/>
      <c r="DP70" s="82"/>
      <c r="DQ70" s="82"/>
      <c r="DR70" s="82"/>
      <c r="DS70" s="82"/>
      <c r="DT70" s="82"/>
      <c r="DU70" s="82"/>
      <c r="DV70" s="82"/>
      <c r="DW70" s="82"/>
      <c r="DX70" s="82"/>
    </row>
    <row r="71" spans="2:128" s="31" customFormat="1">
      <c r="B71" s="35" t="s">
        <v>315</v>
      </c>
      <c r="C71" s="83"/>
      <c r="D71" s="83"/>
      <c r="E71" s="83"/>
      <c r="F71" s="83"/>
      <c r="G71" s="83"/>
      <c r="H71" s="83"/>
      <c r="I71" s="83"/>
      <c r="J71" s="83"/>
      <c r="K71" s="83"/>
      <c r="L71" s="83"/>
      <c r="M71" s="83"/>
      <c r="N71" s="83"/>
      <c r="O71" s="84">
        <f t="shared" ref="O71:AV71" si="298">O48/K48-1</f>
        <v>0.36147677969895819</v>
      </c>
      <c r="P71" s="84">
        <f t="shared" si="298"/>
        <v>0.26366592863905236</v>
      </c>
      <c r="Q71" s="84">
        <f t="shared" si="298"/>
        <v>0.19920583406513725</v>
      </c>
      <c r="R71" s="84">
        <f t="shared" si="298"/>
        <v>0.25649748940883166</v>
      </c>
      <c r="S71" s="84">
        <f t="shared" si="298"/>
        <v>0.26098805716094198</v>
      </c>
      <c r="T71" s="84">
        <f t="shared" si="298"/>
        <v>0.42989635090305955</v>
      </c>
      <c r="U71" s="84">
        <f t="shared" si="298"/>
        <v>0.34436590760448138</v>
      </c>
      <c r="V71" s="84">
        <f t="shared" si="298"/>
        <v>0.29504888391944051</v>
      </c>
      <c r="W71" s="84">
        <f t="shared" si="298"/>
        <v>0.26615353345172132</v>
      </c>
      <c r="X71" s="84">
        <f t="shared" si="298"/>
        <v>0.18401716796132006</v>
      </c>
      <c r="Y71" s="84">
        <f t="shared" si="298"/>
        <v>0.22042568681954688</v>
      </c>
      <c r="Z71" s="84">
        <f t="shared" si="298"/>
        <v>0.20834556126192205</v>
      </c>
      <c r="AA71" s="84">
        <f t="shared" si="298"/>
        <v>0.19483373786783953</v>
      </c>
      <c r="AB71" s="84">
        <f t="shared" si="298"/>
        <v>6.8629204160169266E-2</v>
      </c>
      <c r="AC71" s="84">
        <f t="shared" si="298"/>
        <v>4.0180473781186832E-2</v>
      </c>
      <c r="AD71" s="84">
        <f t="shared" si="298"/>
        <v>0.10544247098905291</v>
      </c>
      <c r="AE71" s="84">
        <f t="shared" si="298"/>
        <v>3.025902697084959E-2</v>
      </c>
      <c r="AF71" s="84">
        <f t="shared" si="298"/>
        <v>2.3290879812619014E-2</v>
      </c>
      <c r="AG71" s="84">
        <f t="shared" si="298"/>
        <v>0.13462529562220249</v>
      </c>
      <c r="AH71" s="84">
        <f t="shared" si="298"/>
        <v>6.229902422797573E-2</v>
      </c>
      <c r="AI71" s="84">
        <f t="shared" si="298"/>
        <v>-3.2576286591516235E-2</v>
      </c>
      <c r="AJ71" s="84">
        <f t="shared" si="298"/>
        <v>0.12840702604482113</v>
      </c>
      <c r="AK71" s="84">
        <f t="shared" si="298"/>
        <v>0.20829102606726635</v>
      </c>
      <c r="AL71" s="84">
        <f t="shared" si="298"/>
        <v>-6.6136961444867026E-3</v>
      </c>
      <c r="AM71" s="84">
        <f t="shared" si="298"/>
        <v>0.20141158183921348</v>
      </c>
      <c r="AN71" s="84">
        <f t="shared" si="298"/>
        <v>6.6000740621172227E-2</v>
      </c>
      <c r="AO71" s="84">
        <f t="shared" si="298"/>
        <v>-8.1998005911049332E-2</v>
      </c>
      <c r="AP71" s="84">
        <f t="shared" si="298"/>
        <v>0.10793754776722353</v>
      </c>
      <c r="AQ71" s="84">
        <f t="shared" si="298"/>
        <v>3.138712782553843E-2</v>
      </c>
      <c r="AR71" s="84">
        <f t="shared" si="298"/>
        <v>-2.9067795789046169E-3</v>
      </c>
      <c r="AS71" s="84">
        <f t="shared" si="298"/>
        <v>0.46849687281361962</v>
      </c>
      <c r="AT71" s="84">
        <f t="shared" si="298"/>
        <v>-5.6697867020254367E-2</v>
      </c>
      <c r="AU71" s="84">
        <f t="shared" si="298"/>
        <v>-1</v>
      </c>
      <c r="AV71" s="84">
        <f t="shared" si="298"/>
        <v>0.24368004693785217</v>
      </c>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4"/>
      <c r="CJ71" s="84"/>
      <c r="CK71" s="84"/>
      <c r="CL71" s="84"/>
      <c r="CM71" s="84"/>
      <c r="CN71" s="84"/>
      <c r="CO71" s="84"/>
      <c r="CP71" s="84"/>
      <c r="CQ71" s="84"/>
      <c r="CR71" s="84"/>
      <c r="CS71" s="85"/>
      <c r="CT71" s="84"/>
      <c r="CU71" s="84"/>
      <c r="CV71" s="84"/>
      <c r="CW71" s="84"/>
      <c r="CX71" s="84">
        <f t="shared" ref="CX71:DH71" si="299">CX48/CW48-1</f>
        <v>0.26227331912878804</v>
      </c>
      <c r="CY71" s="84">
        <f t="shared" si="299"/>
        <v>0.33203283397740702</v>
      </c>
      <c r="CZ71" s="84">
        <f t="shared" si="299"/>
        <v>0.21813114811207313</v>
      </c>
      <c r="DA71" s="84">
        <f t="shared" si="299"/>
        <v>0.11102054056558952</v>
      </c>
      <c r="DB71" s="84">
        <f t="shared" si="299"/>
        <v>5.1191925834915386E-2</v>
      </c>
      <c r="DC71" s="84">
        <f t="shared" si="299"/>
        <v>-2.884494008493832E-2</v>
      </c>
      <c r="DD71" s="84">
        <f t="shared" si="299"/>
        <v>0.17834468950199178</v>
      </c>
      <c r="DE71" s="84">
        <f t="shared" si="299"/>
        <v>9.8012030761164937E-2</v>
      </c>
      <c r="DF71" s="84">
        <f t="shared" si="299"/>
        <v>0.38470214727242302</v>
      </c>
      <c r="DG71" s="84">
        <f t="shared" si="299"/>
        <v>7.5308909389051104E-2</v>
      </c>
      <c r="DH71" s="84">
        <f t="shared" si="299"/>
        <v>-5.0852734997906324E-2</v>
      </c>
      <c r="DI71" s="84"/>
      <c r="DJ71" s="85"/>
      <c r="DK71" s="85"/>
      <c r="DL71" s="85"/>
      <c r="DM71" s="85"/>
      <c r="DN71" s="85"/>
      <c r="DO71" s="85"/>
      <c r="DP71" s="85"/>
      <c r="DQ71" s="85"/>
      <c r="DR71" s="85"/>
      <c r="DS71" s="85"/>
      <c r="DT71" s="85"/>
      <c r="DU71" s="85"/>
      <c r="DV71" s="85"/>
      <c r="DW71" s="85"/>
      <c r="DX71" s="85"/>
    </row>
    <row r="73" spans="2:128">
      <c r="B73" s="4" t="s">
        <v>458</v>
      </c>
      <c r="X73" s="67">
        <v>965</v>
      </c>
    </row>
    <row r="74" spans="2:128">
      <c r="B74" s="4" t="s">
        <v>459</v>
      </c>
      <c r="X74" s="67">
        <v>634</v>
      </c>
    </row>
    <row r="75" spans="2:128">
      <c r="B75" s="4" t="s">
        <v>460</v>
      </c>
      <c r="X75" s="67">
        <v>668</v>
      </c>
    </row>
    <row r="76" spans="2:128">
      <c r="B76" s="4" t="s">
        <v>461</v>
      </c>
      <c r="X76" s="67">
        <v>302</v>
      </c>
    </row>
    <row r="77" spans="2:128">
      <c r="B77" s="4" t="s">
        <v>771</v>
      </c>
      <c r="X77" s="67">
        <v>694</v>
      </c>
    </row>
    <row r="78" spans="2:128">
      <c r="B78" s="4" t="s">
        <v>472</v>
      </c>
      <c r="X78" s="71">
        <v>3470</v>
      </c>
      <c r="AN78" s="67">
        <v>3740.5</v>
      </c>
    </row>
    <row r="79" spans="2:128">
      <c r="B79" s="4" t="s">
        <v>473</v>
      </c>
      <c r="X79" s="62">
        <v>0.84</v>
      </c>
    </row>
    <row r="80" spans="2:128">
      <c r="B80" s="4" t="s">
        <v>606</v>
      </c>
      <c r="X80" s="71">
        <v>721</v>
      </c>
    </row>
    <row r="81" spans="2:133">
      <c r="B81" s="4" t="s">
        <v>607</v>
      </c>
      <c r="X81" s="71">
        <v>708</v>
      </c>
    </row>
    <row r="82" spans="2:133">
      <c r="B82" s="4" t="s">
        <v>608</v>
      </c>
      <c r="X82" s="62">
        <v>0.24</v>
      </c>
    </row>
    <row r="83" spans="2:133">
      <c r="B83" s="4" t="s">
        <v>1046</v>
      </c>
      <c r="X83" s="71">
        <v>0.91</v>
      </c>
    </row>
    <row r="84" spans="2:133">
      <c r="B84" s="4" t="s">
        <v>1047</v>
      </c>
      <c r="X84" s="71">
        <v>0.94</v>
      </c>
    </row>
    <row r="86" spans="2:133">
      <c r="B86" s="4" t="s">
        <v>380</v>
      </c>
      <c r="F86" s="67">
        <f>F87+F88-F101-F104-F105</f>
        <v>2339.2999999999997</v>
      </c>
      <c r="I86" s="67">
        <f t="shared" ref="I86:AB86" si="300">I87+I88-I101-I104-I105</f>
        <v>879.5</v>
      </c>
      <c r="J86" s="67">
        <f t="shared" si="300"/>
        <v>1616.1999999999998</v>
      </c>
      <c r="K86" s="67">
        <f t="shared" si="300"/>
        <v>1701.3000000000002</v>
      </c>
      <c r="L86" s="67">
        <f t="shared" si="300"/>
        <v>1493.3000000000002</v>
      </c>
      <c r="M86" s="67">
        <f t="shared" si="300"/>
        <v>1953.1999999999998</v>
      </c>
      <c r="N86" s="67">
        <f t="shared" si="300"/>
        <v>2043</v>
      </c>
      <c r="O86" s="67">
        <f t="shared" si="300"/>
        <v>1421.5000000000005</v>
      </c>
      <c r="P86" s="67">
        <f t="shared" si="300"/>
        <v>1166.1000000000004</v>
      </c>
      <c r="Q86" s="67">
        <f t="shared" si="300"/>
        <v>734</v>
      </c>
      <c r="R86" s="67">
        <f t="shared" si="300"/>
        <v>698</v>
      </c>
      <c r="S86" s="67">
        <f t="shared" si="300"/>
        <v>93</v>
      </c>
      <c r="T86" s="67">
        <f t="shared" si="300"/>
        <v>493</v>
      </c>
      <c r="U86" s="67">
        <f t="shared" si="300"/>
        <v>1599</v>
      </c>
      <c r="V86" s="67">
        <f t="shared" si="300"/>
        <v>1298</v>
      </c>
      <c r="W86" s="67">
        <f t="shared" si="300"/>
        <v>-1814</v>
      </c>
      <c r="X86" s="67">
        <f t="shared" si="300"/>
        <v>-4030</v>
      </c>
      <c r="Y86" s="67">
        <f t="shared" si="300"/>
        <v>-3225</v>
      </c>
      <c r="Z86" s="67">
        <f t="shared" si="300"/>
        <v>-2735</v>
      </c>
      <c r="AA86" s="67">
        <f t="shared" si="300"/>
        <v>-2477</v>
      </c>
      <c r="AB86" s="67">
        <f t="shared" si="300"/>
        <v>-5906</v>
      </c>
      <c r="AG86" s="67">
        <v>-1419</v>
      </c>
      <c r="AH86" s="67">
        <f>AG86+AH47</f>
        <v>-295</v>
      </c>
      <c r="AI86" s="67"/>
      <c r="AJ86" s="67"/>
      <c r="AK86" s="67"/>
      <c r="AL86" s="67"/>
      <c r="AM86" s="67"/>
      <c r="AN86" s="67"/>
      <c r="AO86" s="67"/>
      <c r="AP86" s="67"/>
      <c r="AQ86" s="67"/>
      <c r="AR86" s="67"/>
      <c r="AS86" s="67"/>
      <c r="AT86" s="67"/>
      <c r="AU86" s="67"/>
      <c r="AV86" s="67"/>
      <c r="AW86" s="67"/>
      <c r="AX86" s="67"/>
      <c r="AY86" s="67"/>
      <c r="AZ86" s="67"/>
      <c r="BA86" s="67"/>
      <c r="BB86" s="67"/>
      <c r="BC86" s="67"/>
      <c r="BD86" s="67"/>
      <c r="BE86" s="67"/>
      <c r="BF86" s="67"/>
      <c r="BG86" s="67"/>
      <c r="BH86" s="67"/>
      <c r="BI86" s="67"/>
      <c r="BJ86" s="67"/>
      <c r="BK86" s="67"/>
      <c r="BL86" s="67"/>
      <c r="BM86" s="67"/>
      <c r="BN86" s="67"/>
      <c r="BO86" s="67"/>
      <c r="BP86" s="67"/>
      <c r="BQ86" s="67"/>
      <c r="BR86" s="67"/>
      <c r="BS86" s="67"/>
      <c r="BT86" s="67"/>
      <c r="BU86" s="67"/>
      <c r="BV86" s="67"/>
      <c r="BW86" s="67"/>
      <c r="BX86" s="67"/>
      <c r="BY86" s="67"/>
      <c r="BZ86" s="67"/>
      <c r="CA86" s="67"/>
      <c r="CB86" s="67"/>
      <c r="CC86" s="67"/>
      <c r="CD86" s="67"/>
      <c r="CE86" s="67"/>
      <c r="CF86" s="67"/>
      <c r="CG86" s="67"/>
      <c r="CH86" s="67"/>
      <c r="CI86" s="67"/>
      <c r="CJ86" s="67"/>
      <c r="CK86" s="67"/>
      <c r="CL86" s="67"/>
      <c r="CM86" s="67"/>
      <c r="CN86" s="67"/>
      <c r="CO86" s="67"/>
      <c r="CP86" s="67"/>
      <c r="CQ86" s="67"/>
      <c r="CR86" s="67"/>
      <c r="DB86" s="67">
        <f>AH86</f>
        <v>-295</v>
      </c>
      <c r="DC86" s="67">
        <f t="shared" ref="DC86:DM86" si="301">DB86+DC47</f>
        <v>4404.91</v>
      </c>
      <c r="DD86" s="67">
        <f t="shared" si="301"/>
        <v>9428.91</v>
      </c>
      <c r="DE86" s="67">
        <f t="shared" si="301"/>
        <v>14776.685999999998</v>
      </c>
      <c r="DF86" s="67">
        <f t="shared" si="301"/>
        <v>22102.606556399995</v>
      </c>
      <c r="DG86" s="67">
        <f t="shared" si="301"/>
        <v>29895.116667555551</v>
      </c>
      <c r="DH86" s="67">
        <f t="shared" si="301"/>
        <v>37210.56725377214</v>
      </c>
      <c r="DI86" s="67">
        <f t="shared" si="301"/>
        <v>44029.498636254291</v>
      </c>
      <c r="DJ86" s="67">
        <f t="shared" si="301"/>
        <v>50751.377990752146</v>
      </c>
      <c r="DK86" s="67">
        <f t="shared" si="301"/>
        <v>49220.044566822922</v>
      </c>
      <c r="DL86" s="67">
        <f t="shared" si="301"/>
        <v>49220.044566822922</v>
      </c>
      <c r="DM86" s="67">
        <f t="shared" si="301"/>
        <v>49220.044566822922</v>
      </c>
      <c r="DS86" s="71">
        <v>0</v>
      </c>
      <c r="DT86" s="67">
        <f>+DS86+DT47</f>
        <v>19368.70500136265</v>
      </c>
      <c r="DU86" s="67">
        <f>+DT86+DU47</f>
        <v>39183.35480598807</v>
      </c>
      <c r="DV86" s="67">
        <f t="shared" ref="DV86:EC86" si="302">+DU86+DV47</f>
        <v>58829.379950240145</v>
      </c>
      <c r="DW86" s="67">
        <f t="shared" si="302"/>
        <v>77894.647767289382</v>
      </c>
      <c r="DX86" s="67">
        <f t="shared" si="302"/>
        <v>93763.344089829305</v>
      </c>
      <c r="DY86" s="67">
        <f t="shared" si="302"/>
        <v>108188.35139737386</v>
      </c>
      <c r="DZ86" s="67">
        <f t="shared" si="302"/>
        <v>121940.22723596339</v>
      </c>
      <c r="EA86" s="67">
        <f t="shared" si="302"/>
        <v>135448.76980276432</v>
      </c>
      <c r="EB86" s="67">
        <f t="shared" si="302"/>
        <v>148944.8720060334</v>
      </c>
      <c r="EC86" s="67">
        <f t="shared" si="302"/>
        <v>158398.62152610443</v>
      </c>
    </row>
    <row r="87" spans="2:133">
      <c r="B87" s="4" t="s">
        <v>62</v>
      </c>
      <c r="F87" s="67">
        <v>689.1</v>
      </c>
      <c r="I87" s="67">
        <v>1158.7</v>
      </c>
      <c r="J87" s="67">
        <v>4663.8999999999996</v>
      </c>
      <c r="K87" s="67">
        <v>4757</v>
      </c>
      <c r="L87" s="67">
        <v>1851.7</v>
      </c>
      <c r="M87" s="67">
        <v>5025</v>
      </c>
      <c r="N87" s="67">
        <v>5123</v>
      </c>
      <c r="O87" s="67">
        <v>4509.1000000000004</v>
      </c>
      <c r="P87" s="67">
        <f>4261.8</f>
        <v>4261.8</v>
      </c>
      <c r="Q87" s="67">
        <v>986</v>
      </c>
      <c r="R87" s="67">
        <v>1526</v>
      </c>
      <c r="S87" s="67">
        <v>1183</v>
      </c>
      <c r="T87" s="67">
        <v>1621</v>
      </c>
      <c r="U87" s="67">
        <v>2151</v>
      </c>
      <c r="V87" s="67">
        <v>1840</v>
      </c>
      <c r="W87" s="67">
        <f>1747+2100</f>
        <v>3847</v>
      </c>
      <c r="X87" s="67">
        <v>1947</v>
      </c>
      <c r="Y87" s="67">
        <v>1291</v>
      </c>
      <c r="Z87" s="67">
        <v>1283</v>
      </c>
      <c r="AA87" s="67">
        <v>1067</v>
      </c>
      <c r="AB87" s="67">
        <v>5306</v>
      </c>
      <c r="AM87" s="67">
        <v>2266</v>
      </c>
    </row>
    <row r="88" spans="2:133">
      <c r="B88" s="4" t="s">
        <v>63</v>
      </c>
      <c r="F88" s="67">
        <v>1973.1</v>
      </c>
      <c r="I88" s="67">
        <v>2883.5</v>
      </c>
      <c r="J88" s="67"/>
      <c r="K88" s="67"/>
      <c r="L88" s="67">
        <v>2812.2</v>
      </c>
      <c r="M88" s="67"/>
      <c r="N88" s="67"/>
      <c r="O88" s="67"/>
      <c r="P88" s="67"/>
      <c r="Q88" s="67">
        <v>2852</v>
      </c>
      <c r="R88" s="67">
        <v>4282</v>
      </c>
      <c r="S88" s="67">
        <v>2852</v>
      </c>
      <c r="T88" s="67">
        <v>2819</v>
      </c>
      <c r="U88" s="67">
        <v>3400</v>
      </c>
      <c r="V88" s="67">
        <v>3415</v>
      </c>
      <c r="W88" s="67">
        <v>3300</v>
      </c>
      <c r="X88" s="67">
        <v>3023</v>
      </c>
      <c r="Y88" s="67">
        <v>4490</v>
      </c>
      <c r="Z88" s="67">
        <v>4994</v>
      </c>
      <c r="AA88" s="67">
        <v>3770</v>
      </c>
      <c r="AM88" s="67">
        <v>11851</v>
      </c>
    </row>
    <row r="89" spans="2:133">
      <c r="B89" s="4" t="s">
        <v>64</v>
      </c>
      <c r="F89" s="67">
        <v>497.2</v>
      </c>
      <c r="I89" s="67">
        <v>622.20000000000005</v>
      </c>
      <c r="J89" s="67">
        <v>752.4</v>
      </c>
      <c r="K89" s="67">
        <v>845.2</v>
      </c>
      <c r="L89" s="67">
        <v>752.4</v>
      </c>
      <c r="M89" s="67">
        <v>1001.4</v>
      </c>
      <c r="N89" s="67">
        <v>1008</v>
      </c>
      <c r="O89" s="67">
        <v>1195.2</v>
      </c>
      <c r="P89" s="67">
        <v>1281.2</v>
      </c>
      <c r="Q89" s="67">
        <v>1413</v>
      </c>
      <c r="R89" s="67">
        <v>1461</v>
      </c>
      <c r="S89" s="67">
        <v>1584</v>
      </c>
      <c r="T89" s="67">
        <v>1707</v>
      </c>
      <c r="U89" s="67">
        <v>1664</v>
      </c>
      <c r="V89" s="67">
        <v>1769</v>
      </c>
      <c r="W89" s="67">
        <v>1794</v>
      </c>
      <c r="X89" s="67">
        <v>2018</v>
      </c>
      <c r="Y89" s="67">
        <v>2124</v>
      </c>
      <c r="Z89" s="67">
        <v>2124</v>
      </c>
      <c r="AA89" s="67">
        <v>2157</v>
      </c>
      <c r="AM89" s="67">
        <v>2271</v>
      </c>
    </row>
    <row r="90" spans="2:133" s="14" customFormat="1">
      <c r="B90" s="14" t="s">
        <v>371</v>
      </c>
      <c r="C90" s="89"/>
      <c r="D90" s="89"/>
      <c r="E90" s="89"/>
      <c r="F90" s="75">
        <f>(F89/F37)*91.25</f>
        <v>47.161642411642411</v>
      </c>
      <c r="G90" s="89"/>
      <c r="H90" s="89"/>
      <c r="I90" s="75">
        <f t="shared" ref="I90:AA90" si="303">(I89/I37)*91.25</f>
        <v>37.868171813512973</v>
      </c>
      <c r="J90" s="75">
        <f t="shared" si="303"/>
        <v>38.874639035162218</v>
      </c>
      <c r="K90" s="75">
        <f t="shared" si="303"/>
        <v>43.788394935558969</v>
      </c>
      <c r="L90" s="75">
        <f t="shared" si="303"/>
        <v>33.637009455685664</v>
      </c>
      <c r="M90" s="75">
        <f t="shared" si="303"/>
        <v>41.381102255230509</v>
      </c>
      <c r="N90" s="75">
        <f t="shared" si="303"/>
        <v>39.197136282280752</v>
      </c>
      <c r="O90" s="75">
        <f t="shared" si="303"/>
        <v>46.550002134107309</v>
      </c>
      <c r="P90" s="75">
        <f t="shared" si="303"/>
        <v>45.233111506616112</v>
      </c>
      <c r="Q90" s="75">
        <f t="shared" si="303"/>
        <v>47.525340950976783</v>
      </c>
      <c r="R90" s="75">
        <f t="shared" si="303"/>
        <v>45.828893090409075</v>
      </c>
      <c r="S90" s="75">
        <f t="shared" si="303"/>
        <v>51.020120014119314</v>
      </c>
      <c r="T90" s="75">
        <f t="shared" si="303"/>
        <v>49.105848045397231</v>
      </c>
      <c r="U90" s="75">
        <f t="shared" si="303"/>
        <v>48.142041851616987</v>
      </c>
      <c r="V90" s="75">
        <f t="shared" si="303"/>
        <v>49.34920513604402</v>
      </c>
      <c r="W90" s="75">
        <f t="shared" si="303"/>
        <v>50.886695679204223</v>
      </c>
      <c r="X90" s="75">
        <f t="shared" si="303"/>
        <v>51.093923418423977</v>
      </c>
      <c r="Y90" s="75">
        <f t="shared" si="303"/>
        <v>53.658637873754152</v>
      </c>
      <c r="Z90" s="75">
        <f t="shared" si="303"/>
        <v>50.53846153846154</v>
      </c>
      <c r="AA90" s="75">
        <f t="shared" si="303"/>
        <v>53.383848657445078</v>
      </c>
      <c r="AB90" s="89"/>
      <c r="AC90" s="89"/>
      <c r="AD90" s="89"/>
      <c r="AE90" s="89"/>
      <c r="AF90" s="89"/>
      <c r="AG90" s="89"/>
      <c r="AH90" s="89"/>
      <c r="AI90" s="89"/>
      <c r="AJ90" s="89"/>
      <c r="AK90" s="89"/>
      <c r="AL90" s="89"/>
      <c r="AM90" s="75">
        <f>(AM89/AM37)*91.25</f>
        <v>57.691745545657014</v>
      </c>
      <c r="AN90" s="89"/>
      <c r="AO90" s="89"/>
      <c r="AP90" s="89"/>
      <c r="AQ90" s="89"/>
      <c r="AR90" s="89"/>
      <c r="AS90" s="89"/>
      <c r="AT90" s="89"/>
      <c r="AU90" s="89"/>
      <c r="AV90" s="89"/>
      <c r="AW90" s="89"/>
      <c r="AX90" s="89"/>
      <c r="AY90" s="89"/>
      <c r="AZ90" s="89"/>
      <c r="BA90" s="89"/>
      <c r="BB90" s="89"/>
      <c r="BC90" s="89"/>
      <c r="BD90" s="89"/>
      <c r="BE90" s="89"/>
      <c r="BF90" s="89"/>
      <c r="BG90" s="89"/>
      <c r="BH90" s="89"/>
      <c r="BI90" s="89"/>
      <c r="BJ90" s="89"/>
      <c r="BK90" s="89"/>
      <c r="BL90" s="89"/>
      <c r="BM90" s="89"/>
      <c r="BN90" s="89"/>
      <c r="BO90" s="89"/>
      <c r="BP90" s="89"/>
      <c r="BQ90" s="89"/>
      <c r="BR90" s="89"/>
      <c r="BS90" s="89"/>
      <c r="BT90" s="89"/>
      <c r="BU90" s="89"/>
      <c r="BV90" s="89"/>
      <c r="BW90" s="89"/>
      <c r="BX90" s="89"/>
      <c r="BY90" s="89"/>
      <c r="BZ90" s="89"/>
      <c r="CA90" s="89"/>
      <c r="CB90" s="89"/>
      <c r="CC90" s="89"/>
      <c r="CD90" s="89"/>
      <c r="CE90" s="89"/>
      <c r="CF90" s="89"/>
      <c r="CG90" s="89"/>
      <c r="CH90" s="89"/>
      <c r="CI90" s="89"/>
      <c r="CJ90" s="89"/>
      <c r="CK90" s="89"/>
      <c r="CL90" s="89"/>
      <c r="CM90" s="89"/>
      <c r="CN90" s="89"/>
      <c r="CO90" s="89"/>
      <c r="CP90" s="89"/>
      <c r="CQ90" s="89"/>
      <c r="CR90" s="89"/>
      <c r="CS90" s="89"/>
      <c r="CT90" s="89"/>
      <c r="CU90" s="89"/>
      <c r="CV90" s="89"/>
      <c r="CW90" s="89"/>
      <c r="CX90" s="89"/>
      <c r="CY90" s="89"/>
      <c r="CZ90" s="89"/>
      <c r="DA90" s="89"/>
      <c r="DB90" s="89"/>
      <c r="DC90" s="89"/>
      <c r="DD90" s="89"/>
      <c r="DE90" s="89"/>
      <c r="DF90" s="89"/>
      <c r="DG90" s="89"/>
      <c r="DH90" s="89"/>
      <c r="DI90" s="89"/>
      <c r="DJ90" s="89"/>
      <c r="DK90" s="89"/>
      <c r="DL90" s="89"/>
      <c r="DM90" s="89"/>
      <c r="DN90" s="89"/>
      <c r="DO90" s="89"/>
      <c r="DP90" s="89"/>
      <c r="DQ90" s="89"/>
      <c r="DR90" s="89"/>
      <c r="DS90" s="89"/>
      <c r="DT90" s="89"/>
      <c r="DU90" s="89"/>
      <c r="DV90" s="89"/>
      <c r="DW90" s="89"/>
      <c r="DX90" s="89"/>
    </row>
    <row r="91" spans="2:133">
      <c r="B91" s="4" t="s">
        <v>364</v>
      </c>
      <c r="F91" s="67">
        <v>355.6</v>
      </c>
      <c r="I91" s="67">
        <v>526.5</v>
      </c>
      <c r="J91" s="67">
        <v>544.9</v>
      </c>
      <c r="K91" s="67">
        <v>582.70000000000005</v>
      </c>
      <c r="L91" s="67">
        <v>544.9</v>
      </c>
      <c r="M91" s="67">
        <v>684.8</v>
      </c>
      <c r="N91" s="67">
        <v>713</v>
      </c>
      <c r="O91" s="67">
        <v>736.7</v>
      </c>
      <c r="P91" s="67">
        <v>725.1</v>
      </c>
      <c r="Q91" s="67">
        <v>716</v>
      </c>
      <c r="R91" s="67">
        <v>888</v>
      </c>
      <c r="S91" s="67">
        <v>932</v>
      </c>
      <c r="T91" s="67">
        <v>984</v>
      </c>
      <c r="U91" s="67">
        <v>1059</v>
      </c>
      <c r="V91" s="67">
        <v>1258</v>
      </c>
      <c r="W91" s="67">
        <v>1273</v>
      </c>
      <c r="X91" s="67">
        <v>1520</v>
      </c>
      <c r="Y91" s="67">
        <v>1711</v>
      </c>
      <c r="Z91" s="67">
        <v>1903</v>
      </c>
      <c r="AA91" s="67">
        <v>2115</v>
      </c>
      <c r="AM91" s="74">
        <v>2202</v>
      </c>
    </row>
    <row r="92" spans="2:133">
      <c r="B92" s="4" t="s">
        <v>365</v>
      </c>
      <c r="F92" s="67">
        <v>343.6</v>
      </c>
      <c r="I92" s="67">
        <v>633.5</v>
      </c>
      <c r="J92" s="67">
        <v>442.3</v>
      </c>
      <c r="K92" s="67">
        <v>471</v>
      </c>
      <c r="L92" s="67">
        <v>442.3</v>
      </c>
      <c r="M92" s="67">
        <v>582.79999999999995</v>
      </c>
      <c r="N92" s="67">
        <v>558</v>
      </c>
      <c r="O92" s="67">
        <v>494.4</v>
      </c>
      <c r="P92" s="67">
        <v>568</v>
      </c>
      <c r="Q92" s="67">
        <v>808</v>
      </c>
      <c r="R92" s="67">
        <v>1013</v>
      </c>
      <c r="S92" s="67">
        <v>873</v>
      </c>
      <c r="T92" s="67">
        <v>894</v>
      </c>
      <c r="U92" s="67">
        <v>919</v>
      </c>
      <c r="V92" s="67">
        <v>953</v>
      </c>
      <c r="W92" s="67">
        <v>943</v>
      </c>
      <c r="X92" s="67">
        <v>995</v>
      </c>
      <c r="Y92" s="67">
        <v>1040</v>
      </c>
      <c r="Z92" s="67">
        <v>1408</v>
      </c>
      <c r="AA92" s="67">
        <v>1418</v>
      </c>
      <c r="AM92" s="67">
        <v>1219</v>
      </c>
    </row>
    <row r="93" spans="2:133">
      <c r="B93" s="4" t="s">
        <v>366</v>
      </c>
      <c r="F93" s="67">
        <f>F87+F88+F89+F91+F92</f>
        <v>3858.5999999999995</v>
      </c>
      <c r="I93" s="67">
        <f t="shared" ref="I93:AA93" si="304">I87+I88+I89+I91+I92</f>
        <v>5824.4</v>
      </c>
      <c r="J93" s="67">
        <f t="shared" si="304"/>
        <v>6403.4999999999991</v>
      </c>
      <c r="K93" s="67">
        <f t="shared" si="304"/>
        <v>6655.9</v>
      </c>
      <c r="L93" s="67">
        <f t="shared" si="304"/>
        <v>6403.4999999999991</v>
      </c>
      <c r="M93" s="67">
        <f t="shared" si="304"/>
        <v>7294</v>
      </c>
      <c r="N93" s="67">
        <f t="shared" si="304"/>
        <v>7402</v>
      </c>
      <c r="O93" s="67">
        <f t="shared" si="304"/>
        <v>6935.4</v>
      </c>
      <c r="P93" s="67">
        <f t="shared" si="304"/>
        <v>6836.1</v>
      </c>
      <c r="Q93" s="67">
        <f t="shared" si="304"/>
        <v>6775</v>
      </c>
      <c r="R93" s="67">
        <f t="shared" si="304"/>
        <v>9170</v>
      </c>
      <c r="S93" s="67">
        <f t="shared" si="304"/>
        <v>7424</v>
      </c>
      <c r="T93" s="67">
        <f t="shared" si="304"/>
        <v>8025</v>
      </c>
      <c r="U93" s="67">
        <f t="shared" si="304"/>
        <v>9193</v>
      </c>
      <c r="V93" s="67">
        <f t="shared" si="304"/>
        <v>9235</v>
      </c>
      <c r="W93" s="67">
        <f t="shared" si="304"/>
        <v>11157</v>
      </c>
      <c r="X93" s="67">
        <f t="shared" si="304"/>
        <v>9503</v>
      </c>
      <c r="Y93" s="67">
        <f t="shared" si="304"/>
        <v>10656</v>
      </c>
      <c r="Z93" s="67">
        <f t="shared" si="304"/>
        <v>11712</v>
      </c>
      <c r="AA93" s="67">
        <f t="shared" si="304"/>
        <v>10527</v>
      </c>
      <c r="AM93" s="67">
        <f>AM87+AM88+AM89+AM91+AM92</f>
        <v>19809</v>
      </c>
    </row>
    <row r="94" spans="2:133">
      <c r="B94" s="4" t="s">
        <v>367</v>
      </c>
      <c r="F94" s="67">
        <v>1946.1</v>
      </c>
      <c r="I94" s="67">
        <v>2666.2</v>
      </c>
      <c r="J94" s="67">
        <v>2813.5</v>
      </c>
      <c r="K94" s="67">
        <v>2954.2</v>
      </c>
      <c r="L94" s="67">
        <v>2813.5</v>
      </c>
      <c r="M94" s="67">
        <v>3456.7</v>
      </c>
      <c r="N94" s="67">
        <v>3799</v>
      </c>
      <c r="O94" s="67">
        <v>4086.3</v>
      </c>
      <c r="P94" s="67">
        <v>4351.2</v>
      </c>
      <c r="Q94" s="67">
        <v>4549</v>
      </c>
      <c r="R94" s="67">
        <v>4712</v>
      </c>
      <c r="S94" s="67">
        <v>4790</v>
      </c>
      <c r="T94" s="67">
        <v>4863</v>
      </c>
      <c r="U94" s="67">
        <v>4894</v>
      </c>
      <c r="V94" s="67">
        <v>5038</v>
      </c>
      <c r="W94" s="67">
        <v>5122</v>
      </c>
      <c r="X94" s="67">
        <v>5438</v>
      </c>
      <c r="Y94" s="67">
        <v>5673</v>
      </c>
      <c r="Z94" s="67">
        <v>5921</v>
      </c>
      <c r="AA94" s="67">
        <v>6027</v>
      </c>
      <c r="AM94" s="67">
        <v>5619</v>
      </c>
    </row>
    <row r="95" spans="2:133">
      <c r="B95" s="4" t="s">
        <v>368</v>
      </c>
      <c r="F95" s="67">
        <f>34.1+97.2</f>
        <v>131.30000000000001</v>
      </c>
      <c r="I95" s="67">
        <f>4904.6+9817.2</f>
        <v>14721.800000000001</v>
      </c>
      <c r="J95" s="67">
        <f>4801.9+9871.1</f>
        <v>14673</v>
      </c>
      <c r="K95" s="67">
        <f>4715.5+9873.5</f>
        <v>14589</v>
      </c>
      <c r="L95" s="67">
        <f>4801.9+9871.1</f>
        <v>14673</v>
      </c>
      <c r="M95" s="67">
        <f>4542.1+9870.7</f>
        <v>14412.800000000001</v>
      </c>
      <c r="N95" s="67">
        <f>4288+9820</f>
        <v>14108</v>
      </c>
      <c r="O95" s="67">
        <f>4408+9707</f>
        <v>14115</v>
      </c>
      <c r="P95" s="67">
        <f>4338.8+9700.4</f>
        <v>14039.2</v>
      </c>
      <c r="Q95" s="67">
        <f>4278+10437</f>
        <v>14715</v>
      </c>
      <c r="R95" s="67">
        <f>4033+10525</f>
        <v>14558</v>
      </c>
      <c r="S95" s="67">
        <f>3965+10519</f>
        <v>14484</v>
      </c>
      <c r="T95" s="67">
        <f>3872+10519</f>
        <v>14391</v>
      </c>
      <c r="U95" s="67">
        <f>3779+10496</f>
        <v>14275</v>
      </c>
      <c r="V95" s="67">
        <f>3742+10495</f>
        <v>14237</v>
      </c>
      <c r="W95" s="67">
        <f>3646+10492</f>
        <v>14138</v>
      </c>
      <c r="X95" s="67">
        <f>3965+11210</f>
        <v>15175</v>
      </c>
      <c r="Y95" s="67">
        <f>3819+11206</f>
        <v>15025</v>
      </c>
      <c r="Z95" s="67">
        <f>3747+11302</f>
        <v>15049</v>
      </c>
      <c r="AA95" s="67">
        <f>3643+11269</f>
        <v>14912</v>
      </c>
      <c r="AM95" s="67">
        <f>2462+11335</f>
        <v>13797</v>
      </c>
    </row>
    <row r="96" spans="2:133">
      <c r="B96" s="4" t="s">
        <v>369</v>
      </c>
      <c r="F96" s="67">
        <v>507.1</v>
      </c>
      <c r="I96" s="67">
        <v>528.70000000000005</v>
      </c>
      <c r="J96" s="67">
        <v>566.29999999999995</v>
      </c>
      <c r="K96" s="67">
        <v>530.4</v>
      </c>
      <c r="L96" s="67">
        <v>566.29999999999995</v>
      </c>
      <c r="M96" s="67">
        <v>705.3</v>
      </c>
      <c r="N96" s="67">
        <v>804</v>
      </c>
      <c r="O96" s="67">
        <v>842.7</v>
      </c>
      <c r="P96" s="67">
        <v>833.5</v>
      </c>
      <c r="Q96" s="67">
        <v>772</v>
      </c>
      <c r="R96" s="67">
        <v>781</v>
      </c>
      <c r="S96" s="67">
        <v>722</v>
      </c>
      <c r="T96" s="67">
        <v>759</v>
      </c>
      <c r="U96" s="67">
        <v>770</v>
      </c>
      <c r="V96" s="67">
        <v>787</v>
      </c>
      <c r="W96" s="67">
        <v>898</v>
      </c>
      <c r="X96" s="67">
        <v>1172</v>
      </c>
      <c r="Y96" s="67">
        <v>1232</v>
      </c>
      <c r="Z96" s="67">
        <v>1106</v>
      </c>
      <c r="AA96" s="67">
        <v>1104</v>
      </c>
      <c r="AM96" s="67">
        <v>1141</v>
      </c>
    </row>
    <row r="97" spans="2:39">
      <c r="B97" s="4" t="s">
        <v>370</v>
      </c>
      <c r="F97" s="67">
        <f>SUM(F93:F96)</f>
        <v>6443.0999999999995</v>
      </c>
      <c r="I97" s="67">
        <f t="shared" ref="I97:AA97" si="305">SUM(I93:I96)</f>
        <v>23741.100000000002</v>
      </c>
      <c r="J97" s="67">
        <f t="shared" si="305"/>
        <v>24456.3</v>
      </c>
      <c r="K97" s="67">
        <f t="shared" si="305"/>
        <v>24729.5</v>
      </c>
      <c r="L97" s="67">
        <f t="shared" si="305"/>
        <v>24456.3</v>
      </c>
      <c r="M97" s="67">
        <f t="shared" si="305"/>
        <v>25868.799999999999</v>
      </c>
      <c r="N97" s="67">
        <f t="shared" si="305"/>
        <v>26113</v>
      </c>
      <c r="O97" s="67">
        <f t="shared" si="305"/>
        <v>25979.4</v>
      </c>
      <c r="P97" s="67">
        <f t="shared" si="305"/>
        <v>26060</v>
      </c>
      <c r="Q97" s="67">
        <f t="shared" si="305"/>
        <v>26811</v>
      </c>
      <c r="R97" s="67">
        <f t="shared" si="305"/>
        <v>29221</v>
      </c>
      <c r="S97" s="67">
        <f t="shared" si="305"/>
        <v>27420</v>
      </c>
      <c r="T97" s="67">
        <f t="shared" si="305"/>
        <v>28038</v>
      </c>
      <c r="U97" s="67">
        <f t="shared" si="305"/>
        <v>29132</v>
      </c>
      <c r="V97" s="67">
        <f t="shared" si="305"/>
        <v>29297</v>
      </c>
      <c r="W97" s="67">
        <f t="shared" si="305"/>
        <v>31315</v>
      </c>
      <c r="X97" s="67">
        <f t="shared" si="305"/>
        <v>31288</v>
      </c>
      <c r="Y97" s="67">
        <f t="shared" si="305"/>
        <v>32586</v>
      </c>
      <c r="Z97" s="67">
        <f t="shared" si="305"/>
        <v>33788</v>
      </c>
      <c r="AA97" s="67">
        <f t="shared" si="305"/>
        <v>32570</v>
      </c>
      <c r="AM97" s="67">
        <f>SUM(AM93:AM96)</f>
        <v>40366</v>
      </c>
    </row>
    <row r="98" spans="2:39">
      <c r="AM98" s="67"/>
    </row>
    <row r="99" spans="2:39">
      <c r="B99" s="4" t="s">
        <v>372</v>
      </c>
      <c r="F99" s="67">
        <v>136.69999999999999</v>
      </c>
      <c r="I99" s="67">
        <v>197.7</v>
      </c>
      <c r="J99" s="67">
        <v>1529</v>
      </c>
      <c r="K99" s="67">
        <v>1584.8</v>
      </c>
      <c r="L99" s="67">
        <v>254.6</v>
      </c>
      <c r="M99" s="67"/>
      <c r="N99" s="67"/>
      <c r="O99" s="67"/>
      <c r="P99" s="67"/>
      <c r="Q99" s="67">
        <v>337</v>
      </c>
      <c r="R99" s="67">
        <v>507</v>
      </c>
      <c r="S99" s="67">
        <v>549</v>
      </c>
      <c r="T99" s="67">
        <v>503</v>
      </c>
      <c r="U99" s="67">
        <v>497</v>
      </c>
      <c r="V99" s="67">
        <v>596</v>
      </c>
      <c r="W99" s="67">
        <v>442</v>
      </c>
      <c r="X99" s="67">
        <v>668</v>
      </c>
      <c r="Y99" s="67">
        <v>569</v>
      </c>
      <c r="Z99" s="67">
        <v>555</v>
      </c>
      <c r="AA99" s="67">
        <v>601</v>
      </c>
      <c r="AM99" s="67">
        <v>882</v>
      </c>
    </row>
    <row r="100" spans="2:39">
      <c r="B100" s="4" t="s">
        <v>373</v>
      </c>
      <c r="F100" s="67">
        <v>766.3</v>
      </c>
      <c r="I100" s="67">
        <v>1150.3</v>
      </c>
      <c r="J100" s="67">
        <v>1593.4</v>
      </c>
      <c r="K100" s="67">
        <v>1585.6</v>
      </c>
      <c r="L100" s="67">
        <v>1151.7</v>
      </c>
      <c r="M100" s="67">
        <v>1548.3</v>
      </c>
      <c r="N100" s="67">
        <v>2456</v>
      </c>
      <c r="O100" s="67">
        <v>1888.5</v>
      </c>
      <c r="P100" s="67">
        <v>2098.6999999999998</v>
      </c>
      <c r="Q100" s="67">
        <v>1950</v>
      </c>
      <c r="R100" s="67">
        <v>2477</v>
      </c>
      <c r="S100" s="67">
        <v>2485</v>
      </c>
      <c r="T100" s="67">
        <v>2675</v>
      </c>
      <c r="U100" s="67">
        <v>2855</v>
      </c>
      <c r="V100" s="67">
        <v>2999</v>
      </c>
      <c r="W100" s="67">
        <v>3178</v>
      </c>
      <c r="X100" s="67">
        <v>3477</v>
      </c>
      <c r="Y100" s="67">
        <v>3946</v>
      </c>
      <c r="Z100" s="67">
        <v>4589</v>
      </c>
      <c r="AA100" s="67">
        <v>3906</v>
      </c>
      <c r="AM100" s="67">
        <v>3302</v>
      </c>
    </row>
    <row r="101" spans="2:39">
      <c r="B101" s="4" t="s">
        <v>374</v>
      </c>
      <c r="F101" s="67">
        <v>99.9</v>
      </c>
      <c r="I101" s="67">
        <f>100+23</f>
        <v>123</v>
      </c>
      <c r="J101" s="67"/>
      <c r="K101" s="67"/>
      <c r="L101" s="67">
        <v>122.9</v>
      </c>
      <c r="M101" s="67">
        <v>0</v>
      </c>
      <c r="N101" s="67">
        <v>0</v>
      </c>
      <c r="O101" s="67">
        <v>2887.6</v>
      </c>
      <c r="P101" s="67">
        <v>2895.7</v>
      </c>
      <c r="Q101" s="67">
        <v>2904</v>
      </c>
      <c r="R101" s="67">
        <v>1173</v>
      </c>
      <c r="S101" s="67">
        <v>1744</v>
      </c>
      <c r="T101" s="67">
        <v>1749</v>
      </c>
      <c r="U101" s="67">
        <v>1754</v>
      </c>
      <c r="V101" s="67">
        <v>0</v>
      </c>
      <c r="W101" s="67">
        <v>1763</v>
      </c>
      <c r="X101" s="67">
        <v>1768</v>
      </c>
      <c r="Y101" s="67">
        <v>1773</v>
      </c>
      <c r="Z101" s="67">
        <f>1698+100</f>
        <v>1798</v>
      </c>
      <c r="AA101" s="67">
        <v>100</v>
      </c>
      <c r="AM101" s="67">
        <v>2378</v>
      </c>
    </row>
    <row r="102" spans="2:39">
      <c r="B102" s="4" t="s">
        <v>375</v>
      </c>
      <c r="F102" s="67">
        <f>SUM(F99:F101)</f>
        <v>1002.9</v>
      </c>
      <c r="I102" s="67">
        <f t="shared" ref="I102:AA102" si="306">SUM(I99:I101)</f>
        <v>1471</v>
      </c>
      <c r="J102" s="67">
        <f t="shared" si="306"/>
        <v>3122.4</v>
      </c>
      <c r="K102" s="67">
        <f t="shared" si="306"/>
        <v>3170.3999999999996</v>
      </c>
      <c r="L102" s="67">
        <f t="shared" si="306"/>
        <v>1529.2</v>
      </c>
      <c r="M102" s="67">
        <f t="shared" si="306"/>
        <v>1548.3</v>
      </c>
      <c r="N102" s="67">
        <f t="shared" si="306"/>
        <v>2456</v>
      </c>
      <c r="O102" s="67">
        <f t="shared" si="306"/>
        <v>4776.1000000000004</v>
      </c>
      <c r="P102" s="67">
        <f t="shared" si="306"/>
        <v>4994.3999999999996</v>
      </c>
      <c r="Q102" s="67">
        <f t="shared" si="306"/>
        <v>5191</v>
      </c>
      <c r="R102" s="67">
        <f t="shared" si="306"/>
        <v>4157</v>
      </c>
      <c r="S102" s="67">
        <f t="shared" si="306"/>
        <v>4778</v>
      </c>
      <c r="T102" s="67">
        <f t="shared" si="306"/>
        <v>4927</v>
      </c>
      <c r="U102" s="67">
        <f t="shared" si="306"/>
        <v>5106</v>
      </c>
      <c r="V102" s="67">
        <f t="shared" si="306"/>
        <v>3595</v>
      </c>
      <c r="W102" s="67">
        <f t="shared" si="306"/>
        <v>5383</v>
      </c>
      <c r="X102" s="67">
        <f t="shared" si="306"/>
        <v>5913</v>
      </c>
      <c r="Y102" s="67">
        <f t="shared" si="306"/>
        <v>6288</v>
      </c>
      <c r="Z102" s="67">
        <f t="shared" si="306"/>
        <v>6942</v>
      </c>
      <c r="AA102" s="67">
        <f t="shared" si="306"/>
        <v>4607</v>
      </c>
      <c r="AM102" s="67">
        <f>SUM(AM99:AM101)</f>
        <v>6562</v>
      </c>
    </row>
    <row r="103" spans="2:39">
      <c r="B103" s="4" t="s">
        <v>376</v>
      </c>
      <c r="F103" s="67"/>
      <c r="I103" s="67">
        <v>1565.6</v>
      </c>
      <c r="J103" s="67"/>
      <c r="K103" s="67"/>
      <c r="L103" s="67">
        <v>1593.4</v>
      </c>
      <c r="M103" s="67">
        <v>1791.4</v>
      </c>
      <c r="N103" s="67">
        <v>1146</v>
      </c>
      <c r="O103" s="67">
        <v>1432</v>
      </c>
      <c r="P103" s="67">
        <v>1454.8</v>
      </c>
      <c r="Q103" s="67">
        <v>1484</v>
      </c>
      <c r="R103" s="67">
        <v>1294</v>
      </c>
      <c r="S103" s="67">
        <v>1280</v>
      </c>
      <c r="T103" s="67">
        <v>1209</v>
      </c>
      <c r="U103" s="67">
        <v>1180</v>
      </c>
      <c r="V103" s="67">
        <v>1163</v>
      </c>
      <c r="W103" s="67">
        <v>1160</v>
      </c>
      <c r="X103" s="67">
        <v>1064</v>
      </c>
      <c r="Y103" s="67">
        <v>1079</v>
      </c>
      <c r="Z103" s="67">
        <v>367</v>
      </c>
      <c r="AA103" s="67">
        <v>466</v>
      </c>
      <c r="AM103" s="67">
        <v>0</v>
      </c>
    </row>
    <row r="104" spans="2:39">
      <c r="B104" s="4" t="s">
        <v>374</v>
      </c>
      <c r="F104" s="67"/>
      <c r="I104" s="67"/>
      <c r="J104" s="67"/>
      <c r="K104" s="67"/>
      <c r="L104" s="67"/>
      <c r="M104" s="67"/>
      <c r="N104" s="67"/>
      <c r="O104" s="67">
        <v>200</v>
      </c>
      <c r="P104" s="67">
        <v>200</v>
      </c>
      <c r="Q104" s="67"/>
      <c r="R104" s="67">
        <v>1739</v>
      </c>
      <c r="S104" s="67">
        <v>0</v>
      </c>
      <c r="T104" s="67">
        <v>0</v>
      </c>
      <c r="U104" s="67">
        <v>0</v>
      </c>
      <c r="V104" s="67">
        <v>1759</v>
      </c>
      <c r="W104" s="67">
        <v>5000</v>
      </c>
      <c r="X104" s="67">
        <v>5000</v>
      </c>
      <c r="Y104" s="67">
        <v>5000</v>
      </c>
      <c r="Z104" s="67">
        <v>5080</v>
      </c>
      <c r="AA104" s="67">
        <v>5080</v>
      </c>
      <c r="AB104" s="67">
        <v>5080</v>
      </c>
      <c r="AM104" s="67">
        <v>2201</v>
      </c>
    </row>
    <row r="105" spans="2:39">
      <c r="B105" s="4" t="s">
        <v>377</v>
      </c>
      <c r="F105" s="67">
        <v>223</v>
      </c>
      <c r="I105" s="67">
        <v>3039.7</v>
      </c>
      <c r="J105" s="67">
        <v>3047.7</v>
      </c>
      <c r="K105" s="67">
        <v>3055.7</v>
      </c>
      <c r="L105" s="67">
        <v>3047.7</v>
      </c>
      <c r="M105" s="67">
        <v>3071.8</v>
      </c>
      <c r="N105" s="67">
        <v>3080</v>
      </c>
      <c r="O105" s="67"/>
      <c r="P105" s="67"/>
      <c r="Q105" s="67">
        <v>200</v>
      </c>
      <c r="R105" s="67">
        <v>2198</v>
      </c>
      <c r="S105" s="67">
        <v>2198</v>
      </c>
      <c r="T105" s="67">
        <v>2198</v>
      </c>
      <c r="U105" s="67">
        <v>2198</v>
      </c>
      <c r="V105" s="67">
        <v>2198</v>
      </c>
      <c r="W105" s="67">
        <v>2198</v>
      </c>
      <c r="X105" s="67">
        <v>2232</v>
      </c>
      <c r="Y105" s="67">
        <v>2233</v>
      </c>
      <c r="Z105" s="67">
        <v>2134</v>
      </c>
      <c r="AA105" s="67">
        <v>2134</v>
      </c>
      <c r="AB105" s="67">
        <v>6132</v>
      </c>
      <c r="AM105" s="67">
        <v>7085</v>
      </c>
    </row>
    <row r="106" spans="2:39">
      <c r="B106" s="4" t="s">
        <v>378</v>
      </c>
      <c r="F106" s="67"/>
      <c r="I106" s="67"/>
      <c r="J106" s="67"/>
      <c r="K106" s="67"/>
      <c r="L106" s="67"/>
      <c r="M106" s="67"/>
      <c r="N106" s="67">
        <v>42</v>
      </c>
      <c r="O106" s="67"/>
      <c r="P106" s="67"/>
      <c r="Q106" s="67">
        <v>128</v>
      </c>
      <c r="R106" s="67">
        <v>128</v>
      </c>
      <c r="S106" s="67">
        <v>124</v>
      </c>
      <c r="T106" s="67">
        <v>123</v>
      </c>
      <c r="U106" s="67">
        <v>118</v>
      </c>
      <c r="V106" s="67">
        <v>131</v>
      </c>
      <c r="W106" s="67">
        <v>183</v>
      </c>
      <c r="X106" s="67">
        <v>240</v>
      </c>
      <c r="Y106" s="67">
        <v>265</v>
      </c>
      <c r="Z106" s="67">
        <v>301</v>
      </c>
      <c r="AA106" s="67">
        <v>568</v>
      </c>
      <c r="AM106" s="67">
        <v>2179</v>
      </c>
    </row>
    <row r="107" spans="2:39">
      <c r="B107" s="4" t="s">
        <v>379</v>
      </c>
      <c r="F107" s="67">
        <f>SUM(F102:F106)</f>
        <v>1225.9000000000001</v>
      </c>
      <c r="I107" s="67">
        <f t="shared" ref="I107:AA107" si="307">SUM(I102:I106)</f>
        <v>6076.2999999999993</v>
      </c>
      <c r="J107" s="67">
        <f t="shared" si="307"/>
        <v>6170.1</v>
      </c>
      <c r="K107" s="67">
        <f t="shared" si="307"/>
        <v>6226.0999999999995</v>
      </c>
      <c r="L107" s="67">
        <f t="shared" si="307"/>
        <v>6170.3</v>
      </c>
      <c r="M107" s="67">
        <f t="shared" si="307"/>
        <v>6411.5</v>
      </c>
      <c r="N107" s="67">
        <f t="shared" si="307"/>
        <v>6724</v>
      </c>
      <c r="O107" s="67">
        <f t="shared" si="307"/>
        <v>6408.1</v>
      </c>
      <c r="P107" s="67">
        <f t="shared" si="307"/>
        <v>6649.2</v>
      </c>
      <c r="Q107" s="67">
        <f t="shared" si="307"/>
        <v>7003</v>
      </c>
      <c r="R107" s="67">
        <f t="shared" si="307"/>
        <v>9516</v>
      </c>
      <c r="S107" s="67">
        <f t="shared" si="307"/>
        <v>8380</v>
      </c>
      <c r="T107" s="67">
        <f t="shared" si="307"/>
        <v>8457</v>
      </c>
      <c r="U107" s="67">
        <f t="shared" si="307"/>
        <v>8602</v>
      </c>
      <c r="V107" s="67">
        <f t="shared" si="307"/>
        <v>8846</v>
      </c>
      <c r="W107" s="67">
        <f t="shared" si="307"/>
        <v>13924</v>
      </c>
      <c r="X107" s="67">
        <f t="shared" si="307"/>
        <v>14449</v>
      </c>
      <c r="Y107" s="67">
        <f t="shared" si="307"/>
        <v>14865</v>
      </c>
      <c r="Z107" s="67">
        <f>SUM(Z102:Z106)</f>
        <v>14824</v>
      </c>
      <c r="AA107" s="67">
        <f t="shared" si="307"/>
        <v>12855</v>
      </c>
      <c r="AM107" s="67">
        <f>SUM(AM102:AM106)</f>
        <v>18027</v>
      </c>
    </row>
    <row r="108" spans="2:39">
      <c r="B108" s="4" t="s">
        <v>381</v>
      </c>
      <c r="F108" s="67">
        <v>5217.2</v>
      </c>
      <c r="I108" s="67">
        <v>17664.8</v>
      </c>
      <c r="J108" s="67">
        <v>18286</v>
      </c>
      <c r="K108" s="67">
        <v>18503.400000000001</v>
      </c>
      <c r="L108" s="67">
        <v>18286</v>
      </c>
      <c r="M108" s="67">
        <v>19457.3</v>
      </c>
      <c r="N108" s="67">
        <v>19389</v>
      </c>
      <c r="O108" s="67">
        <v>19571.3</v>
      </c>
      <c r="P108" s="67">
        <v>19410.8</v>
      </c>
      <c r="Q108" s="67">
        <v>19808</v>
      </c>
      <c r="R108" s="67">
        <v>19705</v>
      </c>
      <c r="S108" s="67">
        <v>19040</v>
      </c>
      <c r="T108" s="67">
        <v>19581</v>
      </c>
      <c r="U108" s="67">
        <v>20530</v>
      </c>
      <c r="V108" s="67">
        <v>20451</v>
      </c>
      <c r="W108" s="67">
        <v>17391</v>
      </c>
      <c r="X108" s="67">
        <v>16839</v>
      </c>
      <c r="Y108" s="67">
        <v>17721</v>
      </c>
      <c r="Z108" s="67">
        <v>18964</v>
      </c>
      <c r="AA108" s="67">
        <v>19715</v>
      </c>
      <c r="AM108" s="67">
        <v>22339</v>
      </c>
    </row>
    <row r="109" spans="2:39">
      <c r="B109" s="16" t="s">
        <v>1097</v>
      </c>
      <c r="F109" s="67">
        <f>F108+F107</f>
        <v>6443.1</v>
      </c>
      <c r="I109" s="67">
        <f t="shared" ref="I109:AA109" si="308">I108+I107</f>
        <v>23741.1</v>
      </c>
      <c r="J109" s="67">
        <f t="shared" si="308"/>
        <v>24456.1</v>
      </c>
      <c r="K109" s="67">
        <f t="shared" si="308"/>
        <v>24729.5</v>
      </c>
      <c r="L109" s="67">
        <f t="shared" si="308"/>
        <v>24456.3</v>
      </c>
      <c r="M109" s="67">
        <f t="shared" si="308"/>
        <v>25868.799999999999</v>
      </c>
      <c r="N109" s="67">
        <f t="shared" si="308"/>
        <v>26113</v>
      </c>
      <c r="O109" s="67">
        <f t="shared" si="308"/>
        <v>25979.4</v>
      </c>
      <c r="P109" s="67">
        <f t="shared" si="308"/>
        <v>26060</v>
      </c>
      <c r="Q109" s="67">
        <f t="shared" si="308"/>
        <v>26811</v>
      </c>
      <c r="R109" s="67">
        <f t="shared" si="308"/>
        <v>29221</v>
      </c>
      <c r="S109" s="67">
        <f t="shared" si="308"/>
        <v>27420</v>
      </c>
      <c r="T109" s="67">
        <f t="shared" si="308"/>
        <v>28038</v>
      </c>
      <c r="U109" s="67">
        <f t="shared" si="308"/>
        <v>29132</v>
      </c>
      <c r="V109" s="67">
        <f t="shared" si="308"/>
        <v>29297</v>
      </c>
      <c r="W109" s="67">
        <f t="shared" si="308"/>
        <v>31315</v>
      </c>
      <c r="X109" s="67">
        <f t="shared" si="308"/>
        <v>31288</v>
      </c>
      <c r="Y109" s="67">
        <f t="shared" si="308"/>
        <v>32586</v>
      </c>
      <c r="Z109" s="67">
        <f t="shared" si="308"/>
        <v>33788</v>
      </c>
      <c r="AA109" s="67">
        <f t="shared" si="308"/>
        <v>32570</v>
      </c>
      <c r="AM109" s="67">
        <f>AM108+AM107</f>
        <v>40366</v>
      </c>
    </row>
    <row r="110" spans="2:39">
      <c r="X110" s="67"/>
      <c r="Y110" s="67"/>
    </row>
    <row r="111" spans="2:39">
      <c r="B111" s="4" t="s">
        <v>382</v>
      </c>
      <c r="E111" s="67">
        <f>954.7-D111-C111</f>
        <v>954.7</v>
      </c>
      <c r="F111" s="67">
        <f>1480.2-E111-D111-C111</f>
        <v>525.5</v>
      </c>
      <c r="G111" s="67">
        <v>486.9</v>
      </c>
      <c r="H111" s="67">
        <f>1124.6-G111</f>
        <v>637.69999999999993</v>
      </c>
      <c r="I111" s="67">
        <f>1428.7-H111-G111</f>
        <v>304.10000000000014</v>
      </c>
      <c r="J111" s="67">
        <f>2248.8-I111-H111-G111</f>
        <v>820.1</v>
      </c>
      <c r="K111" s="67">
        <v>780.8</v>
      </c>
      <c r="L111" s="67">
        <f>1720.5-K111</f>
        <v>939.7</v>
      </c>
      <c r="M111" s="67">
        <f>2369-L111-K111</f>
        <v>648.5</v>
      </c>
      <c r="N111" s="67">
        <f>3566.6-M111-L111-K111</f>
        <v>1197.5999999999999</v>
      </c>
      <c r="O111" s="67">
        <v>399</v>
      </c>
      <c r="P111" s="67">
        <f>1514-O111</f>
        <v>1115</v>
      </c>
      <c r="Q111" s="67">
        <f>2587-P111-O111</f>
        <v>1073</v>
      </c>
      <c r="R111" s="67">
        <f>3697-Q111-P111-O111</f>
        <v>1110</v>
      </c>
      <c r="S111" s="67">
        <v>1123</v>
      </c>
      <c r="T111" s="67">
        <f>2340-S111</f>
        <v>1217</v>
      </c>
      <c r="U111" s="67">
        <f>3782-T111-S111</f>
        <v>1442</v>
      </c>
      <c r="V111" s="67">
        <f>4911-U111-T111-S111</f>
        <v>1129</v>
      </c>
      <c r="W111" s="67">
        <v>1183</v>
      </c>
      <c r="X111" s="67">
        <f>2574-W111</f>
        <v>1391</v>
      </c>
      <c r="Y111" s="67">
        <f>4147-X111-W111</f>
        <v>1573</v>
      </c>
      <c r="Z111" s="67"/>
      <c r="AA111" s="67">
        <v>893</v>
      </c>
      <c r="AM111" s="71">
        <v>913</v>
      </c>
    </row>
    <row r="112" spans="2:39">
      <c r="B112" s="4" t="s">
        <v>383</v>
      </c>
      <c r="E112" s="67">
        <f t="shared" ref="E112:AA112" si="309">E47</f>
        <v>140.80000000000001</v>
      </c>
      <c r="F112" s="67">
        <f t="shared" si="309"/>
        <v>0</v>
      </c>
      <c r="G112" s="67">
        <f t="shared" si="309"/>
        <v>342.60000000000008</v>
      </c>
      <c r="H112" s="67">
        <f t="shared" si="309"/>
        <v>417.49999999999994</v>
      </c>
      <c r="I112" s="67">
        <f t="shared" si="309"/>
        <v>436.7999999999999</v>
      </c>
      <c r="J112" s="67">
        <f t="shared" si="309"/>
        <v>471.70000000000027</v>
      </c>
      <c r="K112" s="67">
        <f t="shared" si="309"/>
        <v>563.20000000000016</v>
      </c>
      <c r="L112" s="67">
        <f t="shared" si="309"/>
        <v>658.39999999999986</v>
      </c>
      <c r="M112" s="67">
        <f t="shared" si="309"/>
        <v>714.29999999999973</v>
      </c>
      <c r="N112" s="67">
        <f t="shared" si="309"/>
        <v>614.79999999999995</v>
      </c>
      <c r="O112" s="67">
        <f t="shared" si="309"/>
        <v>756.89999999999941</v>
      </c>
      <c r="P112" s="67">
        <f t="shared" si="309"/>
        <v>813.89999999999986</v>
      </c>
      <c r="Q112" s="67">
        <f t="shared" si="309"/>
        <v>838.8</v>
      </c>
      <c r="R112" s="67">
        <f t="shared" si="309"/>
        <v>755.2</v>
      </c>
      <c r="S112" s="67">
        <f t="shared" si="309"/>
        <v>924</v>
      </c>
      <c r="T112" s="67">
        <f t="shared" si="309"/>
        <v>1104</v>
      </c>
      <c r="U112" s="67">
        <f t="shared" si="309"/>
        <v>1067</v>
      </c>
      <c r="V112" s="67">
        <f t="shared" si="309"/>
        <v>928</v>
      </c>
      <c r="W112" s="67">
        <f t="shared" si="309"/>
        <v>1101</v>
      </c>
      <c r="X112" s="67">
        <f t="shared" si="309"/>
        <v>1235</v>
      </c>
      <c r="Y112" s="67">
        <f t="shared" si="309"/>
        <v>1224</v>
      </c>
      <c r="Z112" s="67">
        <f t="shared" si="309"/>
        <v>1060</v>
      </c>
      <c r="AA112" s="67">
        <f t="shared" si="309"/>
        <v>1270</v>
      </c>
      <c r="AM112" s="67">
        <f>AM47</f>
        <v>1282</v>
      </c>
    </row>
    <row r="113" spans="2:103">
      <c r="B113" s="16" t="s">
        <v>1098</v>
      </c>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M113" s="67">
        <v>252</v>
      </c>
    </row>
    <row r="114" spans="2:103">
      <c r="AM114" s="71">
        <v>-94</v>
      </c>
    </row>
    <row r="115" spans="2:103">
      <c r="B115" s="4" t="s">
        <v>384</v>
      </c>
      <c r="W115" s="71">
        <f>29+37</f>
        <v>66</v>
      </c>
      <c r="X115" s="71">
        <f>1+28+24</f>
        <v>53</v>
      </c>
      <c r="Y115" s="71">
        <f>4+21+25</f>
        <v>50</v>
      </c>
    </row>
    <row r="117" spans="2:103">
      <c r="B117" s="4" t="s">
        <v>385</v>
      </c>
      <c r="CV117" s="67">
        <v>2084</v>
      </c>
      <c r="CW117" s="67">
        <v>2686</v>
      </c>
      <c r="CX117" s="67">
        <v>3406</v>
      </c>
      <c r="CY117" s="67">
        <v>4760</v>
      </c>
    </row>
    <row r="118" spans="2:103">
      <c r="B118" s="4" t="s">
        <v>386</v>
      </c>
      <c r="CV118" s="67">
        <v>989</v>
      </c>
      <c r="CW118" s="67">
        <v>1596</v>
      </c>
      <c r="CX118" s="67">
        <v>1683</v>
      </c>
      <c r="CY118" s="67">
        <v>2370</v>
      </c>
    </row>
    <row r="119" spans="2:103">
      <c r="B119" s="4" t="s">
        <v>387</v>
      </c>
      <c r="CV119" s="67">
        <v>844</v>
      </c>
      <c r="CW119" s="67">
        <v>1340</v>
      </c>
      <c r="CX119" s="67">
        <v>1809</v>
      </c>
      <c r="CY119" s="67">
        <v>2140</v>
      </c>
    </row>
    <row r="120" spans="2:103">
      <c r="B120" s="4" t="s">
        <v>389</v>
      </c>
      <c r="CV120" s="67"/>
      <c r="CW120" s="67">
        <v>1359</v>
      </c>
      <c r="CX120" s="67">
        <v>2592</v>
      </c>
      <c r="CY120" s="67">
        <v>3794</v>
      </c>
    </row>
    <row r="121" spans="2:103">
      <c r="CW121" s="67"/>
      <c r="CX121" s="67"/>
      <c r="CY121" s="67"/>
    </row>
    <row r="123" spans="2:103">
      <c r="B123" s="4" t="s">
        <v>388</v>
      </c>
      <c r="CV123" s="67">
        <v>10100</v>
      </c>
      <c r="CW123" s="67">
        <v>12900</v>
      </c>
      <c r="CX123" s="67">
        <v>14400</v>
      </c>
      <c r="CY123" s="67">
        <v>16500</v>
      </c>
    </row>
    <row r="124" spans="2:103">
      <c r="B124" s="4" t="s">
        <v>446</v>
      </c>
      <c r="CV124" s="67">
        <v>3400</v>
      </c>
      <c r="CW124" s="67">
        <v>4700</v>
      </c>
      <c r="CX124" s="67">
        <v>5600</v>
      </c>
      <c r="CY124" s="67">
        <v>6500</v>
      </c>
    </row>
    <row r="125" spans="2:103">
      <c r="B125" s="4" t="s">
        <v>447</v>
      </c>
      <c r="CV125" s="67">
        <v>2200</v>
      </c>
      <c r="CW125" s="67">
        <v>2600</v>
      </c>
      <c r="CX125" s="67">
        <v>2700</v>
      </c>
      <c r="CY125" s="67">
        <v>3000</v>
      </c>
    </row>
    <row r="127" spans="2:103">
      <c r="B127" s="4" t="s">
        <v>525</v>
      </c>
      <c r="K127" s="80">
        <f t="shared" ref="K127:AA127" si="310">K51</f>
        <v>0.84193493442343725</v>
      </c>
      <c r="L127" s="80">
        <f t="shared" si="310"/>
        <v>0.8411640781931311</v>
      </c>
      <c r="M127" s="80">
        <f t="shared" si="310"/>
        <v>0.84783986957703106</v>
      </c>
      <c r="N127" s="80">
        <f t="shared" si="310"/>
        <v>0.8365720617062985</v>
      </c>
      <c r="O127" s="80">
        <f t="shared" si="310"/>
        <v>0.84143582739340128</v>
      </c>
      <c r="P127" s="80">
        <f t="shared" si="310"/>
        <v>0.83169542675849262</v>
      </c>
      <c r="Q127" s="80">
        <f t="shared" si="310"/>
        <v>0.83523774419461849</v>
      </c>
      <c r="R127" s="80">
        <f t="shared" si="310"/>
        <v>0.83636988655895494</v>
      </c>
      <c r="S127" s="80">
        <f t="shared" si="310"/>
        <v>0.82739145781856693</v>
      </c>
      <c r="T127" s="80">
        <f t="shared" si="310"/>
        <v>0.83291298865069352</v>
      </c>
      <c r="U127" s="80">
        <f t="shared" si="310"/>
        <v>0.83988585922637915</v>
      </c>
      <c r="V127" s="80">
        <f t="shared" si="310"/>
        <v>0.84377866095995113</v>
      </c>
      <c r="W127" s="80">
        <f t="shared" si="310"/>
        <v>0.82841156356854218</v>
      </c>
      <c r="X127" s="80">
        <f t="shared" si="310"/>
        <v>0.86348501664816868</v>
      </c>
      <c r="Y127" s="80">
        <f t="shared" si="310"/>
        <v>0.86572535991140642</v>
      </c>
      <c r="Z127" s="80">
        <f t="shared" si="310"/>
        <v>0.85632333767926994</v>
      </c>
      <c r="AA127" s="80">
        <f t="shared" si="310"/>
        <v>0.84838622186059132</v>
      </c>
    </row>
    <row r="128" spans="2:103">
      <c r="B128" s="14" t="s">
        <v>1011</v>
      </c>
      <c r="K128" s="87">
        <f>K131+K134+K137+K140+K143</f>
        <v>0.82697041957644934</v>
      </c>
      <c r="L128" s="87">
        <f>L131+L134+L137+L140+L143</f>
        <v>0.83118465533290853</v>
      </c>
      <c r="M128" s="87">
        <f>M131+M134+M137+M140+M143</f>
        <v>0.83268906801920117</v>
      </c>
      <c r="N128" s="87">
        <f>N131+N134+N137+N140+N143</f>
        <v>0.83712477627205317</v>
      </c>
      <c r="O128" s="87">
        <f t="shared" ref="O128:AA128" si="311">O131+O134+O137+O140+O143</f>
        <v>0.83289726407443776</v>
      </c>
      <c r="P128" s="87">
        <f t="shared" si="311"/>
        <v>0.83182117155459245</v>
      </c>
      <c r="Q128" s="87">
        <f t="shared" si="311"/>
        <v>0.8328179137486178</v>
      </c>
      <c r="R128" s="87">
        <f t="shared" si="311"/>
        <v>0.83671983499484348</v>
      </c>
      <c r="S128" s="87">
        <f t="shared" si="311"/>
        <v>0.83914719378750435</v>
      </c>
      <c r="T128" s="87">
        <f t="shared" si="311"/>
        <v>0.84101576292559899</v>
      </c>
      <c r="U128" s="87">
        <f t="shared" si="311"/>
        <v>0.83964013950538996</v>
      </c>
      <c r="V128" s="87">
        <f t="shared" si="311"/>
        <v>0.84082788138184039</v>
      </c>
      <c r="W128" s="87">
        <f t="shared" si="311"/>
        <v>0.84216195212931289</v>
      </c>
      <c r="X128" s="87">
        <f t="shared" si="311"/>
        <v>0.8605649278579357</v>
      </c>
      <c r="Y128" s="87">
        <f t="shared" si="311"/>
        <v>0.86576550387596896</v>
      </c>
      <c r="Z128" s="87">
        <f t="shared" si="311"/>
        <v>0.86224250325945251</v>
      </c>
      <c r="AA128" s="87">
        <f t="shared" si="311"/>
        <v>0.85791971792785471</v>
      </c>
    </row>
    <row r="129" spans="2:27">
      <c r="B129" s="4" t="s">
        <v>1012</v>
      </c>
      <c r="K129" s="62">
        <f t="shared" ref="K129:AA129" si="312">K5/K37</f>
        <v>0.45528870720490555</v>
      </c>
      <c r="L129" s="62">
        <f t="shared" si="312"/>
        <v>0.46974670520797607</v>
      </c>
      <c r="M129" s="62">
        <f t="shared" si="312"/>
        <v>0.4819309845122724</v>
      </c>
      <c r="N129" s="62">
        <f t="shared" si="312"/>
        <v>0.49160487513849821</v>
      </c>
      <c r="O129" s="62">
        <f t="shared" si="312"/>
        <v>0.48358871484058225</v>
      </c>
      <c r="P129" s="62">
        <f t="shared" si="312"/>
        <v>0.48347906832778764</v>
      </c>
      <c r="Q129" s="62">
        <f t="shared" si="312"/>
        <v>0.47511979358643569</v>
      </c>
      <c r="R129" s="62">
        <f t="shared" si="312"/>
        <v>0.48195256101753181</v>
      </c>
      <c r="S129" s="62">
        <f t="shared" si="312"/>
        <v>0.46099541122484999</v>
      </c>
      <c r="T129" s="62">
        <f t="shared" si="312"/>
        <v>0.46784363177805799</v>
      </c>
      <c r="U129" s="62">
        <f t="shared" si="312"/>
        <v>0.45624603677869374</v>
      </c>
      <c r="V129" s="62">
        <f t="shared" si="312"/>
        <v>0.4582696423112198</v>
      </c>
      <c r="W129" s="62">
        <f t="shared" si="312"/>
        <v>0.46534037923531241</v>
      </c>
      <c r="X129" s="62">
        <f t="shared" si="312"/>
        <v>0.462819089900111</v>
      </c>
      <c r="Y129" s="62">
        <f t="shared" si="312"/>
        <v>0.47065337763012183</v>
      </c>
      <c r="Z129" s="62">
        <f t="shared" si="312"/>
        <v>0.46075619295958281</v>
      </c>
      <c r="AA129" s="62">
        <f t="shared" si="312"/>
        <v>0.44616219148359099</v>
      </c>
    </row>
    <row r="130" spans="2:27">
      <c r="B130" s="4" t="s">
        <v>1013</v>
      </c>
      <c r="K130" s="79">
        <v>0.87</v>
      </c>
      <c r="L130" s="79">
        <v>0.87</v>
      </c>
      <c r="M130" s="79">
        <v>0.87</v>
      </c>
      <c r="N130" s="79">
        <v>0.87</v>
      </c>
      <c r="O130" s="79">
        <v>0.87</v>
      </c>
      <c r="P130" s="79">
        <v>0.87</v>
      </c>
      <c r="Q130" s="79">
        <f>P130+0.001</f>
        <v>0.871</v>
      </c>
      <c r="R130" s="79">
        <f t="shared" ref="R130:X130" si="313">Q130+0.001</f>
        <v>0.872</v>
      </c>
      <c r="S130" s="79">
        <f t="shared" si="313"/>
        <v>0.873</v>
      </c>
      <c r="T130" s="79">
        <f t="shared" si="313"/>
        <v>0.874</v>
      </c>
      <c r="U130" s="79">
        <f t="shared" si="313"/>
        <v>0.875</v>
      </c>
      <c r="V130" s="79">
        <f t="shared" si="313"/>
        <v>0.876</v>
      </c>
      <c r="W130" s="79">
        <f t="shared" si="313"/>
        <v>0.877</v>
      </c>
      <c r="X130" s="79">
        <f t="shared" si="313"/>
        <v>0.878</v>
      </c>
      <c r="Y130" s="79">
        <v>0.9</v>
      </c>
      <c r="Z130" s="79">
        <v>0.9</v>
      </c>
      <c r="AA130" s="79">
        <v>0.9</v>
      </c>
    </row>
    <row r="131" spans="2:27">
      <c r="B131" s="4" t="s">
        <v>182</v>
      </c>
      <c r="K131" s="88">
        <f>K130*K129</f>
        <v>0.39610117526826782</v>
      </c>
      <c r="L131" s="88">
        <f>L130*L129</f>
        <v>0.40867963353093917</v>
      </c>
      <c r="M131" s="88">
        <f>M130*M129</f>
        <v>0.41927995652567701</v>
      </c>
      <c r="N131" s="88">
        <f>N130*N129</f>
        <v>0.42769624137049345</v>
      </c>
      <c r="O131" s="88">
        <f t="shared" ref="O131:X131" si="314">O130*O129</f>
        <v>0.42072218191130656</v>
      </c>
      <c r="P131" s="88">
        <f t="shared" si="314"/>
        <v>0.42062678944517523</v>
      </c>
      <c r="Q131" s="88">
        <f t="shared" si="314"/>
        <v>0.41382934021378548</v>
      </c>
      <c r="R131" s="88">
        <f t="shared" si="314"/>
        <v>0.42026263320728774</v>
      </c>
      <c r="S131" s="88">
        <f t="shared" si="314"/>
        <v>0.40244899399929407</v>
      </c>
      <c r="T131" s="88">
        <f t="shared" si="314"/>
        <v>0.40889533417402268</v>
      </c>
      <c r="U131" s="88">
        <f t="shared" si="314"/>
        <v>0.39921528218135705</v>
      </c>
      <c r="V131" s="88">
        <f t="shared" si="314"/>
        <v>0.40144420666462854</v>
      </c>
      <c r="W131" s="88">
        <f t="shared" si="314"/>
        <v>0.408103512589369</v>
      </c>
      <c r="X131" s="88">
        <f t="shared" si="314"/>
        <v>0.40635516093229745</v>
      </c>
      <c r="Y131" s="88">
        <f>Y130*Y129</f>
        <v>0.42358803986710963</v>
      </c>
      <c r="Z131" s="88">
        <f>Z130*Z129</f>
        <v>0.41468057366362454</v>
      </c>
      <c r="AA131" s="88">
        <f>AA130*AA129</f>
        <v>0.40154597233523187</v>
      </c>
    </row>
    <row r="132" spans="2:27">
      <c r="B132" s="4" t="s">
        <v>180</v>
      </c>
      <c r="K132" s="62">
        <f t="shared" ref="K132:AA132" si="315">(K6+K7)/K37</f>
        <v>0.30772724691988873</v>
      </c>
      <c r="L132" s="62">
        <f t="shared" si="315"/>
        <v>0.31076380383126745</v>
      </c>
      <c r="M132" s="62">
        <f t="shared" si="315"/>
        <v>0.29752739788062676</v>
      </c>
      <c r="N132" s="62">
        <f t="shared" si="315"/>
        <v>0.29357368107048498</v>
      </c>
      <c r="O132" s="62">
        <f t="shared" si="315"/>
        <v>0.28328140338896246</v>
      </c>
      <c r="P132" s="62">
        <f t="shared" si="315"/>
        <v>0.27899868451597926</v>
      </c>
      <c r="Q132" s="62">
        <f t="shared" si="315"/>
        <v>0.27718392922963508</v>
      </c>
      <c r="R132" s="62">
        <f t="shared" si="315"/>
        <v>0.26744585768305257</v>
      </c>
      <c r="S132" s="62">
        <f t="shared" si="315"/>
        <v>0.2806212495587716</v>
      </c>
      <c r="T132" s="62">
        <f t="shared" si="315"/>
        <v>0.28341740226986128</v>
      </c>
      <c r="U132" s="62">
        <f t="shared" si="315"/>
        <v>0.27964489537095749</v>
      </c>
      <c r="V132" s="62">
        <f t="shared" si="315"/>
        <v>0.28370528890247632</v>
      </c>
      <c r="W132" s="62">
        <f t="shared" si="315"/>
        <v>0.27852036058439539</v>
      </c>
      <c r="X132" s="62">
        <f t="shared" si="315"/>
        <v>0.27885682574916759</v>
      </c>
      <c r="Y132" s="62">
        <f t="shared" si="315"/>
        <v>0.27630121816168329</v>
      </c>
      <c r="Z132" s="62">
        <f t="shared" si="315"/>
        <v>0.26701434159061277</v>
      </c>
      <c r="AA132" s="62">
        <f t="shared" si="315"/>
        <v>0.27610523460808245</v>
      </c>
    </row>
    <row r="133" spans="2:27">
      <c r="B133" s="4" t="s">
        <v>181</v>
      </c>
      <c r="K133" s="62">
        <v>0.85</v>
      </c>
      <c r="L133" s="62">
        <v>0.85</v>
      </c>
      <c r="M133" s="62">
        <v>0.85</v>
      </c>
      <c r="N133" s="62">
        <v>0.85</v>
      </c>
      <c r="O133" s="62">
        <v>0.85</v>
      </c>
      <c r="P133" s="62">
        <v>0.85</v>
      </c>
      <c r="Q133" s="62">
        <v>0.85</v>
      </c>
      <c r="R133" s="62">
        <v>0.85</v>
      </c>
      <c r="S133" s="62">
        <v>0.85</v>
      </c>
      <c r="T133" s="62">
        <v>0.85</v>
      </c>
      <c r="U133" s="62">
        <v>0.85</v>
      </c>
      <c r="V133" s="62">
        <v>0.85</v>
      </c>
      <c r="W133" s="62">
        <v>0.85</v>
      </c>
      <c r="X133" s="62">
        <v>0.92</v>
      </c>
      <c r="Y133" s="62">
        <v>0.9</v>
      </c>
      <c r="Z133" s="62">
        <v>0.9</v>
      </c>
      <c r="AA133" s="62">
        <v>0.9</v>
      </c>
    </row>
    <row r="134" spans="2:27">
      <c r="B134" s="4" t="s">
        <v>183</v>
      </c>
      <c r="K134" s="88">
        <f>K133*K132</f>
        <v>0.2615681598819054</v>
      </c>
      <c r="L134" s="88">
        <f>L133*L132</f>
        <v>0.2641492332565773</v>
      </c>
      <c r="M134" s="88">
        <f>M133*M132</f>
        <v>0.25289828819853272</v>
      </c>
      <c r="N134" s="88">
        <f>N133*N132</f>
        <v>0.24953762890991224</v>
      </c>
      <c r="O134" s="88">
        <f>O133*O132</f>
        <v>0.24078919288061809</v>
      </c>
      <c r="P134" s="88">
        <f t="shared" ref="P134:X134" si="316">P133*P132</f>
        <v>0.23714888183858235</v>
      </c>
      <c r="Q134" s="88">
        <f t="shared" si="316"/>
        <v>0.2356063398451898</v>
      </c>
      <c r="R134" s="88">
        <f t="shared" si="316"/>
        <v>0.22732897903059468</v>
      </c>
      <c r="S134" s="88">
        <f t="shared" si="316"/>
        <v>0.23852806212495586</v>
      </c>
      <c r="T134" s="88">
        <f t="shared" si="316"/>
        <v>0.24090479192938208</v>
      </c>
      <c r="U134" s="88">
        <f t="shared" si="316"/>
        <v>0.23769816106531386</v>
      </c>
      <c r="V134" s="88">
        <f t="shared" si="316"/>
        <v>0.24114949556710485</v>
      </c>
      <c r="W134" s="88">
        <f t="shared" si="316"/>
        <v>0.23674230649673608</v>
      </c>
      <c r="X134" s="88">
        <f t="shared" si="316"/>
        <v>0.25654827968923422</v>
      </c>
      <c r="Y134" s="88">
        <f>Y133*Y132</f>
        <v>0.24867109634551496</v>
      </c>
      <c r="Z134" s="88">
        <f>Z133*Z132</f>
        <v>0.24031290743155151</v>
      </c>
      <c r="AA134" s="88">
        <f>AA133*AA132</f>
        <v>0.2484947111472742</v>
      </c>
    </row>
    <row r="135" spans="2:27">
      <c r="B135" s="4" t="s">
        <v>646</v>
      </c>
      <c r="K135" s="62">
        <f t="shared" ref="K135:AA135" si="317">K8/K37</f>
        <v>0.1555669108045194</v>
      </c>
      <c r="L135" s="62">
        <f t="shared" si="317"/>
        <v>0.14893929743765616</v>
      </c>
      <c r="M135" s="62">
        <f t="shared" si="317"/>
        <v>0.1548772756090934</v>
      </c>
      <c r="N135" s="62">
        <f t="shared" si="317"/>
        <v>0.16193641864825706</v>
      </c>
      <c r="O135" s="62">
        <f t="shared" si="317"/>
        <v>0.16944811985146616</v>
      </c>
      <c r="P135" s="62">
        <f t="shared" si="317"/>
        <v>0.17039387139209161</v>
      </c>
      <c r="Q135" s="62">
        <f t="shared" si="317"/>
        <v>0.18282344268337633</v>
      </c>
      <c r="R135" s="62">
        <f t="shared" si="317"/>
        <v>0.19491234101065658</v>
      </c>
      <c r="S135" s="62">
        <f t="shared" si="317"/>
        <v>0.20896576067772679</v>
      </c>
      <c r="T135" s="62">
        <f t="shared" si="317"/>
        <v>0.20145018915510718</v>
      </c>
      <c r="U135" s="62">
        <f t="shared" si="317"/>
        <v>0.21179454660748256</v>
      </c>
      <c r="V135" s="62">
        <f t="shared" si="317"/>
        <v>0.20605319474166922</v>
      </c>
      <c r="W135" s="62">
        <f t="shared" si="317"/>
        <v>0.20453838980416536</v>
      </c>
      <c r="X135" s="62">
        <f t="shared" si="317"/>
        <v>0.20088790233074361</v>
      </c>
      <c r="Y135" s="62">
        <f t="shared" si="317"/>
        <v>0.1951827242524917</v>
      </c>
      <c r="Z135" s="62">
        <f t="shared" si="317"/>
        <v>0.20651890482398957</v>
      </c>
      <c r="AA135" s="62">
        <f t="shared" si="317"/>
        <v>0.19799294819636562</v>
      </c>
    </row>
    <row r="136" spans="2:27">
      <c r="B136" s="4" t="s">
        <v>647</v>
      </c>
      <c r="K136" s="79">
        <v>0.82</v>
      </c>
      <c r="L136" s="79">
        <v>0.82</v>
      </c>
      <c r="M136" s="79">
        <v>0.82</v>
      </c>
      <c r="N136" s="79">
        <v>0.82</v>
      </c>
      <c r="O136" s="79">
        <v>0.82</v>
      </c>
      <c r="P136" s="79">
        <v>0.82</v>
      </c>
      <c r="Q136" s="79">
        <f>P136+0.001</f>
        <v>0.82099999999999995</v>
      </c>
      <c r="R136" s="79">
        <f t="shared" ref="R136:Y136" si="318">Q136+0.001</f>
        <v>0.82199999999999995</v>
      </c>
      <c r="S136" s="79">
        <f t="shared" si="318"/>
        <v>0.82299999999999995</v>
      </c>
      <c r="T136" s="79">
        <f t="shared" si="318"/>
        <v>0.82399999999999995</v>
      </c>
      <c r="U136" s="79">
        <f t="shared" si="318"/>
        <v>0.82499999999999996</v>
      </c>
      <c r="V136" s="79">
        <f t="shared" si="318"/>
        <v>0.82599999999999996</v>
      </c>
      <c r="W136" s="79">
        <f t="shared" si="318"/>
        <v>0.82699999999999996</v>
      </c>
      <c r="X136" s="79">
        <f t="shared" si="318"/>
        <v>0.82799999999999996</v>
      </c>
      <c r="Y136" s="79">
        <f t="shared" si="318"/>
        <v>0.82899999999999996</v>
      </c>
      <c r="Z136" s="79">
        <v>0.82499999999999996</v>
      </c>
      <c r="AA136" s="79">
        <v>0.82499999999999996</v>
      </c>
    </row>
    <row r="137" spans="2:27">
      <c r="B137" s="4" t="s">
        <v>648</v>
      </c>
      <c r="K137" s="88">
        <f>K136*K135</f>
        <v>0.12756486685970589</v>
      </c>
      <c r="L137" s="88">
        <f>L136*L135</f>
        <v>0.12213022389887804</v>
      </c>
      <c r="M137" s="88">
        <f>M136*M135</f>
        <v>0.12699936599945658</v>
      </c>
      <c r="N137" s="88">
        <f>N136*N135</f>
        <v>0.13278786329157077</v>
      </c>
      <c r="O137" s="88">
        <f>O136*O135</f>
        <v>0.13894745827820223</v>
      </c>
      <c r="P137" s="88">
        <f t="shared" ref="P137:X137" si="319">P136*P135</f>
        <v>0.13972297454151511</v>
      </c>
      <c r="Q137" s="88">
        <f t="shared" si="319"/>
        <v>0.15009804644305197</v>
      </c>
      <c r="R137" s="88">
        <f t="shared" si="319"/>
        <v>0.1602179443107597</v>
      </c>
      <c r="S137" s="88">
        <f t="shared" si="319"/>
        <v>0.17197882103776915</v>
      </c>
      <c r="T137" s="88">
        <f t="shared" si="319"/>
        <v>0.1659949558638083</v>
      </c>
      <c r="U137" s="88">
        <f t="shared" si="319"/>
        <v>0.1747305009511731</v>
      </c>
      <c r="V137" s="88">
        <f t="shared" si="319"/>
        <v>0.17019993885661877</v>
      </c>
      <c r="W137" s="88">
        <f t="shared" si="319"/>
        <v>0.16915324836804474</v>
      </c>
      <c r="X137" s="88">
        <f t="shared" si="319"/>
        <v>0.16633518312985571</v>
      </c>
      <c r="Y137" s="88">
        <f>Y136*Y135</f>
        <v>0.16180647840531562</v>
      </c>
      <c r="Z137" s="88">
        <f>Z136*Z135</f>
        <v>0.17037809647979138</v>
      </c>
      <c r="AA137" s="88">
        <f>AA136*AA135</f>
        <v>0.16334418226200162</v>
      </c>
    </row>
    <row r="138" spans="2:27">
      <c r="B138" s="4" t="s">
        <v>652</v>
      </c>
      <c r="K138" s="62">
        <f t="shared" ref="K138:AA138" si="320">(K15+K16+K18)/K37</f>
        <v>1.0276500312269348E-2</v>
      </c>
      <c r="L138" s="62">
        <f t="shared" si="320"/>
        <v>9.5046788496398991E-3</v>
      </c>
      <c r="M138" s="62">
        <f t="shared" si="320"/>
        <v>6.7928629653111134E-3</v>
      </c>
      <c r="N138" s="62">
        <f t="shared" si="320"/>
        <v>6.6053012869683797E-3</v>
      </c>
      <c r="O138" s="62">
        <f t="shared" si="320"/>
        <v>5.9755004481625348E-3</v>
      </c>
      <c r="P138" s="62">
        <f t="shared" si="320"/>
        <v>7.5833784724909084E-3</v>
      </c>
      <c r="Q138" s="62">
        <f t="shared" si="320"/>
        <v>8.4776999631404355E-3</v>
      </c>
      <c r="R138" s="62">
        <f t="shared" si="320"/>
        <v>1.0656583018219319E-2</v>
      </c>
      <c r="S138" s="62">
        <f t="shared" si="320"/>
        <v>1.4825273561595482E-2</v>
      </c>
      <c r="T138" s="62">
        <f t="shared" si="320"/>
        <v>1.5762925598991173E-2</v>
      </c>
      <c r="U138" s="62">
        <f t="shared" si="320"/>
        <v>1.8389346861128725E-2</v>
      </c>
      <c r="V138" s="62">
        <f t="shared" si="320"/>
        <v>2.0483032711708957E-2</v>
      </c>
      <c r="W138" s="62">
        <f t="shared" si="320"/>
        <v>2.3624494870997825E-2</v>
      </c>
      <c r="X138" s="62">
        <f t="shared" si="320"/>
        <v>2.6082130965593784E-2</v>
      </c>
      <c r="Y138" s="62">
        <f t="shared" si="320"/>
        <v>2.768549280177187E-2</v>
      </c>
      <c r="Z138" s="62">
        <f t="shared" si="320"/>
        <v>4.0156453715775753E-2</v>
      </c>
      <c r="AA138" s="62">
        <f t="shared" si="320"/>
        <v>4.6650393273664228E-2</v>
      </c>
    </row>
    <row r="139" spans="2:27">
      <c r="B139" s="4" t="s">
        <v>653</v>
      </c>
      <c r="K139" s="86">
        <v>0.6</v>
      </c>
      <c r="L139" s="86">
        <v>0.6</v>
      </c>
      <c r="M139" s="86">
        <v>0.6</v>
      </c>
      <c r="N139" s="86">
        <v>0.6</v>
      </c>
      <c r="O139" s="86">
        <v>0.6</v>
      </c>
      <c r="P139" s="86">
        <v>0.6</v>
      </c>
      <c r="Q139" s="86">
        <v>0.6</v>
      </c>
      <c r="R139" s="86">
        <v>0.6</v>
      </c>
      <c r="S139" s="86">
        <v>0.6</v>
      </c>
      <c r="T139" s="86">
        <v>0.6</v>
      </c>
      <c r="U139" s="86">
        <v>0.6</v>
      </c>
      <c r="V139" s="86">
        <v>0.6</v>
      </c>
      <c r="W139" s="86">
        <v>0.6</v>
      </c>
      <c r="X139" s="86">
        <v>0.6</v>
      </c>
      <c r="Y139" s="86">
        <v>0.6</v>
      </c>
      <c r="Z139" s="86">
        <v>0.6</v>
      </c>
      <c r="AA139" s="86">
        <v>0.6</v>
      </c>
    </row>
    <row r="140" spans="2:27">
      <c r="B140" s="4" t="s">
        <v>654</v>
      </c>
      <c r="K140" s="88">
        <f>K139*K138</f>
        <v>6.1659001873616091E-3</v>
      </c>
      <c r="L140" s="88">
        <f>L139*L138</f>
        <v>5.7028073097839397E-3</v>
      </c>
      <c r="M140" s="88">
        <f>M139*M138</f>
        <v>4.0757177791866678E-3</v>
      </c>
      <c r="N140" s="88">
        <f>N139*N138</f>
        <v>3.9631807721810276E-3</v>
      </c>
      <c r="O140" s="88">
        <f>O139*O138</f>
        <v>3.5853002688975206E-3</v>
      </c>
      <c r="P140" s="88">
        <f t="shared" ref="P140:X140" si="321">P139*P138</f>
        <v>4.5500270834945445E-3</v>
      </c>
      <c r="Q140" s="88">
        <f t="shared" si="321"/>
        <v>5.0866199778842611E-3</v>
      </c>
      <c r="R140" s="88">
        <f t="shared" si="321"/>
        <v>6.3939498109315913E-3</v>
      </c>
      <c r="S140" s="88">
        <f t="shared" si="321"/>
        <v>8.8951641369572881E-3</v>
      </c>
      <c r="T140" s="88">
        <f t="shared" si="321"/>
        <v>9.4577553593947032E-3</v>
      </c>
      <c r="U140" s="88">
        <f t="shared" si="321"/>
        <v>1.1033608116677234E-2</v>
      </c>
      <c r="V140" s="88">
        <f t="shared" si="321"/>
        <v>1.2289819627025375E-2</v>
      </c>
      <c r="W140" s="88">
        <f t="shared" si="321"/>
        <v>1.4174696922598694E-2</v>
      </c>
      <c r="X140" s="88">
        <f t="shared" si="321"/>
        <v>1.564927857935627E-2</v>
      </c>
      <c r="Y140" s="88">
        <f>Y139*Y138</f>
        <v>1.6611295681063121E-2</v>
      </c>
      <c r="Z140" s="88">
        <f>Z139*Z138</f>
        <v>2.4093872229465452E-2</v>
      </c>
      <c r="AA140" s="88">
        <f>AA139*AA138</f>
        <v>2.7990235964198536E-2</v>
      </c>
    </row>
    <row r="141" spans="2:27">
      <c r="B141" s="4" t="s">
        <v>651</v>
      </c>
      <c r="K141" s="62">
        <f t="shared" ref="K141:AA141" si="322">K36/K37</f>
        <v>7.1140634758417073E-2</v>
      </c>
      <c r="L141" s="62">
        <f t="shared" si="322"/>
        <v>6.1045514673460387E-2</v>
      </c>
      <c r="M141" s="62">
        <f t="shared" si="322"/>
        <v>5.8871479032696315E-2</v>
      </c>
      <c r="N141" s="62">
        <f t="shared" si="322"/>
        <v>4.6279723855791356E-2</v>
      </c>
      <c r="O141" s="62">
        <f t="shared" si="322"/>
        <v>5.7706261470826754E-2</v>
      </c>
      <c r="P141" s="62">
        <f t="shared" si="322"/>
        <v>5.9544997291650553E-2</v>
      </c>
      <c r="Q141" s="62">
        <f t="shared" si="322"/>
        <v>5.6395134537412461E-2</v>
      </c>
      <c r="R141" s="62">
        <f t="shared" si="322"/>
        <v>4.5032657270539705E-2</v>
      </c>
      <c r="S141" s="62">
        <f t="shared" si="322"/>
        <v>3.4592304977056121E-2</v>
      </c>
      <c r="T141" s="62">
        <f t="shared" si="322"/>
        <v>3.1525851197982346E-2</v>
      </c>
      <c r="U141" s="62">
        <f t="shared" si="322"/>
        <v>3.3925174381737477E-2</v>
      </c>
      <c r="V141" s="62">
        <f t="shared" si="322"/>
        <v>3.1488841332925711E-2</v>
      </c>
      <c r="W141" s="62">
        <f t="shared" si="322"/>
        <v>2.7976375505129002E-2</v>
      </c>
      <c r="X141" s="62">
        <f t="shared" si="322"/>
        <v>3.1354051054384019E-2</v>
      </c>
      <c r="Y141" s="62">
        <f t="shared" si="322"/>
        <v>3.0177187153931341E-2</v>
      </c>
      <c r="Z141" s="62">
        <f t="shared" si="322"/>
        <v>2.5554106910039114E-2</v>
      </c>
      <c r="AA141" s="62">
        <f t="shared" si="322"/>
        <v>3.3089232438296722E-2</v>
      </c>
    </row>
    <row r="142" spans="2:27">
      <c r="B142" s="4" t="s">
        <v>747</v>
      </c>
      <c r="K142" s="86">
        <v>0.5</v>
      </c>
      <c r="L142" s="86">
        <v>0.5</v>
      </c>
      <c r="M142" s="86">
        <v>0.5</v>
      </c>
      <c r="N142" s="86">
        <v>0.5</v>
      </c>
      <c r="O142" s="86">
        <v>0.5</v>
      </c>
      <c r="P142" s="86">
        <v>0.5</v>
      </c>
      <c r="Q142" s="86">
        <v>0.5</v>
      </c>
      <c r="R142" s="86">
        <v>0.5</v>
      </c>
      <c r="S142" s="86">
        <v>0.5</v>
      </c>
      <c r="T142" s="86">
        <v>0.5</v>
      </c>
      <c r="U142" s="86">
        <v>0.5</v>
      </c>
      <c r="V142" s="86">
        <v>0.5</v>
      </c>
      <c r="W142" s="86">
        <v>0.5</v>
      </c>
      <c r="X142" s="86">
        <v>0.5</v>
      </c>
      <c r="Y142" s="86">
        <v>0.5</v>
      </c>
      <c r="Z142" s="86">
        <v>0.5</v>
      </c>
      <c r="AA142" s="86">
        <v>0.5</v>
      </c>
    </row>
    <row r="143" spans="2:27">
      <c r="B143" s="4" t="s">
        <v>649</v>
      </c>
      <c r="K143" s="62">
        <f>K142*K141</f>
        <v>3.5570317379208537E-2</v>
      </c>
      <c r="L143" s="62">
        <f>L142*L141</f>
        <v>3.0522757336730193E-2</v>
      </c>
      <c r="M143" s="62">
        <f>M142*M141</f>
        <v>2.9435739516348158E-2</v>
      </c>
      <c r="N143" s="62">
        <f>N142*N141</f>
        <v>2.3139861927895678E-2</v>
      </c>
      <c r="O143" s="62">
        <f>O142*O141</f>
        <v>2.8853130735413377E-2</v>
      </c>
      <c r="P143" s="62">
        <f t="shared" ref="P143:Z143" si="323">P142*P141</f>
        <v>2.9772498645825277E-2</v>
      </c>
      <c r="Q143" s="62">
        <f t="shared" si="323"/>
        <v>2.8197567268706231E-2</v>
      </c>
      <c r="R143" s="62">
        <f t="shared" si="323"/>
        <v>2.2516328635269853E-2</v>
      </c>
      <c r="S143" s="62">
        <f t="shared" si="323"/>
        <v>1.729615248852806E-2</v>
      </c>
      <c r="T143" s="62">
        <f t="shared" si="323"/>
        <v>1.5762925598991173E-2</v>
      </c>
      <c r="U143" s="62">
        <f t="shared" si="323"/>
        <v>1.6962587190868739E-2</v>
      </c>
      <c r="V143" s="62">
        <f t="shared" si="323"/>
        <v>1.5744420666462856E-2</v>
      </c>
      <c r="W143" s="62">
        <f t="shared" si="323"/>
        <v>1.3988187752564501E-2</v>
      </c>
      <c r="X143" s="62">
        <f t="shared" si="323"/>
        <v>1.5677025527192009E-2</v>
      </c>
      <c r="Y143" s="62">
        <f t="shared" si="323"/>
        <v>1.5088593576965671E-2</v>
      </c>
      <c r="Z143" s="62">
        <f t="shared" si="323"/>
        <v>1.2777053455019557E-2</v>
      </c>
      <c r="AA143" s="62">
        <f>AA142*AA141</f>
        <v>1.6544616219148361E-2</v>
      </c>
    </row>
    <row r="156" spans="4:4">
      <c r="D156" s="90">
        <f>EF53/Main!J3</f>
        <v>283.46977802350216</v>
      </c>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37:Z37"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RowHeight="12.75"/>
  <sheetData>
    <row r="1" spans="1:10">
      <c r="A1" s="11" t="s">
        <v>5</v>
      </c>
    </row>
    <row r="3" spans="1:10">
      <c r="B3" t="s">
        <v>557</v>
      </c>
    </row>
    <row r="4" spans="1:10">
      <c r="B4" t="s">
        <v>558</v>
      </c>
    </row>
    <row r="5" spans="1:10">
      <c r="B5" t="s">
        <v>559</v>
      </c>
    </row>
    <row r="7" spans="1:10" s="4" customFormat="1">
      <c r="C7" s="5" t="s">
        <v>220</v>
      </c>
      <c r="D7" s="4" t="s">
        <v>230</v>
      </c>
      <c r="E7" s="4" t="s">
        <v>812</v>
      </c>
      <c r="F7" s="6">
        <v>2</v>
      </c>
      <c r="G7" s="6" t="s">
        <v>221</v>
      </c>
      <c r="H7" s="6"/>
      <c r="I7" s="24"/>
      <c r="J7" s="4" t="s">
        <v>869</v>
      </c>
    </row>
    <row r="8" spans="1:10" s="4" customFormat="1">
      <c r="C8" s="5" t="s">
        <v>220</v>
      </c>
      <c r="D8" s="4" t="s">
        <v>231</v>
      </c>
      <c r="E8" s="4" t="s">
        <v>812</v>
      </c>
      <c r="F8" s="6">
        <v>2</v>
      </c>
      <c r="G8" s="6"/>
      <c r="H8" s="6"/>
      <c r="I8" s="24"/>
    </row>
    <row r="10" spans="1:10">
      <c r="B10" t="s">
        <v>65</v>
      </c>
      <c r="C10" t="s">
        <v>255</v>
      </c>
      <c r="D10" t="s">
        <v>179</v>
      </c>
    </row>
    <row r="11" spans="1:10">
      <c r="B11" t="s">
        <v>69</v>
      </c>
    </row>
    <row r="12" spans="1:10">
      <c r="B12" t="s">
        <v>68</v>
      </c>
    </row>
    <row r="13" spans="1:10">
      <c r="B13" t="s">
        <v>754</v>
      </c>
    </row>
    <row r="14" spans="1:10">
      <c r="B14" t="s">
        <v>1042</v>
      </c>
    </row>
    <row r="15" spans="1:10">
      <c r="B15" t="s">
        <v>1043</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RowHeight="12.75"/>
  <cols>
    <col min="1" max="1" width="5" style="4" bestFit="1" customWidth="1"/>
    <col min="2" max="2" width="12.85546875" style="4" customWidth="1"/>
    <col min="3" max="16384" width="9.140625" style="4"/>
  </cols>
  <sheetData>
    <row r="1" spans="1:3">
      <c r="A1" s="10" t="s">
        <v>5</v>
      </c>
    </row>
    <row r="2" spans="1:3">
      <c r="A2" s="10"/>
      <c r="B2" s="4" t="s">
        <v>292</v>
      </c>
    </row>
    <row r="3" spans="1:3">
      <c r="B3" s="4" t="s">
        <v>287</v>
      </c>
      <c r="C3" s="4" t="s">
        <v>477</v>
      </c>
    </row>
    <row r="4" spans="1:3">
      <c r="B4" s="4" t="s">
        <v>288</v>
      </c>
      <c r="C4" s="4" t="s">
        <v>56</v>
      </c>
    </row>
    <row r="5" spans="1:3">
      <c r="B5" s="4" t="s">
        <v>3</v>
      </c>
      <c r="C5" s="4" t="s">
        <v>886</v>
      </c>
    </row>
    <row r="6" spans="1:3">
      <c r="C6" s="4" t="s">
        <v>887</v>
      </c>
    </row>
    <row r="7" spans="1:3">
      <c r="B7" s="4" t="s">
        <v>811</v>
      </c>
      <c r="C7" s="4" t="s">
        <v>488</v>
      </c>
    </row>
    <row r="8" spans="1:3">
      <c r="B8" s="4" t="s">
        <v>444</v>
      </c>
      <c r="C8" s="4" t="s">
        <v>236</v>
      </c>
    </row>
    <row r="9" spans="1:3">
      <c r="C9" s="4" t="s">
        <v>237</v>
      </c>
    </row>
    <row r="10" spans="1:3">
      <c r="C10" s="4" t="s">
        <v>913</v>
      </c>
    </row>
    <row r="11" spans="1:3">
      <c r="B11" s="4" t="s">
        <v>456</v>
      </c>
      <c r="C11" s="4" t="s">
        <v>914</v>
      </c>
    </row>
    <row r="12" spans="1:3">
      <c r="C12" s="4" t="s">
        <v>915</v>
      </c>
    </row>
    <row r="13" spans="1:3">
      <c r="B13" s="4" t="s">
        <v>323</v>
      </c>
    </row>
    <row r="14" spans="1:3">
      <c r="C14" s="4" t="s">
        <v>916</v>
      </c>
    </row>
    <row r="16" spans="1:3">
      <c r="C16" s="4" t="s">
        <v>57</v>
      </c>
    </row>
    <row r="18" spans="2:2">
      <c r="B18" s="4" t="s">
        <v>331</v>
      </c>
    </row>
    <row r="19" spans="2:2">
      <c r="B19" s="4" t="s">
        <v>332</v>
      </c>
    </row>
    <row r="23" spans="2:2">
      <c r="B23" s="4" t="s">
        <v>417</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RowHeight="12.75"/>
  <cols>
    <col min="1" max="1" width="5" bestFit="1" customWidth="1"/>
    <col min="2" max="2" width="13.28515625" customWidth="1"/>
  </cols>
  <sheetData>
    <row r="1" spans="1:11">
      <c r="A1" s="100" t="s">
        <v>5</v>
      </c>
    </row>
    <row r="2" spans="1:11">
      <c r="B2" t="s">
        <v>287</v>
      </c>
      <c r="C2" t="s">
        <v>355</v>
      </c>
    </row>
    <row r="3" spans="1:11">
      <c r="B3" t="s">
        <v>288</v>
      </c>
      <c r="C3" t="s">
        <v>512</v>
      </c>
    </row>
    <row r="4" spans="1:11">
      <c r="B4" t="s">
        <v>811</v>
      </c>
      <c r="C4" t="s">
        <v>28</v>
      </c>
    </row>
    <row r="5" spans="1:11">
      <c r="B5" t="s">
        <v>323</v>
      </c>
      <c r="J5" s="101"/>
      <c r="K5" s="101"/>
    </row>
    <row r="6" spans="1:11">
      <c r="C6" s="48" t="s">
        <v>513</v>
      </c>
    </row>
    <row r="7" spans="1:11">
      <c r="C7" t="s">
        <v>515</v>
      </c>
    </row>
    <row r="9" spans="1:11">
      <c r="C9" s="48" t="s">
        <v>514</v>
      </c>
    </row>
    <row r="10" spans="1:11">
      <c r="C10" s="53" t="s">
        <v>516</v>
      </c>
    </row>
    <row r="11" spans="1:11">
      <c r="C11" s="53"/>
    </row>
    <row r="12" spans="1:11">
      <c r="C12" t="s">
        <v>295</v>
      </c>
    </row>
    <row r="15" spans="1:11">
      <c r="B15" t="s">
        <v>497</v>
      </c>
    </row>
    <row r="16" spans="1:11">
      <c r="B16" t="s">
        <v>498</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19"/>
  <sheetViews>
    <sheetView zoomScale="145" zoomScaleNormal="145" workbookViewId="0"/>
  </sheetViews>
  <sheetFormatPr defaultRowHeight="12.75"/>
  <cols>
    <col min="1" max="1" width="5" bestFit="1" customWidth="1"/>
    <col min="2" max="2" width="12" bestFit="1" customWidth="1"/>
  </cols>
  <sheetData>
    <row r="1" spans="1:3">
      <c r="A1" s="11" t="s">
        <v>5</v>
      </c>
    </row>
    <row r="2" spans="1:3">
      <c r="B2" t="s">
        <v>1210</v>
      </c>
      <c r="C2" t="s">
        <v>1222</v>
      </c>
    </row>
    <row r="3" spans="1:3">
      <c r="B3" t="s">
        <v>1219</v>
      </c>
      <c r="C3" t="s">
        <v>1220</v>
      </c>
    </row>
    <row r="4" spans="1:3">
      <c r="B4" t="s">
        <v>3</v>
      </c>
      <c r="C4" t="s">
        <v>1221</v>
      </c>
    </row>
    <row r="5" spans="1:3">
      <c r="B5" t="s">
        <v>323</v>
      </c>
    </row>
    <row r="6" spans="1:3">
      <c r="B6" s="102"/>
      <c r="C6" s="48" t="s">
        <v>1228</v>
      </c>
    </row>
    <row r="8" spans="1:3">
      <c r="C8" s="48" t="s">
        <v>1226</v>
      </c>
    </row>
    <row r="9" spans="1:3">
      <c r="C9" s="102" t="s">
        <v>1225</v>
      </c>
    </row>
    <row r="12" spans="1:3">
      <c r="C12" s="48" t="s">
        <v>1224</v>
      </c>
    </row>
    <row r="14" spans="1:3">
      <c r="C14" s="48" t="s">
        <v>1227</v>
      </c>
    </row>
    <row r="16" spans="1:3">
      <c r="C16" s="48" t="s">
        <v>1229</v>
      </c>
    </row>
    <row r="17" spans="3:3">
      <c r="C17" s="102" t="s">
        <v>1230</v>
      </c>
    </row>
    <row r="18" spans="3:3">
      <c r="C18" s="102" t="s">
        <v>1231</v>
      </c>
    </row>
    <row r="19" spans="3:3">
      <c r="C19" s="102" t="s">
        <v>1232</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RowHeight="12.75"/>
  <cols>
    <col min="1" max="1" width="5" style="4" bestFit="1" customWidth="1"/>
    <col min="2" max="2" width="12.85546875" style="4" bestFit="1" customWidth="1"/>
    <col min="3" max="16384" width="9.140625" style="4"/>
  </cols>
  <sheetData>
    <row r="1" spans="1:3">
      <c r="A1" s="10" t="s">
        <v>5</v>
      </c>
    </row>
    <row r="2" spans="1:3">
      <c r="B2" s="4" t="s">
        <v>287</v>
      </c>
      <c r="C2" s="4" t="s">
        <v>354</v>
      </c>
    </row>
    <row r="3" spans="1:3">
      <c r="B3" s="4" t="s">
        <v>288</v>
      </c>
    </row>
    <row r="4" spans="1:3">
      <c r="B4" s="4" t="s">
        <v>1003</v>
      </c>
      <c r="C4" s="4" t="s">
        <v>1004</v>
      </c>
    </row>
    <row r="5" spans="1:3">
      <c r="B5" s="4" t="s">
        <v>3</v>
      </c>
      <c r="C5" s="4" t="s">
        <v>113</v>
      </c>
    </row>
    <row r="6" spans="1:3">
      <c r="B6" s="4" t="s">
        <v>112</v>
      </c>
      <c r="C6" s="4" t="s">
        <v>114</v>
      </c>
    </row>
    <row r="7" spans="1:3">
      <c r="B7" s="4" t="s">
        <v>323</v>
      </c>
    </row>
    <row r="8" spans="1:3">
      <c r="B8" s="22"/>
      <c r="C8" s="4" t="s">
        <v>58</v>
      </c>
    </row>
    <row r="9" spans="1:3">
      <c r="C9" s="4" t="s">
        <v>59</v>
      </c>
    </row>
    <row r="12" spans="1:3">
      <c r="C12" s="22" t="s">
        <v>1032</v>
      </c>
    </row>
    <row r="13" spans="1:3">
      <c r="C13" s="4" t="s">
        <v>1033</v>
      </c>
    </row>
    <row r="15" spans="1:3">
      <c r="C15" s="22" t="s">
        <v>522</v>
      </c>
    </row>
    <row r="16" spans="1:3">
      <c r="C16" s="4" t="s">
        <v>948</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RowHeight="12.75"/>
  <cols>
    <col min="1" max="1" width="5" style="4" bestFit="1" customWidth="1"/>
    <col min="2" max="2" width="12.85546875" style="4" bestFit="1" customWidth="1"/>
    <col min="3" max="16384" width="9.140625" style="4"/>
  </cols>
  <sheetData>
    <row r="1" spans="1:3">
      <c r="A1" s="10" t="s">
        <v>5</v>
      </c>
    </row>
    <row r="2" spans="1:3">
      <c r="B2" s="4" t="s">
        <v>287</v>
      </c>
      <c r="C2" s="4" t="s">
        <v>603</v>
      </c>
    </row>
    <row r="3" spans="1:3">
      <c r="B3" s="4" t="s">
        <v>288</v>
      </c>
      <c r="C3" s="4" t="s">
        <v>1031</v>
      </c>
    </row>
    <row r="4" spans="1:3">
      <c r="B4" s="4" t="s">
        <v>3</v>
      </c>
      <c r="C4" s="4" t="s">
        <v>1029</v>
      </c>
    </row>
    <row r="5" spans="1:3">
      <c r="B5" s="4" t="s">
        <v>811</v>
      </c>
      <c r="C5" s="4" t="s">
        <v>1030</v>
      </c>
    </row>
    <row r="6" spans="1:3">
      <c r="B6" s="4" t="s">
        <v>7</v>
      </c>
      <c r="C6" s="4" t="s">
        <v>677</v>
      </c>
    </row>
    <row r="7" spans="1:3">
      <c r="B7" s="4" t="s">
        <v>323</v>
      </c>
    </row>
    <row r="9" spans="1:3">
      <c r="B9" s="4" t="s">
        <v>309</v>
      </c>
    </row>
    <row r="11" spans="1:3">
      <c r="C11" s="22" t="s">
        <v>1027</v>
      </c>
    </row>
    <row r="12" spans="1:3">
      <c r="C12" s="4" t="s">
        <v>1028</v>
      </c>
    </row>
    <row r="13" spans="1:3">
      <c r="C13" s="4" t="s">
        <v>784</v>
      </c>
    </row>
    <row r="14" spans="1:3">
      <c r="C14" s="4" t="s">
        <v>785</v>
      </c>
    </row>
    <row r="16" spans="1:3">
      <c r="C16" s="22" t="s">
        <v>162</v>
      </c>
    </row>
    <row r="17" spans="3:4">
      <c r="C17" s="4" t="s">
        <v>163</v>
      </c>
    </row>
    <row r="19" spans="3:4">
      <c r="D19" s="22" t="s">
        <v>307</v>
      </c>
    </row>
    <row r="20" spans="3:4">
      <c r="D20" s="4" t="s">
        <v>308</v>
      </c>
    </row>
    <row r="22" spans="3:4">
      <c r="D22" s="22" t="s">
        <v>311</v>
      </c>
    </row>
    <row r="23" spans="3:4">
      <c r="D23" s="4" t="s">
        <v>860</v>
      </c>
    </row>
    <row r="25" spans="3:4">
      <c r="D25" s="22" t="s">
        <v>858</v>
      </c>
    </row>
    <row r="26" spans="3:4">
      <c r="D26" s="4" t="s">
        <v>859</v>
      </c>
    </row>
    <row r="28" spans="3:4">
      <c r="C28" s="22" t="s">
        <v>861</v>
      </c>
    </row>
    <row r="29" spans="3:4">
      <c r="C29" s="4" t="s">
        <v>862</v>
      </c>
    </row>
    <row r="31" spans="3:4">
      <c r="C31" s="22" t="s">
        <v>863</v>
      </c>
    </row>
    <row r="32" spans="3:4">
      <c r="C32" s="16" t="s">
        <v>864</v>
      </c>
    </row>
    <row r="33" spans="3:4">
      <c r="D33" s="16"/>
    </row>
    <row r="34" spans="3:4">
      <c r="D34" s="22" t="s">
        <v>185</v>
      </c>
    </row>
    <row r="35" spans="3:4">
      <c r="D35" s="4" t="s">
        <v>737</v>
      </c>
    </row>
    <row r="37" spans="3:4">
      <c r="D37" s="22" t="s">
        <v>738</v>
      </c>
    </row>
    <row r="38" spans="3:4">
      <c r="D38" s="16" t="s">
        <v>739</v>
      </c>
    </row>
    <row r="39" spans="3:4">
      <c r="D39" s="16"/>
    </row>
    <row r="40" spans="3:4">
      <c r="D40" s="22" t="s">
        <v>740</v>
      </c>
    </row>
    <row r="41" spans="3:4">
      <c r="D41" s="16" t="s">
        <v>852</v>
      </c>
    </row>
    <row r="42" spans="3:4">
      <c r="D42" s="22"/>
    </row>
    <row r="43" spans="3:4">
      <c r="C43" s="22" t="s">
        <v>196</v>
      </c>
    </row>
    <row r="44" spans="3:4">
      <c r="C44" s="16" t="s">
        <v>197</v>
      </c>
    </row>
    <row r="45" spans="3:4">
      <c r="D45" s="16"/>
    </row>
    <row r="46" spans="3:4">
      <c r="C46" s="22" t="s">
        <v>198</v>
      </c>
    </row>
    <row r="47" spans="3:4">
      <c r="C47" s="16" t="s">
        <v>199</v>
      </c>
    </row>
    <row r="48" spans="3:4">
      <c r="D48" s="22"/>
    </row>
    <row r="49" spans="3:4">
      <c r="D49" s="22" t="s">
        <v>200</v>
      </c>
    </row>
    <row r="50" spans="3:4">
      <c r="D50" s="16" t="s">
        <v>201</v>
      </c>
    </row>
    <row r="51" spans="3:4">
      <c r="D51" s="16"/>
    </row>
    <row r="52" spans="3:4">
      <c r="D52" s="22" t="s">
        <v>202</v>
      </c>
    </row>
    <row r="53" spans="3:4">
      <c r="D53" s="16" t="s">
        <v>203</v>
      </c>
    </row>
    <row r="54" spans="3:4">
      <c r="D54" s="22"/>
    </row>
    <row r="55" spans="3:4">
      <c r="D55" s="22" t="s">
        <v>204</v>
      </c>
    </row>
    <row r="56" spans="3:4">
      <c r="D56" s="16" t="s">
        <v>205</v>
      </c>
    </row>
    <row r="57" spans="3:4">
      <c r="D57" s="16"/>
    </row>
    <row r="58" spans="3:4">
      <c r="C58" s="22" t="s">
        <v>206</v>
      </c>
    </row>
    <row r="59" spans="3:4">
      <c r="C59" s="16" t="s">
        <v>207</v>
      </c>
    </row>
    <row r="60" spans="3:4">
      <c r="D60" s="16"/>
    </row>
    <row r="61" spans="3:4">
      <c r="C61" s="22" t="s">
        <v>920</v>
      </c>
    </row>
    <row r="62" spans="3:4">
      <c r="C62" s="16" t="s">
        <v>921</v>
      </c>
    </row>
    <row r="63" spans="3:4">
      <c r="D63" s="16"/>
    </row>
    <row r="64" spans="3:4">
      <c r="C64" s="22" t="s">
        <v>922</v>
      </c>
    </row>
    <row r="65" spans="2:4">
      <c r="C65" s="16" t="s">
        <v>251</v>
      </c>
    </row>
    <row r="66" spans="2:4">
      <c r="C66" s="16"/>
    </row>
    <row r="67" spans="2:4">
      <c r="C67" s="22" t="s">
        <v>778</v>
      </c>
    </row>
    <row r="68" spans="2:4">
      <c r="C68" s="16" t="s">
        <v>779</v>
      </c>
    </row>
    <row r="69" spans="2:4">
      <c r="B69" s="4" t="s">
        <v>310</v>
      </c>
      <c r="D69" s="22"/>
    </row>
    <row r="71" spans="2:4">
      <c r="C71" s="22" t="s">
        <v>159</v>
      </c>
    </row>
    <row r="72" spans="2:4">
      <c r="C72" s="22" t="s">
        <v>160</v>
      </c>
    </row>
    <row r="73" spans="2:4">
      <c r="C73" s="16" t="s">
        <v>161</v>
      </c>
    </row>
    <row r="75" spans="2:4">
      <c r="C75" s="22" t="s">
        <v>157</v>
      </c>
    </row>
    <row r="76" spans="2:4">
      <c r="C76" s="16" t="s">
        <v>158</v>
      </c>
    </row>
    <row r="78" spans="2:4">
      <c r="C78" s="22" t="s">
        <v>520</v>
      </c>
    </row>
    <row r="79" spans="2:4">
      <c r="C79" s="4" t="s">
        <v>521</v>
      </c>
    </row>
    <row r="81" spans="3:3">
      <c r="C81" s="22" t="s">
        <v>391</v>
      </c>
    </row>
    <row r="82" spans="3:3">
      <c r="C82" s="4" t="s">
        <v>392</v>
      </c>
    </row>
    <row r="84" spans="3:3">
      <c r="C84" s="22" t="s">
        <v>393</v>
      </c>
    </row>
    <row r="85" spans="3:3">
      <c r="C85" s="4" t="s">
        <v>394</v>
      </c>
    </row>
    <row r="87" spans="3:3">
      <c r="C87" s="22" t="s">
        <v>155</v>
      </c>
    </row>
    <row r="88" spans="3:3">
      <c r="C88" s="4" t="s">
        <v>156</v>
      </c>
    </row>
    <row r="90" spans="3:3">
      <c r="C90" s="22" t="s">
        <v>252</v>
      </c>
    </row>
    <row r="91" spans="3:3">
      <c r="C91" s="4" t="s">
        <v>253</v>
      </c>
    </row>
    <row r="93" spans="3:3">
      <c r="C93" s="22" t="s">
        <v>360</v>
      </c>
    </row>
    <row r="94" spans="3:3">
      <c r="C94" s="4" t="s">
        <v>361</v>
      </c>
    </row>
    <row r="96" spans="3:3">
      <c r="C96" s="22" t="s">
        <v>362</v>
      </c>
    </row>
    <row r="97" spans="3:3">
      <c r="C97" s="4" t="s">
        <v>478</v>
      </c>
    </row>
    <row r="99" spans="3:3">
      <c r="C99" s="22" t="s">
        <v>0</v>
      </c>
    </row>
    <row r="100" spans="3:3">
      <c r="C100" s="4" t="s">
        <v>1</v>
      </c>
    </row>
    <row r="102" spans="3:3">
      <c r="C102" s="22" t="s">
        <v>776</v>
      </c>
    </row>
    <row r="103" spans="3:3">
      <c r="C103" s="4" t="s">
        <v>777</v>
      </c>
    </row>
    <row r="105" spans="3:3">
      <c r="C105" s="22" t="s">
        <v>780</v>
      </c>
    </row>
    <row r="106" spans="3:3">
      <c r="C106" s="4" t="s">
        <v>781</v>
      </c>
    </row>
    <row r="108" spans="3:3">
      <c r="C108" s="22" t="s">
        <v>782</v>
      </c>
    </row>
    <row r="109" spans="3:3">
      <c r="C109" s="4" t="s">
        <v>783</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RowHeight="12.75"/>
  <cols>
    <col min="1" max="1" width="5" style="4" bestFit="1" customWidth="1"/>
    <col min="2" max="2" width="14.140625" style="4" bestFit="1" customWidth="1"/>
    <col min="3" max="16384" width="9.140625" style="4"/>
  </cols>
  <sheetData>
    <row r="1" spans="1:3">
      <c r="A1" s="10" t="s">
        <v>5</v>
      </c>
    </row>
    <row r="2" spans="1:3">
      <c r="B2" s="4" t="s">
        <v>287</v>
      </c>
      <c r="C2" s="4" t="s">
        <v>602</v>
      </c>
    </row>
    <row r="3" spans="1:3">
      <c r="B3" s="4" t="s">
        <v>288</v>
      </c>
      <c r="C3" s="4" t="s">
        <v>25</v>
      </c>
    </row>
    <row r="4" spans="1:3">
      <c r="B4" s="4" t="s">
        <v>986</v>
      </c>
      <c r="C4" s="4" t="s">
        <v>584</v>
      </c>
    </row>
    <row r="5" spans="1:3">
      <c r="B5" s="4" t="s">
        <v>358</v>
      </c>
      <c r="C5" s="4" t="s">
        <v>585</v>
      </c>
    </row>
    <row r="6" spans="1:3">
      <c r="B6" s="4" t="s">
        <v>3</v>
      </c>
      <c r="C6" s="4" t="s">
        <v>17</v>
      </c>
    </row>
    <row r="7" spans="1:3">
      <c r="B7" s="4" t="s">
        <v>112</v>
      </c>
      <c r="C7" s="4" t="s">
        <v>19</v>
      </c>
    </row>
    <row r="8" spans="1:3">
      <c r="B8" s="4" t="s">
        <v>18</v>
      </c>
      <c r="C8" s="4" t="s">
        <v>475</v>
      </c>
    </row>
    <row r="9" spans="1:3">
      <c r="B9" s="4" t="s">
        <v>732</v>
      </c>
      <c r="C9" s="4" t="s">
        <v>499</v>
      </c>
    </row>
    <row r="10" spans="1:3">
      <c r="B10" s="4" t="s">
        <v>444</v>
      </c>
      <c r="C10" s="4" t="s">
        <v>618</v>
      </c>
    </row>
    <row r="11" spans="1:3">
      <c r="C11" s="4" t="s">
        <v>586</v>
      </c>
    </row>
    <row r="12" spans="1:3">
      <c r="B12" s="4" t="s">
        <v>10</v>
      </c>
      <c r="C12" s="4" t="s">
        <v>24</v>
      </c>
    </row>
    <row r="13" spans="1:3">
      <c r="C13" s="4" t="s">
        <v>26</v>
      </c>
    </row>
    <row r="14" spans="1:3">
      <c r="C14" s="4" t="s">
        <v>415</v>
      </c>
    </row>
    <row r="15" spans="1:3">
      <c r="C15" s="4" t="s">
        <v>474</v>
      </c>
    </row>
    <row r="16" spans="1:3">
      <c r="C16" s="4" t="s">
        <v>476</v>
      </c>
    </row>
    <row r="17" spans="2:6">
      <c r="D17" s="4" t="s">
        <v>1019</v>
      </c>
    </row>
    <row r="18" spans="2:6">
      <c r="B18" s="4" t="s">
        <v>1007</v>
      </c>
      <c r="C18" s="4" t="s">
        <v>293</v>
      </c>
    </row>
    <row r="19" spans="2:6">
      <c r="C19" s="4" t="s">
        <v>22</v>
      </c>
    </row>
    <row r="20" spans="2:6">
      <c r="C20" s="4" t="s">
        <v>768</v>
      </c>
    </row>
    <row r="21" spans="2:6">
      <c r="C21" s="4" t="s">
        <v>23</v>
      </c>
    </row>
    <row r="23" spans="2:6">
      <c r="C23" s="6" t="s">
        <v>769</v>
      </c>
      <c r="D23" s="6" t="s">
        <v>314</v>
      </c>
      <c r="E23" s="6" t="s">
        <v>319</v>
      </c>
      <c r="F23" s="6" t="s">
        <v>770</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RowHeight="12.75"/>
  <cols>
    <col min="1" max="1" width="7.85546875" style="4" bestFit="1" customWidth="1"/>
    <col min="2" max="16384" width="9.140625" style="4"/>
  </cols>
  <sheetData>
    <row r="1" spans="1:3">
      <c r="A1" s="10" t="s">
        <v>5</v>
      </c>
    </row>
    <row r="2" spans="1:3">
      <c r="A2" s="10" t="s">
        <v>601</v>
      </c>
    </row>
    <row r="3" spans="1:3">
      <c r="A3" s="10"/>
    </row>
    <row r="4" spans="1:3">
      <c r="C4" s="14" t="s">
        <v>153</v>
      </c>
    </row>
    <row r="5" spans="1:3">
      <c r="C5" s="14" t="s">
        <v>297</v>
      </c>
    </row>
    <row r="6" spans="1:3">
      <c r="C6" s="16" t="s">
        <v>969</v>
      </c>
    </row>
    <row r="7" spans="1:3">
      <c r="C7" s="14" t="s">
        <v>320</v>
      </c>
    </row>
    <row r="8" spans="1:3">
      <c r="C8" s="14" t="s">
        <v>968</v>
      </c>
    </row>
    <row r="9" spans="1:3">
      <c r="C9" s="14" t="s">
        <v>619</v>
      </c>
    </row>
    <row r="10" spans="1:3">
      <c r="C10" s="16" t="s">
        <v>829</v>
      </c>
    </row>
    <row r="11" spans="1:3">
      <c r="C11" s="16" t="s">
        <v>700</v>
      </c>
    </row>
    <row r="12" spans="1:3">
      <c r="C12" s="14" t="s">
        <v>37</v>
      </c>
    </row>
    <row r="13" spans="1:3">
      <c r="C13" s="16" t="s">
        <v>953</v>
      </c>
    </row>
    <row r="14" spans="1:3">
      <c r="C14" s="10" t="s">
        <v>678</v>
      </c>
    </row>
    <row r="15" spans="1:3">
      <c r="C15" s="16" t="s">
        <v>316</v>
      </c>
    </row>
    <row r="16" spans="1:3">
      <c r="C16" s="16" t="s">
        <v>21</v>
      </c>
    </row>
    <row r="17" spans="1:3">
      <c r="C17" s="16" t="s">
        <v>298</v>
      </c>
    </row>
    <row r="18" spans="1:3">
      <c r="C18" s="16" t="s">
        <v>803</v>
      </c>
    </row>
    <row r="19" spans="1:3">
      <c r="C19" s="16" t="s">
        <v>503</v>
      </c>
    </row>
    <row r="20" spans="1:3">
      <c r="A20" s="10"/>
      <c r="C20" s="4" t="s">
        <v>263</v>
      </c>
    </row>
    <row r="21" spans="1:3">
      <c r="A21" s="10"/>
      <c r="C21" s="4" t="s">
        <v>264</v>
      </c>
    </row>
    <row r="22" spans="1:3">
      <c r="A22" s="10"/>
      <c r="C22" s="4" t="s">
        <v>265</v>
      </c>
    </row>
    <row r="23" spans="1:3">
      <c r="A23" s="10"/>
      <c r="C23" s="4" t="s">
        <v>266</v>
      </c>
    </row>
    <row r="24" spans="1:3">
      <c r="A24" s="10"/>
      <c r="C24" s="4" t="s">
        <v>267</v>
      </c>
    </row>
    <row r="25" spans="1:3">
      <c r="A25" s="10"/>
      <c r="C25" s="4" t="s">
        <v>268</v>
      </c>
    </row>
    <row r="26" spans="1:3">
      <c r="A26" s="10"/>
      <c r="C26" s="4" t="s">
        <v>269</v>
      </c>
    </row>
    <row r="27" spans="1:3">
      <c r="A27" s="10"/>
      <c r="C27" s="4" t="s">
        <v>270</v>
      </c>
    </row>
    <row r="28" spans="1:3">
      <c r="A28" s="10"/>
      <c r="C28" s="4" t="s">
        <v>271</v>
      </c>
    </row>
    <row r="29" spans="1:3">
      <c r="A29" s="10"/>
      <c r="C29" s="4" t="s">
        <v>272</v>
      </c>
    </row>
    <row r="30" spans="1:3">
      <c r="A30" s="10"/>
      <c r="C30" s="4" t="s">
        <v>492</v>
      </c>
    </row>
    <row r="31" spans="1:3">
      <c r="A31" s="10"/>
      <c r="C31" s="4" t="s">
        <v>493</v>
      </c>
    </row>
    <row r="32" spans="1:3">
      <c r="A32" s="10"/>
    </row>
    <row r="33" spans="2:2">
      <c r="B33" s="50">
        <v>39220</v>
      </c>
    </row>
    <row r="34" spans="2:2">
      <c r="B34" s="55" t="s">
        <v>250</v>
      </c>
    </row>
    <row r="35" spans="2:2">
      <c r="B35" s="55"/>
    </row>
    <row r="36" spans="2:2" ht="13.5">
      <c r="B36" s="56" t="s">
        <v>257</v>
      </c>
    </row>
    <row r="37" spans="2:2" ht="13.5">
      <c r="B37" s="56"/>
    </row>
    <row r="38" spans="2:2" ht="13.5">
      <c r="B38" s="56" t="s">
        <v>258</v>
      </c>
    </row>
    <row r="39" spans="2:2" ht="13.5">
      <c r="B39" s="56" t="s">
        <v>259</v>
      </c>
    </row>
    <row r="40" spans="2:2" ht="13.5">
      <c r="B40" s="56" t="s">
        <v>260</v>
      </c>
    </row>
    <row r="41" spans="2:2" ht="13.5">
      <c r="B41" s="56"/>
    </row>
    <row r="42" spans="2:2" ht="13.5">
      <c r="B42" s="56" t="s">
        <v>261</v>
      </c>
    </row>
    <row r="43" spans="2:2" ht="13.5">
      <c r="B43" s="56" t="s">
        <v>262</v>
      </c>
    </row>
    <row r="44" spans="2:2" ht="13.5">
      <c r="B44" s="56" t="s">
        <v>804</v>
      </c>
    </row>
    <row r="45" spans="2:2" ht="13.5">
      <c r="B45" s="56" t="s">
        <v>805</v>
      </c>
    </row>
    <row r="46" spans="2:2" ht="13.5">
      <c r="B46" s="56" t="s">
        <v>806</v>
      </c>
    </row>
    <row r="47" spans="2:2" ht="13.5">
      <c r="B47" s="56" t="s">
        <v>807</v>
      </c>
    </row>
    <row r="48" spans="2:2" ht="13.5">
      <c r="B48" s="56" t="s">
        <v>246</v>
      </c>
    </row>
    <row r="49" spans="2:2" ht="13.5">
      <c r="B49" s="56" t="s">
        <v>247</v>
      </c>
    </row>
    <row r="50" spans="2:2" ht="13.5">
      <c r="B50" s="56"/>
    </row>
    <row r="51" spans="2:2" ht="13.5">
      <c r="B51" s="56" t="s">
        <v>248</v>
      </c>
    </row>
    <row r="52" spans="2:2" ht="13.5">
      <c r="B52" s="56" t="s">
        <v>249</v>
      </c>
    </row>
    <row r="53" spans="2:2" ht="13.5">
      <c r="B53" s="56" t="s">
        <v>683</v>
      </c>
    </row>
    <row r="54" spans="2:2" ht="13.5">
      <c r="B54" s="56" t="s">
        <v>684</v>
      </c>
    </row>
    <row r="55" spans="2:2" ht="13.5">
      <c r="B55" s="56" t="s">
        <v>685</v>
      </c>
    </row>
    <row r="56" spans="2:2" ht="13.5">
      <c r="B56" s="56" t="s">
        <v>686</v>
      </c>
    </row>
    <row r="57" spans="2:2" ht="13.5">
      <c r="B57" s="56" t="s">
        <v>687</v>
      </c>
    </row>
    <row r="58" spans="2:2" ht="13.5">
      <c r="B58" s="56" t="s">
        <v>688</v>
      </c>
    </row>
    <row r="59" spans="2:2" ht="13.5">
      <c r="B59" s="56"/>
    </row>
    <row r="60" spans="2:2" ht="13.5">
      <c r="B60" s="56" t="s">
        <v>954</v>
      </c>
    </row>
    <row r="61" spans="2:2" ht="13.5">
      <c r="B61" s="56" t="s">
        <v>955</v>
      </c>
    </row>
    <row r="62" spans="2:2" ht="13.5">
      <c r="B62" s="56"/>
    </row>
    <row r="63" spans="2:2" ht="13.5">
      <c r="B63" s="56" t="s">
        <v>956</v>
      </c>
    </row>
    <row r="64" spans="2:2" ht="13.5">
      <c r="B64" s="56" t="s">
        <v>957</v>
      </c>
    </row>
    <row r="65" spans="2:2" ht="13.5">
      <c r="B65" s="56" t="s">
        <v>958</v>
      </c>
    </row>
    <row r="66" spans="2:2" ht="13.5">
      <c r="B66" s="56" t="s">
        <v>959</v>
      </c>
    </row>
    <row r="67" spans="2:2" ht="13.5">
      <c r="B67" s="56" t="s">
        <v>960</v>
      </c>
    </row>
    <row r="68" spans="2:2" ht="13.5">
      <c r="B68" s="56" t="s">
        <v>961</v>
      </c>
    </row>
    <row r="69" spans="2:2" ht="13.5">
      <c r="B69" s="56" t="s">
        <v>962</v>
      </c>
    </row>
    <row r="70" spans="2:2" ht="13.5">
      <c r="B70" s="56" t="s">
        <v>963</v>
      </c>
    </row>
    <row r="71" spans="2:2" ht="13.5">
      <c r="B71" s="56" t="s">
        <v>964</v>
      </c>
    </row>
    <row r="72" spans="2:2" ht="13.5">
      <c r="B72" s="56" t="s">
        <v>146</v>
      </c>
    </row>
    <row r="73" spans="2:2" ht="13.5">
      <c r="B73" s="56" t="s">
        <v>147</v>
      </c>
    </row>
    <row r="74" spans="2:2" ht="13.5">
      <c r="B74" s="56" t="s">
        <v>148</v>
      </c>
    </row>
    <row r="75" spans="2:2" ht="13.5">
      <c r="B75" s="56" t="s">
        <v>149</v>
      </c>
    </row>
    <row r="76" spans="2:2" ht="13.5">
      <c r="B76" s="56" t="s">
        <v>150</v>
      </c>
    </row>
    <row r="77" spans="2:2" ht="13.5">
      <c r="B77" s="56" t="s">
        <v>151</v>
      </c>
    </row>
    <row r="78" spans="2:2" ht="13.5">
      <c r="B78" s="56" t="s">
        <v>152</v>
      </c>
    </row>
    <row r="79" spans="2:2" ht="13.5">
      <c r="B79" s="56" t="s">
        <v>816</v>
      </c>
    </row>
    <row r="80" spans="2:2" ht="13.5">
      <c r="B80" s="56" t="s">
        <v>817</v>
      </c>
    </row>
    <row r="81" spans="2:2" ht="13.5">
      <c r="B81" s="56"/>
    </row>
    <row r="82" spans="2:2" ht="13.5">
      <c r="B82" s="56" t="s">
        <v>818</v>
      </c>
    </row>
    <row r="83" spans="2:2" ht="13.5">
      <c r="B83" s="56" t="s">
        <v>819</v>
      </c>
    </row>
    <row r="84" spans="2:2" ht="13.5">
      <c r="B84" s="56" t="s">
        <v>820</v>
      </c>
    </row>
    <row r="85" spans="2:2" ht="13.5">
      <c r="B85" s="56" t="s">
        <v>821</v>
      </c>
    </row>
    <row r="86" spans="2:2" ht="13.5">
      <c r="B86" s="56" t="s">
        <v>822</v>
      </c>
    </row>
    <row r="87" spans="2:2" ht="13.5">
      <c r="B87" s="56" t="s">
        <v>704</v>
      </c>
    </row>
    <row r="88" spans="2:2" ht="13.5">
      <c r="B88" s="56" t="s">
        <v>705</v>
      </c>
    </row>
    <row r="89" spans="2:2" ht="13.5">
      <c r="B89" s="56"/>
    </row>
    <row r="90" spans="2:2" ht="13.5">
      <c r="B90" s="56" t="s">
        <v>707</v>
      </c>
    </row>
    <row r="91" spans="2:2" ht="13.5">
      <c r="B91" s="56" t="s">
        <v>708</v>
      </c>
    </row>
    <row r="93" spans="2:2">
      <c r="B93" s="57" t="s">
        <v>709</v>
      </c>
    </row>
    <row r="94" spans="2:2">
      <c r="B94" s="57" t="s">
        <v>710</v>
      </c>
    </row>
    <row r="95" spans="2:2">
      <c r="B95" s="57" t="s">
        <v>711</v>
      </c>
    </row>
    <row r="96" spans="2:2">
      <c r="B96" s="57" t="s">
        <v>712</v>
      </c>
    </row>
    <row r="97" spans="2:2">
      <c r="B97" s="57" t="s">
        <v>709</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B841A15-2A50-4D71-BDCC-63244230A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Master</vt:lpstr>
      <vt:lpstr>Main</vt:lpstr>
      <vt:lpstr>Model</vt:lpstr>
      <vt:lpstr>Enbrel</vt:lpstr>
      <vt:lpstr>Lumakras</vt:lpstr>
      <vt:lpstr>Neulasta</vt:lpstr>
      <vt:lpstr>Neupogen</vt:lpstr>
      <vt:lpstr>Epogen</vt:lpstr>
      <vt:lpstr>EPO safety</vt:lpstr>
      <vt:lpstr>Aranesp</vt:lpstr>
      <vt:lpstr>G-CSF</vt:lpstr>
      <vt:lpstr>Sensipar</vt:lpstr>
      <vt:lpstr>Vectibix</vt:lpstr>
      <vt:lpstr>Denosumab</vt:lpstr>
      <vt:lpstr>Denosumab trials</vt:lpstr>
      <vt:lpstr>Kineret</vt:lpstr>
      <vt:lpstr>706</vt:lpstr>
      <vt:lpstr>531</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2023-05-18T17:26:54Z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